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Útmutató" sheetId="2" r:id="rId5"/>
    <sheet name="Adatlap" sheetId="3" r:id="rId6"/>
    <sheet name="Termék" sheetId="4" r:id="rId7"/>
    <sheet name="Összetétel" sheetId="5" r:id="rId8"/>
    <sheet name="Alapanyagok" sheetId="6" r:id="rId9"/>
    <sheet name="Alapanyagok_DID" sheetId="7" r:id="rId10"/>
    <sheet name="Eredmények-1" sheetId="8" r:id="rId11"/>
    <sheet name="Eredmények-2" sheetId="9" r:id="rId12"/>
    <sheet name="Kiszerelés 1-4" sheetId="10" r:id="rId13"/>
    <sheet name="Kiszerelés 5-8" sheetId="11" r:id="rId14"/>
    <sheet name="Nyilatkozatok_1" sheetId="12" r:id="rId15"/>
    <sheet name="Nyilatkozatok_2" sheetId="13" r:id="rId16"/>
    <sheet name="Nyilatkozatok_LD" sheetId="14" r:id="rId17"/>
    <sheet name="Nyilatkozatok_3" sheetId="15" r:id="rId18"/>
    <sheet name="Nyilatkozatok_4" sheetId="16" r:id="rId19"/>
    <sheet name="DID List" sheetId="17" r:id="rId20"/>
    <sheet name="Fordítások" sheetId="18" r:id="rId21"/>
    <sheet name="Auswahldaten" sheetId="19" r:id="rId22"/>
    <sheet name="Document" sheetId="20" r:id="rId23"/>
    <sheet name="Historie" sheetId="21" r:id="rId24"/>
  </sheets>
</workbook>
</file>

<file path=xl/sharedStrings.xml><?xml version="1.0" encoding="utf-8"?>
<sst xmlns="http://schemas.openxmlformats.org/spreadsheetml/2006/main" uniqueCount="2497">
  <si>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</si>
  <si>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</si>
  <si>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</si>
  <si>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</si>
  <si>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Útmutató</t>
  </si>
  <si>
    <t>Table 1</t>
  </si>
  <si>
    <t>Mire használható ez az adatlap?</t>
  </si>
  <si>
    <t>What is the purpose of this file?</t>
  </si>
  <si>
    <t>Ez az Excel fájl segít a kemény felületekre szánt tisztítószerekre, kézi mosogatószerekre vagy mosószerekre benyújtandó Európai Ökocímke pályázatok összeállításában.</t>
  </si>
  <si>
    <t>This file helps to compile applications for the EU Ecolabel for hard surface cleaning products, hand dishwashing detergents or laundry detergents.</t>
  </si>
  <si>
    <t>A fájl magában foglalja az általános Európai Ökocímke pályázati útmutató 17. oldalán található kérdőívet, illetve a kemény felületekre szánt tisztítószerekre vonatkozó uniós feltételrendszerben szereplő kritériumok teljesítésére vonatkozó kérdéseket, illetve a kritériumok által előírt nyilatkozatokat.</t>
  </si>
  <si>
    <t>It includes the questionnaire of the Application guideline required by the Hungarian Competent Body (see page 17 of the Application guideline) as well as questions related to the fulfilment of the ecolabel criteria and declarations required by the EU ecolabel criteria.</t>
  </si>
  <si>
    <t>A pályázónak annyi a teendője, hogy kitölti és kinyomtatja azokat a munkalapokat, amelyek lapfüle zöld színű, és csatolja a Nyilatkozatok munkalapokon az egyes kritériumoknál megjelölt dokumentumokat.</t>
  </si>
  <si>
    <t>Applicants must answer the questions and fill in the forms on worksheets with green tags, print out these worksheets and attach documentation mentioned by each criterion on worksheets Nyilatkozatok_1 - Nyilatkozatok_4.</t>
  </si>
  <si>
    <t>Az adatlap kitöltését az Adatlap munkalapon a nyelv és a termékcsoport kiválasztásával kell kezdeni. Ezt követően csak az adott termékcsoportra vonatkozó kérdések fognak megjelenni a kiválasztott nyelven.</t>
  </si>
  <si>
    <t xml:space="preserve">To start work, choose your language and product group on Worksheet "Adatlap". If you choose to work in English, only product-group specific questions will appear, and they will appear in English (the name of worksheets will not change). </t>
  </si>
  <si>
    <t xml:space="preserve">A munkalapokat sorrendben, az Adatlapoktól kezdve a Nyilatkozatok_4 munkalap irnyában haladva kell kitölteni. A sorrend azért fontos, mert az egyes munkalapok képletei és makrói a megelőző adatlapokra épülnek. A Nyilatkozatok nevű munkalapokon található táblázatokat a makrók akkor tudják kitölteni, ha a táblázatokhoz szükséges adatokat a pályázó már beírta a korábbi munkalapokra. A táblázatok kitöltését a jelölőnégyzetek bejelölése indítja. Így ha a nyilatkozathoz kapcsolódó jelölőnégyzet bejelölésekor a megelőző munkalapokról hiányzik a szükséges adat, vagy a korábbi válaszok ellentmondásosak, a nyilatkozatok táblázatainak kitöltéséhez először pótolni kell a hiányzó adatokat, ki kell javítani az ellentmondásos válaszokat, majd a nyilatkozathoz kapcsolódó jelölőnégyzetre ismételten rá kell kattintani. </t>
  </si>
  <si>
    <t>For effective and fast completion, please, follow the sequence of the worksheets from Adatlap to Nyilatkozatok_4. The sequence is important because the worksheets use the answers and information from previous worksheets. If former answers are incomplete or contradicting to each other, the macros will not be able to fill in the tables of the declarations. If you follow the sequence and still receive an error message, go back to the previous worksheets, correct the mistakes and then check the checkboxes of the declarations again. Macros will not run automatically, they will start only if you check the checkboxes.</t>
  </si>
  <si>
    <t>A munkafüzetet nemcsak laponként lehet kinyomtatni. A Nyilatkozatok_4 munkalap alján található Nyomtatás gombra történő rákattintással a benyújtandó munkalapok együttesen is kinyomtathatók. (Az Összetétel, az Alapanyagok, az Alapanyagok_DID, az Eredmények-1, az Eredmények-2, a Kiszerelés 1-4 és a Kiszerelés 5-8 munkalapokat nem kell nyomtatott formában beadni.</t>
  </si>
  <si>
    <t>This workbook can be printed out not only by worksheets but also as a whole by clicking on the Print button at the bottom of worksheet Nyilatkozatok_4. (Worksheets   Összetétel,  Alapanyagok,  Alapanyagok_DID,  Eredmények-1, Eredmények-2, Kiszerelés 1-4 and Kiszerelés 5-8 need not to be printed and attached to the application.)</t>
  </si>
  <si>
    <t>A fájl makrókat tartalmaz, ezért a fájl megnyitásánál jóvá kell hagyni a makrók használatát. (Ezek a makrók nem károsítják a gépet, ártalmatlanok.)
A fájl megnyitásakor a menüsor alatti sárga csíkban megjelenik a figyelmeztetés: „A rendszer letiltotta az aktív tartalom egy részét. Kattintson a részletekért.”
A makrók engedélyezéséhez kattintson a figyelmeztetés mellett található „Tartalom engedélyezése” feliratú mezőre.</t>
  </si>
  <si>
    <t>The file contains macros. Therefore when opening it, you must approve macros on the yellow line right under the menu .</t>
  </si>
  <si>
    <t>Ez egy próbaváltozat. Bármilyen hiba esetén hívja a +36 30 820-0148 telefonszámot, vagy küldjön emailt az eriv@hoi.hu címre</t>
  </si>
  <si>
    <t>This is a trial version of the file. If you encounter any problem while working with it, please, call +36 30 820-0148 or send an email to eriv@hoi.hu.</t>
  </si>
  <si>
    <t>Adatlap</t>
  </si>
  <si>
    <t>MOSÓ- ÉS TISZTÍTÓSZEREK</t>
  </si>
  <si>
    <t>Magyar</t>
  </si>
  <si>
    <t>1. Pályázati adatlap</t>
  </si>
  <si>
    <r>
      <rPr>
        <sz val="10"/>
        <color indexed="12"/>
        <rFont val="Arial"/>
      </rPr>
      <t>kézi mosogatószerek</t>
    </r>
  </si>
  <si>
    <t>Információk a pályázóról</t>
  </si>
  <si>
    <t xml:space="preserve">A pályázó vállalat teljes neve: </t>
  </si>
  <si>
    <t>Full name of the applicant company:</t>
  </si>
  <si>
    <t>Székhelye (irányítószám, város, kerület, utca, házszám):</t>
  </si>
  <si>
    <t>Street address (postal code, region, city, district, street name, number)</t>
  </si>
  <si>
    <t>Postacíme:</t>
  </si>
  <si>
    <t>Postal address:</t>
  </si>
  <si>
    <t>Adószáma:</t>
  </si>
  <si>
    <t>Tax / VAT number:</t>
  </si>
  <si>
    <t>Bankszámlaszáma:</t>
  </si>
  <si>
    <t>Number of bank account:</t>
  </si>
  <si>
    <t>Központi telefonszám(ok):</t>
  </si>
  <si>
    <t>'  + __ __ / ___ ____</t>
  </si>
  <si>
    <t>Phone number(s):</t>
  </si>
  <si>
    <t>Honlap címe:</t>
  </si>
  <si>
    <t>Website:</t>
  </si>
  <si>
    <t>Felelős vezető neve:</t>
  </si>
  <si>
    <t>Name of legal representative of the company:</t>
  </si>
  <si>
    <t>Beosztása:</t>
  </si>
  <si>
    <t>Position:</t>
  </si>
  <si>
    <t>Telefonszáma:</t>
  </si>
  <si>
    <t>Phone number of legal representative:</t>
  </si>
  <si>
    <t>E-mail címe:</t>
  </si>
  <si>
    <t>E-mail:</t>
  </si>
  <si>
    <t>English</t>
  </si>
  <si>
    <t>Kapcsolattartó személy neve:</t>
  </si>
  <si>
    <t>Name of the contact person:</t>
  </si>
  <si>
    <t>Gyártóként</t>
  </si>
  <si>
    <t>Igen</t>
  </si>
  <si>
    <r>
      <rPr>
        <sz val="10"/>
        <color indexed="12"/>
        <rFont val="Calibri"/>
      </rPr>
      <t>Importőrként</t>
    </r>
  </si>
  <si>
    <t>Nem</t>
  </si>
  <si>
    <t>Forgalmazóként (nagykereskedő)</t>
  </si>
  <si>
    <t>Phone number:</t>
  </si>
  <si>
    <r>
      <rPr>
        <sz val="10"/>
        <color indexed="12"/>
        <rFont val="Calibri"/>
      </rPr>
      <t>Forgalmazóként (kiskereskedő)</t>
    </r>
  </si>
  <si>
    <t>Szolgáltatóként</t>
  </si>
  <si>
    <t>Milyen minőségben pályázik az EU-ökocímkére?</t>
  </si>
  <si>
    <t>In what capacity do you apply for the EU ecolabel?</t>
  </si>
  <si>
    <t>Információk a termékről</t>
  </si>
  <si>
    <t>Information about the product:</t>
  </si>
  <si>
    <r>
      <rPr>
        <sz val="10"/>
        <color indexed="8"/>
        <rFont val="Calibri"/>
      </rPr>
      <t>A termék kereskedelmi neve:</t>
    </r>
  </si>
  <si>
    <t>kemény felületekre szánt tisztítószerek</t>
  </si>
  <si>
    <t>A termék kereskedelmi neve:</t>
  </si>
  <si>
    <t>Trade name:</t>
  </si>
  <si>
    <t>kézi mosogatószerek</t>
  </si>
  <si>
    <r>
      <rPr>
        <sz val="10"/>
        <color indexed="8"/>
        <rFont val="Calibri"/>
      </rPr>
      <t>A termék rendeltetése és specifikációja (kiszerelése)</t>
    </r>
  </si>
  <si>
    <t>mosószerek</t>
  </si>
  <si>
    <t>A termék rendeltetése és specifikációja (kiszerelése)</t>
  </si>
  <si>
    <t>Designation and specification of the product(s), including registered name(s):</t>
  </si>
  <si>
    <t>gépi mosogatószerek</t>
  </si>
  <si>
    <r>
      <rPr>
        <sz val="10"/>
        <color indexed="8"/>
        <rFont val="Calibri"/>
      </rPr>
      <t>Termékcsoport</t>
    </r>
  </si>
  <si>
    <t>gépi mosogatószerek ipari és intézményi felhasználásra</t>
  </si>
  <si>
    <t>Termékcsoport</t>
  </si>
  <si>
    <t>Product group</t>
  </si>
  <si>
    <t>mosószerek ipari és intézményi felhasználásra</t>
  </si>
  <si>
    <r>
      <rPr>
        <sz val="10"/>
        <color indexed="8"/>
        <rFont val="Calibri"/>
      </rPr>
      <t>A gyártóhely megnevezése és címe (amennyiben eltér a vállalati székhely címétől):</t>
    </r>
  </si>
  <si>
    <t>A gyártóhely megnevezése és címe (amennyiben eltér a vállalati székhely címétől):</t>
  </si>
  <si>
    <t>Name and address of manufacturing site(s) (if different from above):</t>
  </si>
  <si>
    <r>
      <rPr>
        <sz val="10"/>
        <color indexed="8"/>
        <rFont val="Calibri"/>
      </rPr>
      <t>Amennyiben a termék az Európai Gazdasági Térségen (EU + Izland +  Lichtenstein + Norvégia) kívülről származik, az EGT mely tagállamaiban forgalmazzák vagy fogják forgalmazni?</t>
    </r>
  </si>
  <si>
    <t>Amennyiben a termék az Európai Gazdasági Térségen (EU + Izland +  Lichtenstein + Norvégia) kívülről származik, az EGT mely tagállamaiban forgalmazzák vagy fogják forgalmazni?</t>
  </si>
  <si>
    <t>In case the product is made outside the European Economic Area market (European Union plus Iceland, Lichtenstein and Norway), please confirm the country where it has been or will be placed on the market?</t>
  </si>
  <si>
    <r>
      <rPr>
        <sz val="10"/>
        <color indexed="8"/>
        <rFont val="Calibri"/>
      </rPr>
      <t>Kérjük, adja meg, hogy a termék melyik országban milyen néven kerül forgalomba!</t>
    </r>
  </si>
  <si>
    <t>Kérjük, adja meg, hogy a termék melyik országban milyen néven kerül forgalomba!</t>
  </si>
  <si>
    <t>Please state other EU countries in which this product is sold in the same form (if sold under different names, please state names to be registered)</t>
  </si>
  <si>
    <t>Először pályáznak ezzel a termékkel az EU-ökocímkére?</t>
  </si>
  <si>
    <t>Is this the first application for the EU Ecolabel for the product(s) specified above:</t>
  </si>
  <si>
    <t>Ha nem, hol és mikor pályáztak, és mi volt az eredmény?</t>
  </si>
  <si>
    <t>If no, please state when and where the first application was made, and with what outcome:</t>
  </si>
  <si>
    <t>Pályázott-e már korábban ezzel a termékkel valamelyik más ökocímkére (pl. a német vagy a skandináv ökocímkére)?</t>
  </si>
  <si>
    <t>Have you ever applied with this product for another ecolabel (e.g. German, Austrian or the Nordic ecolabel)?</t>
  </si>
  <si>
    <t>the Nordic Swan ecolabel?</t>
  </si>
  <si>
    <t xml:space="preserve">Az Európai Parlament és Tanács uniós ökocímkéről szóló  66/2010/EK rendelete értelmében a kérelmet fogadó illetékes testület a rendelet III. mellékletében foglaltak szerint díjat számít fel. A díj, illetve a különböző díjkedvezmények megállapításához  a pályázónak nyilatkoznia kell az alábbiakról. A pályázat feldolgozásának feltétele a pályázati díj befizetésének igazolása.
Kérjük, hogy minden alábbi kérdésre adjon választ.
</t>
  </si>
  <si>
    <t>According to Regulation (EC) No 66/2010 of The European Parliament and of The Council of 25 November 2009 on the EU Ecolabel appendix III., application and annual licence fees will be charged. To set the appropriate fees, the applicant  shall declare make declarations in the issues below. Before the application can be processed, the applicant must pay the application fee relevant for the company. Please, answer the following questions:</t>
  </si>
  <si>
    <t>A pályázó vállalati besorolására vonatkozó nyilatkozat</t>
  </si>
  <si>
    <t>Kitöltött?</t>
  </si>
  <si>
    <t>Declaration: type of company</t>
  </si>
  <si>
    <t>A pályázó vállalat a Bizottság 2003/361/EK  ajánlása értelmében mikrovállalkozásnak minősül (vagyis legfeljebb 10 alkalmazottja van, és az éves forgalma vagy a mérlegfőösszege 2 millió eurónál kisebb)?</t>
  </si>
  <si>
    <t>Is the company a micro sized company as defined in the Commission’s Recommendation 2003/361/EC - i.e. under 10 employees and an annual turnover or total annual balance not exceeding 2 mill. Euro?</t>
  </si>
  <si>
    <t>A pályázó vállalat a Bizottság 2003/361/EK  ajánlása értelmében KKV-nak minősül (legfeljebb 250 alkalmazottja van, az éves forgalma kisebb, mint 50 millió euró vagy a mérlegfőösszege kisebb mint 43 millió euró).</t>
  </si>
  <si>
    <t>Is the company a small or medium sized company as defined in the Commission’s Recommendation 2003/361/EC – i.e. under 250 employees and an annual turnover not exceeding 50 mill. Euro or total annual balance not exceeding 43 mill. Euro?</t>
  </si>
  <si>
    <t>A vállalat fejlődő országban található (rajta van az OECD által a fejlesztési segélyben részülő országokról összeállított listán - DAC List of ODA Recipients)</t>
  </si>
  <si>
    <t>Is the company situated in a developing country (as defined in the OECD’s Development Assistance Committee’s list of countries receiving development aid)?</t>
  </si>
  <si>
    <t>A pályázó vállalat EMAS regisztrációval és/vagy érvényes ISO 14001 tanúsítvánnyal rendelkezik, és elkötelezi magát, hogy környezeti politikájában biztosítja, hogy ökocímkével ellátott termékei a címkehasználati szerződés érvényességének időtartama alatt az uniós ökocímke-kritériumoknak teljes mértékben megfelelnek, és hogy ez a kötelezettségvállalás megfelelő módon beépül a részletes környezetvédelmi célkitűzésekbe."</t>
  </si>
  <si>
    <t>Is the company registered under EMAS and/or certified under ISO 14001 and has the company in its environmental policy, committed to maintain compliance of its ecolabel products with the EU Ecolabel product group criteria throughout the contract’s period of validity?</t>
  </si>
  <si>
    <t>Keltezés:</t>
  </si>
  <si>
    <t>Place and date:</t>
  </si>
  <si>
    <t>Aláírás</t>
  </si>
  <si>
    <t>Pecsét</t>
  </si>
  <si>
    <t>Signature</t>
  </si>
  <si>
    <t>Company stamp</t>
  </si>
  <si>
    <t>FIGYELEM! A pályázó vállalati besorolására vonatkozó kérdések mindegyikére választ kell adni!</t>
  </si>
  <si>
    <t xml:space="preserve">* Igen válasz esetén csatolni kell a legfrissebb éves környezeti nyilatkozatot (EMAS), illetve az érvényes ISO 14001 tanúsítványt, a vállalat környezeti politikáját és környezeti céljait (ISO 14001). </t>
  </si>
  <si>
    <t>Termék</t>
  </si>
  <si>
    <t>A BIZOTTSÁG HATÁROZATA</t>
  </si>
  <si>
    <r>
      <rPr>
        <b val="1"/>
        <sz val="10"/>
        <color indexed="8"/>
        <rFont val="Arial"/>
      </rPr>
      <t>2017/1214/EU a kézi mosogatószerek uniós ökocímke kritériumairól</t>
    </r>
  </si>
  <si>
    <t>Magyar 3.0</t>
  </si>
  <si>
    <t>Kérjük, töltse ki a piros mezőket!</t>
  </si>
  <si>
    <t>Dátum:</t>
  </si>
  <si>
    <t>Verziószám:</t>
  </si>
  <si>
    <t>Szerződés száma:</t>
  </si>
  <si>
    <t>Védjegyhasználó</t>
  </si>
  <si>
    <t>Kiszerelési egység sorszáma, 1-től 8-ig</t>
  </si>
  <si>
    <t>2017/1217/EU kemény felületekre szánt tisztítószerek uniós ökocímke kritériumairól</t>
  </si>
  <si>
    <t>Forgalmazó / Termék neve (Ország):</t>
  </si>
  <si>
    <t>2017/1214/EU a kézi mosogatószerek uniós ökocímke kritériumairól</t>
  </si>
  <si>
    <r>
      <rPr>
        <b val="1"/>
        <sz val="10"/>
        <color indexed="8"/>
        <rFont val="Arial"/>
      </rPr>
      <t>Forgalmazó / Termék neve (Ország):</t>
    </r>
  </si>
  <si>
    <t>2017/1218/EU a mosószerek uniós ökocímke kritériumairól</t>
  </si>
  <si>
    <t>2017/1216/EU határozat a gépi mosogatószerek uniós ökocímke kritériumairól</t>
  </si>
  <si>
    <t>2017/1215/EU határozat az  ipari és intézményi felhasználásra szánt gépi mosogatószerek uniós ökocímke kritériumairól</t>
  </si>
  <si>
    <t>2017/1219/EU az ipari  és  intézményi  felhasználásra szánt mosószerek uniós ökocímke kritériumairól</t>
  </si>
  <si>
    <t>A termék fajtája:</t>
  </si>
  <si>
    <t>Kemény felületekre szánt tisztítószer esetén adja meg a termék rendeltetését (pl. fürdőszobai tisztító, vízkőeltávolító WC tisztító, padlótisztító stb.)</t>
  </si>
  <si>
    <t>A termék halmazállapota:</t>
  </si>
  <si>
    <t>Figyelmeztető mondatok 
(H-mondatok)</t>
  </si>
  <si>
    <t>A koncentrátum sűrűsége (folyékony/gél állapotú tisztítószer esetén)</t>
  </si>
  <si>
    <t>pH (koncentrátum)</t>
  </si>
  <si>
    <t>pH (használatra kész)</t>
  </si>
  <si>
    <t>Ajánlott felhasználási terület</t>
  </si>
  <si>
    <t>A háztartási felhasználásra szánt termékek nem tartalmazhatnak a gyártó által szándékosan hozzáadott mikroorganizmusokat.</t>
  </si>
  <si>
    <t>Tartósítószert tartalmaz</t>
  </si>
  <si>
    <t>Illatanyagokat tartalmaz</t>
  </si>
  <si>
    <t>Színezéket tartalmaz</t>
  </si>
  <si>
    <t>Mikroorganizmusokat tartalmaz</t>
  </si>
  <si>
    <t>Enzimeket tartalmaz</t>
  </si>
  <si>
    <t>Pálmaolajat, pálmamagbélolajat vagy ezek származékait tartalmazza</t>
  </si>
  <si>
    <t>Referenciaadag:</t>
  </si>
  <si>
    <t>A használatra kész kemény felületekre szánt tisztítószerek esetében 1000-t, az öblítőszerek esetében 3-t kell beírni</t>
  </si>
  <si>
    <t>A gyártó által 1 liter, átlagosan szennyezett felület /ruha/ edény tisztítására alkalmas tisztítószeroldat elkészítéséhez ajánlott legnagyobb adag (g/l vagy ml/l). Használatra kész termékek esetében 1 liter használatra kész termék.</t>
  </si>
  <si>
    <t>A referenciaadag mértékegysége (válassza ki!)</t>
  </si>
  <si>
    <t xml:space="preserve">Tisztítószer esetén válassza a 2.vagy 3., kézi mosogatószer esetén a 4. vagy 5., mosószer esetén a 6. vagy 7., gépi mosogatószer esetén a 8. vagy 9. választ! </t>
  </si>
  <si>
    <t>420</t>
  </si>
  <si>
    <t>Referenciaadag
(g/a feltételrendszerben megadott egység)</t>
  </si>
  <si>
    <t>314</t>
  </si>
  <si>
    <t>A referenciaadagra vonatkozó határérték:</t>
  </si>
  <si>
    <t>A referenciaadagra vonatkozó határérték teljesül:</t>
  </si>
  <si>
    <t>1) 1272/2008/EK rendelet az anyagok és keverékek osztályozásáról, címkézéséről és csomagolásáról, a 67/548/EGK és az 1999/45/EK irányelv módosításáról és hatályon kívül helyezéséről, valamint az 1907/2006/EK rendelet módosításáról</t>
  </si>
  <si>
    <t>Összetétel</t>
  </si>
  <si>
    <r>
      <rPr>
        <b val="1"/>
        <sz val="10"/>
        <color indexed="8"/>
        <rFont val="Arial"/>
      </rPr>
      <t>A BIZOTTSÁG HATÁROZATA</t>
    </r>
  </si>
  <si>
    <r>
      <rPr>
        <sz val="10"/>
        <color indexed="8"/>
        <rFont val="Arial"/>
      </rPr>
      <t>2017/1214/EU a kézi mosogatószerek uniós ökocímke kritériumairól</t>
    </r>
  </si>
  <si>
    <r>
      <rPr>
        <b val="1"/>
        <sz val="10"/>
        <color indexed="8"/>
        <rFont val="Arial"/>
      </rPr>
      <t>Dátum:</t>
    </r>
  </si>
  <si>
    <r>
      <rPr>
        <b val="1"/>
        <sz val="10"/>
        <color indexed="8"/>
        <rFont val="Arial"/>
      </rPr>
      <t>Szerződés száma:</t>
    </r>
  </si>
  <si>
    <r>
      <rPr>
        <b val="1"/>
        <sz val="10"/>
        <color indexed="8"/>
        <rFont val="Arial"/>
      </rPr>
      <t>Verziószám:</t>
    </r>
  </si>
  <si>
    <r>
      <rPr>
        <b val="1"/>
        <sz val="10"/>
        <color indexed="8"/>
        <rFont val="Arial"/>
      </rPr>
      <t>Védjegyhasználó</t>
    </r>
  </si>
  <si>
    <r>
      <rPr>
        <b val="1"/>
        <sz val="10"/>
        <color indexed="8"/>
        <rFont val="Arial"/>
      </rPr>
      <t>A termék fajtája:</t>
    </r>
  </si>
  <si>
    <r>
      <rPr>
        <b val="1"/>
        <sz val="10"/>
        <color indexed="8"/>
        <rFont val="Arial"/>
      </rPr>
      <t>A termék halmazállapota:</t>
    </r>
  </si>
  <si>
    <t>lfd.</t>
  </si>
  <si>
    <t>Az alapanyag kereskedelmi megnevezése</t>
  </si>
  <si>
    <t>Gyártó / Forgalmazó:</t>
  </si>
  <si>
    <t>Funkciója a termékben</t>
  </si>
  <si>
    <t>A készítményen belüli aránya</t>
  </si>
  <si>
    <t>Gyártói megfelelőségi nyilatkozat</t>
  </si>
  <si>
    <t>Biztonsági adatlap</t>
  </si>
  <si>
    <t>Figyelmeztető mondatok 
(H-mondatok) 1)</t>
  </si>
  <si>
    <t>Funkciók előfordulásai</t>
  </si>
  <si>
    <t>szám</t>
  </si>
  <si>
    <t>(Kérjük, válassza ki vagy adja meg!)</t>
  </si>
  <si>
    <t>%
(=g/100 g termék)</t>
  </si>
  <si>
    <t>csatolva?</t>
  </si>
  <si>
    <t>Kitöltött sorok száma</t>
  </si>
  <si>
    <t>Hiányzó biztonsági adatlap</t>
  </si>
  <si>
    <t>Van-e H-mondat?</t>
  </si>
  <si>
    <t>Víz</t>
  </si>
  <si>
    <t>-</t>
  </si>
  <si>
    <t>Illatanyagok</t>
  </si>
  <si>
    <t>Tartósítószerek</t>
  </si>
  <si>
    <t>Színezékek</t>
  </si>
  <si>
    <t>Összesen:</t>
  </si>
  <si>
    <t>Hiányzók összesen:</t>
  </si>
  <si>
    <t>(100-t adjon ki!)</t>
  </si>
  <si>
    <t>A pályázó megjegyzései</t>
  </si>
  <si>
    <t>Alapanyagok</t>
  </si>
  <si>
    <r>
      <rPr>
        <sz val="8"/>
        <color indexed="8"/>
        <rFont val="Arial"/>
      </rPr>
      <t>lfd.</t>
    </r>
  </si>
  <si>
    <r>
      <rPr>
        <b val="1"/>
        <sz val="9"/>
        <color indexed="8"/>
        <rFont val="Arial"/>
      </rPr>
      <t>Összetevők 2)</t>
    </r>
  </si>
  <si>
    <t>Melyik felhasznált alapanyagban?</t>
  </si>
  <si>
    <t>Konz</t>
  </si>
  <si>
    <t>Aktív összetevő</t>
  </si>
  <si>
    <r>
      <rPr>
        <sz val="8"/>
        <color indexed="21"/>
        <rFont val="Arial"/>
      </rPr>
      <t>A készítményen belüli aránya</t>
    </r>
  </si>
  <si>
    <t>CAS-</t>
  </si>
  <si>
    <r>
      <rPr>
        <b val="1"/>
        <sz val="8"/>
        <color indexed="8"/>
        <rFont val="Arial"/>
      </rPr>
      <t>Funkciója a termékben</t>
    </r>
  </si>
  <si>
    <r>
      <rPr>
        <b val="1"/>
        <sz val="8"/>
        <color indexed="8"/>
        <rFont val="Arial"/>
      </rPr>
      <t>A készítményen belüli aránya</t>
    </r>
  </si>
  <si>
    <r>
      <rPr>
        <b val="1"/>
        <sz val="8"/>
        <color indexed="8"/>
        <rFont val="Arial"/>
      </rPr>
      <t xml:space="preserve">Figyelmeztető mondatok 
</t>
    </r>
    <r>
      <rPr>
        <b val="1"/>
        <sz val="8"/>
        <color indexed="8"/>
        <rFont val="Arial"/>
      </rPr>
      <t>(H-mondatok) 1)</t>
    </r>
  </si>
  <si>
    <t xml:space="preserve">Amennyiben H-mondat vonatkozik rá, kivételnek számít, mert:
</t>
  </si>
  <si>
    <t>Tartósítószerek esetén lehetséges válaszok:  BCF / log Kow, színezékek esetén:</t>
  </si>
  <si>
    <t>Érték</t>
  </si>
  <si>
    <t>Formája / Halmazállapota a termékben</t>
  </si>
  <si>
    <t>Szerves anyag</t>
  </si>
  <si>
    <t>Pálmaolajat / Pálmamagolajat tartalmaz</t>
  </si>
  <si>
    <t>Tensid</t>
  </si>
  <si>
    <t>(für Tenside)</t>
  </si>
  <si>
    <t>VOC
(bp &lt; 150°C)</t>
  </si>
  <si>
    <t>Elemi foszfor</t>
  </si>
  <si>
    <t>H mondatok</t>
  </si>
  <si>
    <r>
      <rPr>
        <sz val="8"/>
        <color indexed="8"/>
        <rFont val="Arial"/>
      </rPr>
      <t>szám</t>
    </r>
  </si>
  <si>
    <t>megnevezése (IUPAC szerint)</t>
  </si>
  <si>
    <t>(kérjük, válassza ki)</t>
  </si>
  <si>
    <t>VP</t>
  </si>
  <si>
    <t>aránya az alapanyagban, %</t>
  </si>
  <si>
    <r>
      <rPr>
        <sz val="8"/>
        <color indexed="21"/>
        <rFont val="Arial"/>
      </rPr>
      <t xml:space="preserve">%
</t>
    </r>
    <r>
      <rPr>
        <sz val="8"/>
        <color indexed="21"/>
        <rFont val="Arial"/>
      </rPr>
      <t>(=g/100 g termék)</t>
    </r>
  </si>
  <si>
    <r>
      <rPr>
        <b val="1"/>
        <sz val="8"/>
        <color indexed="8"/>
        <rFont val="Arial"/>
      </rPr>
      <t>szám</t>
    </r>
  </si>
  <si>
    <t>(válassza ki)</t>
  </si>
  <si>
    <r>
      <rPr>
        <sz val="8"/>
        <color indexed="8"/>
        <rFont val="Arial"/>
      </rPr>
      <t xml:space="preserve">%
</t>
    </r>
    <r>
      <rPr>
        <sz val="8"/>
        <color indexed="8"/>
        <rFont val="Arial"/>
      </rPr>
      <t>(=g/100 g termék)</t>
    </r>
  </si>
  <si>
    <t>Amennyiben a H/EUH mondatok között a feltételrendszer által kizárt mondat is van, a mező szövege pirosra változik</t>
  </si>
  <si>
    <r>
      <rPr>
        <sz val="8"/>
        <color indexed="8"/>
        <rFont val="Arial"/>
      </rPr>
      <t>(válassza ki)</t>
    </r>
  </si>
  <si>
    <r>
      <rPr>
        <sz val="8"/>
        <color indexed="8"/>
        <rFont val="Arial"/>
      </rPr>
      <t>BCF  /  log Kow /  Élelmiszerekre is engedélyezett</t>
    </r>
  </si>
  <si>
    <t>BCF / log Kow</t>
  </si>
  <si>
    <t>mit H400</t>
  </si>
  <si>
    <t>mit H412</t>
  </si>
  <si>
    <t>mit H400 oder 412</t>
  </si>
  <si>
    <t>(az anyag moilekulasúlyának %-ában)</t>
  </si>
  <si>
    <t>Felületaktív?</t>
  </si>
  <si>
    <t>Könnyen lebomló?</t>
  </si>
  <si>
    <t>AA és AB együtt</t>
  </si>
  <si>
    <t>Anaerob úton lebontható?</t>
  </si>
  <si>
    <t>Felületaktív és anaerob úton lebomló?</t>
  </si>
  <si>
    <t>Surfactant és nem DID-listás?</t>
  </si>
  <si>
    <t>Szerves anyag és nem DID-listás?</t>
  </si>
  <si>
    <t>Nem Did-listás</t>
  </si>
  <si>
    <t>Pálmaolajat tartalmaz</t>
  </si>
  <si>
    <t>H400 és felületaktív</t>
  </si>
  <si>
    <t xml:space="preserve">H412 </t>
  </si>
  <si>
    <t xml:space="preserve">H317 </t>
  </si>
  <si>
    <t xml:space="preserve">H334 </t>
  </si>
  <si>
    <t xml:space="preserve">H351 </t>
  </si>
  <si>
    <t>BCF/Log Kow</t>
  </si>
  <si>
    <t>Élelmiszerekben nem eng. Színezék</t>
  </si>
  <si>
    <t>Mentesített</t>
  </si>
  <si>
    <r>
      <rPr>
        <b val="1"/>
        <sz val="8"/>
        <color indexed="8"/>
        <rFont val="Arial"/>
      </rPr>
      <t>Víz</t>
    </r>
  </si>
  <si>
    <t>és felületaktív</t>
  </si>
  <si>
    <t>és enzim</t>
  </si>
  <si>
    <t>N</t>
  </si>
  <si>
    <t>eng.</t>
  </si>
  <si>
    <t>nem eng.</t>
  </si>
  <si>
    <r>
      <rPr>
        <b val="1"/>
        <sz val="12"/>
        <color indexed="8"/>
        <rFont val="Arial"/>
      </rPr>
      <t>Összesen:</t>
    </r>
  </si>
  <si>
    <t>Kitöltött összesen:</t>
  </si>
  <si>
    <r>
      <rPr>
        <i val="1"/>
        <sz val="10"/>
        <color indexed="8"/>
        <rFont val="Arial"/>
      </rPr>
      <t>1) 1272/2008/EK rendelet az anyagok és keverékek osztályozásáról, címkézéséről és csomagolásáról, a 67/548/EGK és az 1999/45/EK irányelv módosításáról és hatályon kívül helyezéséről, valamint az 1907/2006/EK rendelet módosításáról</t>
    </r>
  </si>
  <si>
    <t>2) Adjon meg minden, a termékben  ≥ 0,01% arányban jelen levő hozzáadott összetevőt, beleértve a tartósítószereket, illatanyagokat és színezékeket, koncentrációjuktól függetlenül. Amennyiben valamelyik felhasznált illatanyag aránya a termékben nagyobb, mint 0,01%, az illatanyag összetevőit kell felsorolni.</t>
  </si>
  <si>
    <r>
      <rPr>
        <sz val="8"/>
        <color indexed="8"/>
        <rFont val="Arial"/>
      </rPr>
      <t>A pályázó megjegyzései</t>
    </r>
  </si>
  <si>
    <t>Alapanyagok_DID</t>
  </si>
  <si>
    <r>
      <rPr>
        <sz val="8"/>
        <color indexed="8"/>
        <rFont val="Arial"/>
      </rPr>
      <t>Összetevők 2)</t>
    </r>
  </si>
  <si>
    <r>
      <rPr>
        <sz val="8"/>
        <color indexed="8"/>
        <rFont val="Arial"/>
      </rPr>
      <t>Melyik felhasznált alapanyagban?</t>
    </r>
  </si>
  <si>
    <t>DID- 1)</t>
  </si>
  <si>
    <t>Az összetevő neve</t>
  </si>
  <si>
    <r>
      <rPr>
        <sz val="8"/>
        <color indexed="8"/>
        <rFont val="Arial"/>
      </rPr>
      <t>A készítményen belüli aránya</t>
    </r>
  </si>
  <si>
    <t>Csak akkor töltse ki, ha az anyag nem szerepel a DID-listán.</t>
  </si>
  <si>
    <t>anNBO összetevőkre vonatkozó mentesség</t>
  </si>
  <si>
    <r>
      <rPr>
        <sz val="8"/>
        <color indexed="8"/>
        <rFont val="Arial"/>
      </rPr>
      <t>LT</t>
    </r>
  </si>
  <si>
    <r>
      <rPr>
        <sz val="8"/>
        <color indexed="8"/>
        <rFont val="Arial"/>
      </rPr>
      <t>TT krónikus</t>
    </r>
  </si>
  <si>
    <t>biológiai lebonthatóság</t>
  </si>
  <si>
    <r>
      <rPr>
        <sz val="8"/>
        <color indexed="8"/>
        <rFont val="Arial"/>
      </rPr>
      <t>megnevezése (IUPAC szerint)</t>
    </r>
  </si>
  <si>
    <t>a DID-jegyzékben</t>
  </si>
  <si>
    <t>LT</t>
  </si>
  <si>
    <t>Aerob</t>
  </si>
  <si>
    <t>Anaerob</t>
  </si>
  <si>
    <t>in mg/l</t>
  </si>
  <si>
    <r>
      <rPr>
        <sz val="8"/>
        <color indexed="8"/>
        <rFont val="Arial"/>
      </rPr>
      <t>Aerob</t>
    </r>
  </si>
  <si>
    <r>
      <rPr>
        <sz val="8"/>
        <color indexed="8"/>
        <rFont val="Arial"/>
      </rPr>
      <t>Anaerob</t>
    </r>
  </si>
  <si>
    <r>
      <rPr>
        <sz val="8"/>
        <color indexed="8"/>
        <rFont val="Arial"/>
      </rPr>
      <t>anNBO összetevőkre vonatkozó mentesség alapján</t>
    </r>
  </si>
  <si>
    <t xml:space="preserve">   </t>
  </si>
  <si>
    <r>
      <rPr>
        <b val="1"/>
        <sz val="11"/>
        <color indexed="8"/>
        <rFont val="Arial"/>
      </rPr>
      <t>Összesen:</t>
    </r>
  </si>
  <si>
    <r>
      <rPr>
        <b val="1"/>
        <sz val="10"/>
        <color indexed="8"/>
        <rFont val="Arial"/>
      </rPr>
      <t>(100-t adjon ki!)</t>
    </r>
  </si>
  <si>
    <t>1): A DID-szám kiválasztása esetén az M és N oszlopok (LT, TT), illetve az O és P oszlopok (biológiai lebonthatóság) automatikusan kitöltődnek. Ha az anyag nem szerepel a DID-listában, válassza a "nem szerepel" választ, és töltse ki a H_K oszlopokban az LT/TT -re és a biológiai lebonthatóságra vonatkozó értékeket.</t>
  </si>
  <si>
    <r>
      <rPr>
        <i val="1"/>
        <sz val="10"/>
        <color indexed="8"/>
        <rFont val="Arial"/>
      </rPr>
      <t>2) Minden hozzáadott anyag automatikusan megjelenik.</t>
    </r>
  </si>
  <si>
    <t>aerob</t>
  </si>
  <si>
    <t xml:space="preserve">R = </t>
  </si>
  <si>
    <t>Biológiailag könnyen lebomló az OECD iránymutatás szerint</t>
  </si>
  <si>
    <t xml:space="preserve">I = </t>
  </si>
  <si>
    <t>Biológiailag potenciális lebomló az OECD iránymutatás szerint</t>
  </si>
  <si>
    <t xml:space="preserve">P = </t>
  </si>
  <si>
    <t>Biológiai úton nehezen lebontható. Az összetevő a vizsgálat során nem bizonyult biológiailag potenciálisan lebomlónak.</t>
  </si>
  <si>
    <t>O =</t>
  </si>
  <si>
    <t>Az összetevőt nem vizsgálták</t>
  </si>
  <si>
    <t>NA =</t>
  </si>
  <si>
    <t xml:space="preserve">Nem alkalmazható / Nem értelmezhető </t>
  </si>
  <si>
    <t>anaerob</t>
  </si>
  <si>
    <t xml:space="preserve">Y = </t>
  </si>
  <si>
    <t>Anaerob körülmények között biológiailag lebontható</t>
  </si>
  <si>
    <t xml:space="preserve">N = </t>
  </si>
  <si>
    <t>Anaerob körülmények között nem lebontható</t>
  </si>
  <si>
    <t xml:space="preserve">O = </t>
  </si>
  <si>
    <t xml:space="preserve">NA = </t>
  </si>
  <si>
    <t>Nem értelmezhető/ Nem alkalmazható</t>
  </si>
  <si>
    <t>Eredmények-1</t>
  </si>
  <si>
    <t>adag</t>
  </si>
  <si>
    <r>
      <rPr>
        <sz val="8"/>
        <color indexed="8"/>
        <rFont val="Arial"/>
      </rPr>
      <t>KHT krónikus</t>
    </r>
  </si>
  <si>
    <t>Biológiailag nem lebomló felületaktív anyag</t>
  </si>
  <si>
    <t xml:space="preserve">Anaerob körülmények között nem lebomló felületaktív anyag (H400/H412) </t>
  </si>
  <si>
    <t>Biológiai úton nehezen lebontható szervesanyag</t>
  </si>
  <si>
    <t>Anaerob módon biológiailag nem lebontható  szervesanyag</t>
  </si>
  <si>
    <t>VOC</t>
  </si>
  <si>
    <r>
      <rPr>
        <sz val="8"/>
        <color indexed="8"/>
        <rFont val="Arial"/>
      </rPr>
      <t>Elemi foszfor</t>
    </r>
  </si>
  <si>
    <t>(g/...)</t>
  </si>
  <si>
    <t>( l/...)</t>
  </si>
  <si>
    <r>
      <rPr>
        <sz val="8"/>
        <color indexed="8"/>
        <rFont val="Arial"/>
      </rPr>
      <t>(g/...)</t>
    </r>
  </si>
  <si>
    <r>
      <rPr>
        <b val="1"/>
        <sz val="10"/>
        <color indexed="8"/>
        <rFont val="Arial"/>
      </rPr>
      <t>Összesen:</t>
    </r>
  </si>
  <si>
    <t>x</t>
  </si>
  <si>
    <r>
      <rPr>
        <sz val="8"/>
        <color indexed="8"/>
        <rFont val="Arial"/>
      </rPr>
      <t>=KHT krónikus</t>
    </r>
  </si>
  <si>
    <t>=aNBO (felületaktív anyag)</t>
  </si>
  <si>
    <t>=anNBO (felületaktív H400/H412)</t>
  </si>
  <si>
    <t>=aNBO (szerves anyag)</t>
  </si>
  <si>
    <t>=anNBO (szerves anyag)</t>
  </si>
  <si>
    <t>=VOC</t>
  </si>
  <si>
    <t>=P</t>
  </si>
  <si>
    <t>Határérték</t>
  </si>
  <si>
    <t>Eredmény</t>
  </si>
  <si>
    <t>ok</t>
  </si>
  <si>
    <r>
      <rPr>
        <sz val="8"/>
        <color indexed="8"/>
        <rFont val="Arial"/>
      </rPr>
      <t>Víz</t>
    </r>
  </si>
  <si>
    <t>Eredmények-2</t>
  </si>
  <si>
    <r>
      <rPr>
        <sz val="9"/>
        <color indexed="8"/>
        <rFont val="Arial"/>
      </rPr>
      <t>2017/1214/EU a kézi mosogatószerek uniós ökocímke kritériumairól</t>
    </r>
  </si>
  <si>
    <t>Termelési időszak kezdete:</t>
  </si>
  <si>
    <t>A szóban forgó termék termelési volumene, t</t>
  </si>
  <si>
    <t>vége:</t>
  </si>
  <si>
    <r>
      <rPr>
        <sz val="8"/>
        <color indexed="8"/>
        <rFont val="Arial"/>
      </rPr>
      <t>Forgalmazó / Termék neve (Ország):</t>
    </r>
  </si>
  <si>
    <r>
      <rPr>
        <b val="1"/>
        <sz val="8"/>
        <color indexed="8"/>
        <rFont val="Arial"/>
      </rPr>
      <t>Összetevők 2)</t>
    </r>
  </si>
  <si>
    <t>Ellenőrzés</t>
  </si>
  <si>
    <t>A pálmaolaj / pálmamagolaj aránya, %</t>
  </si>
  <si>
    <t>A pálmaolaj/pálmamagolaj volumene, t</t>
  </si>
  <si>
    <t>Részletezés</t>
  </si>
  <si>
    <t>(=a termék gyártójának nyilatkozata)</t>
  </si>
  <si>
    <t>vagy a nyersanyag volumene (elkülönítés/tömegmérleg szerinti), tonna</t>
  </si>
  <si>
    <t>2) Csak a pálmaolajat / pálmamagolajat tartalmazó alapanyagok láthatók</t>
  </si>
  <si>
    <t>Kiszerelés 1-4</t>
  </si>
  <si>
    <t>1. kiszerelés</t>
  </si>
  <si>
    <t>3. kiszerelés</t>
  </si>
  <si>
    <t>A csomagolás leírása:</t>
  </si>
  <si>
    <r>
      <rPr>
        <b val="1"/>
        <sz val="10"/>
        <color indexed="8"/>
        <rFont val="Arial"/>
      </rPr>
      <t>A csomagolás leírása:</t>
    </r>
  </si>
  <si>
    <t>A THA számítás szempontjából kivételt jelent? (Válasszon)</t>
  </si>
  <si>
    <r>
      <rPr>
        <b val="1"/>
        <sz val="10"/>
        <color indexed="8"/>
        <rFont val="Arial"/>
      </rPr>
      <t>A THA számítás szempontjából kivételt jelent? (Válasszon)</t>
    </r>
  </si>
  <si>
    <t>Az elsődleges csomagolásban található  termék tömege (ha a referenciaadag ml-ben lett megadva, itt a tömeget literben, ha a referenciaadag g-ban volt megadva, itt a tömeget kg-ban kell megadni)</t>
  </si>
  <si>
    <r>
      <rPr>
        <b val="1"/>
        <sz val="10"/>
        <color indexed="8"/>
        <rFont val="Arial"/>
      </rPr>
      <t>Az elsődleges csomagolásban található  termék tömege (ha a referenciaadag ml-ben lett megadva, itt a tömeget literben, ha a referenciaadag g-ban volt megadva, itt a tömeget kg-ban kell megadni)</t>
    </r>
  </si>
  <si>
    <t>Az elsődleges csomagolás (i) része
(Kérjük, nevezze meg!)</t>
  </si>
  <si>
    <r>
      <rPr>
        <b val="1"/>
        <sz val="10"/>
        <color indexed="8"/>
        <rFont val="Arial"/>
      </rPr>
      <t>Az (i) rész súlya, gramm (Ti)</t>
    </r>
  </si>
  <si>
    <r>
      <rPr>
        <b val="1"/>
        <sz val="10"/>
        <color indexed="8"/>
        <rFont val="Arial"/>
      </rPr>
      <t>az i elsődleges csomagolás nem fogyasztóktól visszavett csomagolóanyag-hulladék  újrahasznosításából származó részének tömege, gramm (Hi)</t>
    </r>
  </si>
  <si>
    <r>
      <rPr>
        <b val="1"/>
        <sz val="10"/>
        <color indexed="8"/>
        <rFont val="Arial"/>
      </rPr>
      <t>Újratöltési mutató (Ri)</t>
    </r>
  </si>
  <si>
    <t>(Di)</t>
  </si>
  <si>
    <t>=( Ti + Hi ) /
 ( Di x Ri )</t>
  </si>
  <si>
    <r>
      <rPr>
        <b val="1"/>
        <sz val="10"/>
        <color indexed="8"/>
        <rFont val="Arial"/>
      </rPr>
      <t xml:space="preserve">Az elsődleges csomagolás (i) része
</t>
    </r>
    <r>
      <rPr>
        <b val="1"/>
        <sz val="10"/>
        <color indexed="8"/>
        <rFont val="Arial"/>
      </rPr>
      <t>(Kérjük, nevezze meg!)</t>
    </r>
  </si>
  <si>
    <r>
      <rPr>
        <b val="1"/>
        <sz val="10"/>
        <color indexed="8"/>
        <rFont val="Arial"/>
      </rPr>
      <t>(Di)</t>
    </r>
  </si>
  <si>
    <r>
      <rPr>
        <b val="1"/>
        <sz val="10"/>
        <color indexed="8"/>
        <rFont val="Arial"/>
      </rPr>
      <t xml:space="preserve">=( Ti + Hi ) /
</t>
    </r>
    <r>
      <rPr>
        <b val="1"/>
        <sz val="10"/>
        <color indexed="8"/>
        <rFont val="Arial"/>
      </rPr>
      <t xml:space="preserve"> ( Di x Ri )</t>
    </r>
  </si>
  <si>
    <t>=THA</t>
  </si>
  <si>
    <r>
      <rPr>
        <b val="1"/>
        <sz val="10"/>
        <color indexed="8"/>
        <rFont val="Arial"/>
      </rPr>
      <t>=THA</t>
    </r>
  </si>
  <si>
    <r>
      <rPr>
        <b val="1"/>
        <sz val="10"/>
        <color indexed="8"/>
        <rFont val="Arial"/>
      </rPr>
      <t>Határérték</t>
    </r>
  </si>
  <si>
    <t>Újrahasznosított anyagok aránya az elsődleges csomagolásban:</t>
  </si>
  <si>
    <r>
      <rPr>
        <b val="1"/>
        <sz val="10"/>
        <color indexed="8"/>
        <rFont val="Arial"/>
      </rPr>
      <t>Újrahasznosított anyagok aránya az elsődleges csomagolásban:</t>
    </r>
  </si>
  <si>
    <r>
      <rPr>
        <b val="1"/>
        <sz val="10"/>
        <color indexed="8"/>
        <rFont val="Arial"/>
      </rPr>
      <t>Eredmény</t>
    </r>
  </si>
  <si>
    <t>Csomagoláselem ( a pumpa kivételével - a permetezett anyagoknál is)</t>
  </si>
  <si>
    <r>
      <rPr>
        <b val="1"/>
        <sz val="10"/>
        <color indexed="8"/>
        <rFont val="Arial"/>
      </rPr>
      <t>Csomagoláselem ( a pumpa kivételével - a permetezett anyagoknál is)</t>
    </r>
  </si>
  <si>
    <t>A tartály vagy palack anyaga</t>
  </si>
  <si>
    <r>
      <rPr>
        <b val="1"/>
        <sz val="10"/>
        <color indexed="8"/>
        <rFont val="Arial"/>
      </rPr>
      <t>A tartály vagy palack anyaga</t>
    </r>
  </si>
  <si>
    <t>A címke/ráhúzható címke anyaga</t>
  </si>
  <si>
    <r>
      <rPr>
        <b val="1"/>
        <sz val="10"/>
        <color indexed="8"/>
        <rFont val="Arial"/>
      </rPr>
      <t>A címke/ráhúzható címke anyaga</t>
    </r>
  </si>
  <si>
    <t>A záróelem anyaga</t>
  </si>
  <si>
    <r>
      <rPr>
        <b val="1"/>
        <sz val="10"/>
        <color indexed="8"/>
        <rFont val="Arial"/>
      </rPr>
      <t>A záróelem anyaga</t>
    </r>
  </si>
  <si>
    <t>A záróréteg-bevonat anyaga</t>
  </si>
  <si>
    <r>
      <rPr>
        <b val="1"/>
        <sz val="10"/>
        <color indexed="8"/>
        <rFont val="Arial"/>
      </rPr>
      <t>A záróréteg-bevonat anyaga</t>
    </r>
  </si>
  <si>
    <t>2. kiszerelés</t>
  </si>
  <si>
    <t>4. kiszerelés</t>
  </si>
  <si>
    <t>Kiszerelés 5-8</t>
  </si>
  <si>
    <t>Kiszerelések kitöltöttsége</t>
  </si>
  <si>
    <t>5. kiszerelés</t>
  </si>
  <si>
    <t>7. kiszerelés</t>
  </si>
  <si>
    <t>=( Wi + Ui ) /
 ( Di x ri )</t>
  </si>
  <si>
    <r>
      <rPr>
        <b val="1"/>
        <sz val="10"/>
        <color indexed="8"/>
        <rFont val="Arial"/>
      </rPr>
      <t xml:space="preserve">=( Wi + Ui ) /
</t>
    </r>
    <r>
      <rPr>
        <b val="1"/>
        <sz val="10"/>
        <color indexed="8"/>
        <rFont val="Arial"/>
      </rPr>
      <t xml:space="preserve"> ( Di x ri )</t>
    </r>
  </si>
  <si>
    <t>6. kiszerelés</t>
  </si>
  <si>
    <t>8. kiszerelés</t>
  </si>
  <si>
    <t>Nyilatkozatok_1</t>
  </si>
  <si>
    <t>2. A kézi mosogatószer gyártójának nyilatkozata</t>
  </si>
  <si>
    <t>A termék neve:</t>
  </si>
  <si>
    <t>Alulírott,</t>
  </si>
  <si>
    <t>mint az uniós ökocímkére pályázó</t>
  </si>
  <si>
    <t>Töltse ki az 'Adatlap' munkalapon a D7 mezőt!</t>
  </si>
  <si>
    <t>felelős vezetője kijelentem, hogy a pályázati dokumentációban a termékre és a termék előállítására megadott információk megfelelnek a valóságnak.</t>
  </si>
  <si>
    <t>Jelölje be!</t>
  </si>
  <si>
    <t xml:space="preserve">Kijelentem, hogy a termék megfelel azon ország(ok) valamennyi vonatkozó jogi követelményének, amely(ek)ben a terméket forgalmazni kívánjuk. </t>
  </si>
  <si>
    <t>Kijelentem, hogy a pályázat összeállításához a DID-jegyzék legfrissebb, az uniós ökocímke honlapon található változatát használtuk.</t>
  </si>
  <si>
    <t>A termék besorolása:</t>
  </si>
  <si>
    <t>Válassza ki a megfelelőt!</t>
  </si>
  <si>
    <t>Általános tisztítószer, azaz olyan termék, amely többek között az olyan kemény felületek, mint a falak, padlók és egyéb rögzített felületek rendszeres beltéri tisztítására szolgál.</t>
  </si>
  <si>
    <t>Konyhai tisztítószer, amelyet többek között az olyan konyhai felületek, mint a konyhapultok, tűzhelyek, konyhai mosogatók és konyhai készülékek felületeinek rendszeres tisztítására és zsírtalanítására szántak.</t>
  </si>
  <si>
    <t>Ablaktisztítószer, amely többek között az ablakok, üveg és más csiszolt felületek rendszeres tisztítására szolgál</t>
  </si>
  <si>
    <t>Szaniterhelyiségek tisztításához használt tisztítószer, többek között a szaniterhelyiségek (például mosókonyhák, WC-k, fürdőszobák és zuhanyozók) szennyeződéseinek és lerakódásainak – többek között súrolással való – rendszeres eltávolítására</t>
  </si>
  <si>
    <t>A pályázatban szereplő termék:</t>
  </si>
  <si>
    <t>Üzleti célú (professzionális) felhasználásra szánt termék</t>
  </si>
  <si>
    <t>Háztartási felhasználásra szánt termék. A háztartási felhasználásra szánt termékek nem tartalmazhatnak a gyártó által szándékosan hozzáadott mikroorganizmusokat.</t>
  </si>
  <si>
    <t>Felhasználásra kész termék</t>
  </si>
  <si>
    <t>Hígítatlan termék</t>
  </si>
  <si>
    <t>Felhasználásra kész és hígítatlan termék egy közös csomagolásban (pl. egy flakon felhasználásra kész termék és egy utántöltéshez használható hígítatlan termék).</t>
  </si>
  <si>
    <t>Hígítatlan termék (pl. kapszula), amelyet elsősorban szórófejes palackok utántöltéséhez forgalmaznak.</t>
  </si>
  <si>
    <t>Kijelentem, hogy a termék vegyi anyagok keveréke.</t>
  </si>
  <si>
    <t>Kijelentem, hogy a termék többek  között üvegáru, cserépedények és konyhai eszközök, például evőeszközök,  fazekak, serpenyők és  sütőedények  kézi mosogatásához való felhasználására szolgál.</t>
  </si>
  <si>
    <t>Kijelentem, hogy a termék vegyi anyagok keveréke, és nem tartalmaz a gyártó által szándékosan hozzáadott mikroorganizmusokat.</t>
  </si>
  <si>
    <t>Kijelentem, hogy a termék 30 °C-on vagy annál alacsonyabb hőmérsékleten is hatékony.</t>
  </si>
  <si>
    <t>Kijelentem, hogy a termék elsősorban háztartási mosógépekben való használatra szolgált, de felhasználható önkiszolgáló és nyilvános mosodákban is.</t>
  </si>
  <si>
    <t>Kijelentem, hogy a termék nem textilöblítő vagy olyan termék, amelynek egy-egy adagjával tisztítókendők, ruhák vagy egyéb anyagok vannak átitatva, sem pedig önmagában használható, utólagos mosást nem igénylő tisztítószer (mint például a szőnyeg- és kárpittisztítók).</t>
  </si>
  <si>
    <t>Kijelentem, hogy a pályázatban szereplő termék kizárólag háztartási mosogatógépekben, illetve hasonló méretű és igénybevételű professzionális automata mosogatógépekben való felhasználásra szolgál, és ilyen gépek számára kerül forgalomba.</t>
  </si>
  <si>
    <t>Nyilatkozatok_2</t>
  </si>
  <si>
    <t>Összetevők</t>
  </si>
  <si>
    <t>Az Alapanyagok! munkalapon</t>
  </si>
  <si>
    <t>kitöltött sorok száma:</t>
  </si>
  <si>
    <t>Kijelentem, hogy a termék minden összetevője szerepel az alábbi táblázatban.</t>
  </si>
  <si>
    <t>A termék víztartalma:  (súly) %</t>
  </si>
  <si>
    <t>Összetevő (*)</t>
  </si>
  <si>
    <t>Szerepe a termékben (pl. felületaktív anyag, építő vagy adalékanyag stb.)</t>
  </si>
  <si>
    <t>CAS szám (vagy CI szám vagy más pontos meghatározás)</t>
  </si>
  <si>
    <t>DID szám (ha van)</t>
  </si>
  <si>
    <t>Koncentráció (%m/m)</t>
  </si>
  <si>
    <t>kereskedelmi megnevezése (ha van)</t>
  </si>
  <si>
    <t>kémiai megnevezése**</t>
  </si>
  <si>
    <t>Az Összetétel munkalapon az utolsó kitöltött sor sorszáma:</t>
  </si>
  <si>
    <t>üres</t>
  </si>
  <si>
    <t>(*) A tartósítószereket, illatanyagokat és színezőanyagokat a koncentrációjuktól függetlenül fel kell tüntetni. Az egyéb felhasznált anyagokat akkor kell feltüntetni, ha koncentrációjuk a termékben legalább 0,010 %(m/m).</t>
  </si>
  <si>
    <t>(**) A jegyzékben minden, nanoanyag formájában jelen lévő alapanyagot egyértelműen meg kell jelölni a mellette zárójelben lévő „nano” szóval.</t>
  </si>
  <si>
    <t>Csatolom a jegyzékben szereplő minden egyes felhasznált anyagnak az 1907/2006/EK európai parlamenti és tanácsi rendeletnek (1) megfelelő biztonsági adatlapját.</t>
  </si>
  <si>
    <t>A keverékekben található összetevők esetében csatolom a keverék adatlapját.</t>
  </si>
  <si>
    <t>1/ Az Európai Parlament és a Tanács 1907/2006/EK rendelete (2006. december 18.) a vegyi anyagok regisztrálásáról, értékeléséről, engedélyezéséről és korlátozásáról (REACH)  (OJ L 396, 2006.12.30, p. 1).</t>
  </si>
  <si>
    <t>Nyilatkozatok_LD</t>
  </si>
  <si>
    <t>Ezt a munkalapot csak mosószerek és gépi mosogatószerek esetén kell kitölteni.</t>
  </si>
  <si>
    <t>1. kritérium – Adagolási követelmények</t>
  </si>
  <si>
    <t>A pályázatban szereplő termék</t>
  </si>
  <si>
    <t>Por alakú termék</t>
  </si>
  <si>
    <t xml:space="preserve">Folyékony/gél állagú termék. </t>
  </si>
  <si>
    <t>Kijelentem,  hogy a termék sűrűsége</t>
  </si>
  <si>
    <t>g/ml.</t>
  </si>
  <si>
    <t>Kijelentem, hogy a termék referenciaadagja nem haladja meg az alábbi határértéket.</t>
  </si>
  <si>
    <t>A termék intenzív tisztító hatású mosószer, színkímélő mosószer vagy kímélő mosószer.</t>
  </si>
  <si>
    <t>A referenciaadag</t>
  </si>
  <si>
    <t>g/1 kg mosnivaló</t>
  </si>
  <si>
    <t>(A határérték 16,0 g/1 kg mosnivaló.)</t>
  </si>
  <si>
    <t>A termék egy folttisztító (csak előkezelésre).</t>
  </si>
  <si>
    <t>(A határérték 2,7 g/1 kg mosnivaló.)</t>
  </si>
  <si>
    <t>A termék egy egyfunkciós gépi mosogatószer.</t>
  </si>
  <si>
    <t>g/mosogatás      (A határérték 19,0 g/mosogatás).</t>
  </si>
  <si>
    <t>A termék egy többfunkciós gépi mosogatószer.</t>
  </si>
  <si>
    <t>g/mosogatás      (A határérték 21,0 g/mosogatás).</t>
  </si>
  <si>
    <t>A termék egy öblítő, és az öblítők mentesülnek az adagolási követelmény alól.</t>
  </si>
  <si>
    <t>Csatolom az adagolási utasításokat tartalmazó termékcímkét, valamint a folyékony és a gél állagú termékek sűrűségét (g/ml) igazoló dokumentációt.</t>
  </si>
  <si>
    <t>Ellenőrizze a Termék adatlapon a C28, C38 és C39 mezők kitöltését!</t>
  </si>
  <si>
    <t>Nyilatkozatok_3</t>
  </si>
  <si>
    <t xml:space="preserve">1. kritérium - </t>
  </si>
  <si>
    <t>Vízi szervezetekre gyakorolt mérgező hatás</t>
  </si>
  <si>
    <t>Kijelentem, hogy a termék kritikus hígítási térfogata (KHTkrónikus) nem haladja meg a referenciaadagra vonatkozó határértékeket.</t>
  </si>
  <si>
    <t>A termék ebbe a kategóriába tartozik?</t>
  </si>
  <si>
    <t>Kemény felületekre szánt</t>
  </si>
  <si>
    <t>Mosószer</t>
  </si>
  <si>
    <t>Mosoga-tószer</t>
  </si>
  <si>
    <t>Gépi</t>
  </si>
  <si>
    <r>
      <rPr>
        <b val="1"/>
        <sz val="10"/>
        <color indexed="8"/>
        <rFont val="Arial"/>
      </rPr>
      <t>KHT krónikus</t>
    </r>
  </si>
  <si>
    <t>A KHT határértéke</t>
  </si>
  <si>
    <t>Határértéken belüli?</t>
  </si>
  <si>
    <t>mosogató</t>
  </si>
  <si>
    <t>(l/l tisztítószer oldat)</t>
  </si>
  <si>
    <t>Kézi mosogatószer</t>
  </si>
  <si>
    <t>Általános tisztítószer, hígítatlan</t>
  </si>
  <si>
    <t>Konyhai tisztítószer, használatra kész</t>
  </si>
  <si>
    <t xml:space="preserve">Konyhai tisztítószer, hígítatlan </t>
  </si>
  <si>
    <t>Ablaktisztítószer, használatra kész</t>
  </si>
  <si>
    <t>Ablaktisztítószer, hígítatlan</t>
  </si>
  <si>
    <t xml:space="preserve">Szanitertisztító, használatra kész </t>
  </si>
  <si>
    <t>Szanitertisztító, hígítatlan</t>
  </si>
  <si>
    <t xml:space="preserve">Hányszor van "nem </t>
  </si>
  <si>
    <t>A dupla feltételek egyike</t>
  </si>
  <si>
    <t>Csatolom a a termék kritikus hígítási térfogatára vonatkozó számítást tartalmazó munkalapot.</t>
  </si>
  <si>
    <t>szerepel" a DID-jegyzék</t>
  </si>
  <si>
    <t>(L22=Hamis, P22&gt;0)</t>
  </si>
  <si>
    <t>Válasszon az alábbi két válasz közül:</t>
  </si>
  <si>
    <t>A részében?</t>
  </si>
  <si>
    <t>(L24=Igaz, P22=0)</t>
  </si>
  <si>
    <t>A termék valamennyi összetevője szerepel a DID-jegyzék A. részében.</t>
  </si>
  <si>
    <t>X</t>
  </si>
  <si>
    <t>----</t>
  </si>
  <si>
    <t>A termék összetevői közül az alábbi táblázatban feltüntetettek nem szerepelnek a DID-jegyzék A. részében.</t>
  </si>
  <si>
    <t>1. táblázat</t>
  </si>
  <si>
    <t>2. táblázat</t>
  </si>
  <si>
    <t>Krónikus  vagy akut toxicitási tényező</t>
  </si>
  <si>
    <t>Vízben nem oldódó vagy nehezen oldható szervetlen anyag</t>
  </si>
  <si>
    <t>Az utolsó sor sorszáma:</t>
  </si>
  <si>
    <t>lebonthatóság</t>
  </si>
  <si>
    <t>utolsó sor 1</t>
  </si>
  <si>
    <t>Csatolom a DID-jegyzék A. részében nem szereplő összetevők akut és krónikus toxicitási értékeit, valamint az aerob módon történő biológiai lebonthatóságát tartalmazó aláírt nyilatkozatot. Csatolom továbbá az akut és krónikus toxicitási tényező, illetve a biológiai lebonthatósági tényező kiszámítását, továbbá a számításhoz használt adatokat alátámasztó dokumentációt.</t>
  </si>
  <si>
    <t xml:space="preserve">2. kritérium - </t>
  </si>
  <si>
    <t>Biológiai lebonthatóság</t>
  </si>
  <si>
    <t>a)</t>
  </si>
  <si>
    <t>A felületaktív anyagok biológiai lebonthatósága</t>
  </si>
  <si>
    <t>Kijelentem, hogy a termék kizárólag (aerob körülmények között) biológiailag könnyen lebomló felületaktív anyagokat tartalmaz.</t>
  </si>
  <si>
    <t>Kijelentem, hogy a termékben található minden olyan felületaktív anyag, amely az 1272/2008/EK európai parlamenti és tanácsi rendelet szerint veszélyes a vízi környezetre (H400 vagy H412 besorolású), anaerob körülmények között is biológiailag lebontható.</t>
  </si>
  <si>
    <t>A termékben található minden felületaktív anyag szerepel a DID-jegyzék A. részében.</t>
  </si>
  <si>
    <t>A termékben található felületaktív anyagok közül az alábbi táblázatban felsorolt anyagok nem szerepelnek a DID-jegyzék A. részében.</t>
  </si>
  <si>
    <t>A felületaktív anyag neve</t>
  </si>
  <si>
    <t>A vízi környezetre veszélyes besorolású anyag (H400, H412)</t>
  </si>
  <si>
    <t>A 2. táblázat utolsó sorának sorszáma:</t>
  </si>
  <si>
    <t>utolso_sor_2</t>
  </si>
  <si>
    <t>Csatolom a DID-jegyzék A. részében nem szereplő felületaktív anyagok biológiai lebonthatóságára vonatkozó dokumentációt.</t>
  </si>
  <si>
    <t>b)</t>
  </si>
  <si>
    <t>A szerves vegyületek biológiai lebonthatósága</t>
  </si>
  <si>
    <t>Kijelentem, hogy  a termék aerob úton biológiailag nehezen lebontható  (aNBO) vagy anaerob módon biológiailag nem lebontható (anNBO) szervesanyag-tartalma a referenciaadagban a következő határértékek alatt marad:</t>
  </si>
  <si>
    <t>aNBO</t>
  </si>
  <si>
    <t>anNBO</t>
  </si>
  <si>
    <t>g/1 liter tisztítószer oldat</t>
  </si>
  <si>
    <t>Mosószerfajták</t>
  </si>
  <si>
    <t>0,03</t>
  </si>
  <si>
    <t>0,08</t>
  </si>
  <si>
    <t>Csatolom a termék szervesanyag-tartalmára vonatkozó aNBO és anNBO számításokat tartalmazó munkalapot.</t>
  </si>
  <si>
    <t>Kijelentem, hogy a termékben található minden szervesanyag szerepel a DID-jegyzék A. részében.</t>
  </si>
  <si>
    <t>A termékben található szervesanyagok közül az alábbi táblázatban felsorolt anyagok nem szerepelnek a DID-jegyzék A. részében.</t>
  </si>
  <si>
    <t>A szerves vegyület neve</t>
  </si>
  <si>
    <r>
      <rPr>
        <b val="1"/>
        <sz val="10"/>
        <color indexed="8"/>
        <rFont val="Arial"/>
      </rPr>
      <t>Aerob</t>
    </r>
  </si>
  <si>
    <t>Adszorpció</t>
  </si>
  <si>
    <t>Deszorpció</t>
  </si>
  <si>
    <t>BCF vagy log Kow</t>
  </si>
  <si>
    <r>
      <rPr>
        <b val="1"/>
        <sz val="10"/>
        <color indexed="8"/>
        <rFont val="Arial"/>
      </rPr>
      <t>lebonthatóság</t>
    </r>
  </si>
  <si>
    <t>Csatolom az adatokat alátámasztó dokumentációt.</t>
  </si>
  <si>
    <t xml:space="preserve">3. kritérium - </t>
  </si>
  <si>
    <t>A pálmaolaj, pálmamagbélolaj és származékaik fenntartható gazdálkodásból való beszerzése</t>
  </si>
  <si>
    <t>Ellenőrizze a Termék munkalap C37 mezőjének és az Alapanyagok munkalap P oszlopának a kitöltését!</t>
  </si>
  <si>
    <t>Kijelentem, hogy a termék nem tartalmaz pálmaolajból és pálmamagbélolajból vagy ezek kémiai származékaiból származó alapanyagot.</t>
  </si>
  <si>
    <t>Kijelentem, hogy a termék pálmaolajból, pálmamagbélolajból vagy ezek kémiai származékaiból származó alapanyagot tartalmaz. Ezért:</t>
  </si>
  <si>
    <t>Kijelentem, hogy a termék alábbi alapanyagainak az előállításához felhasznált pálmaolaj és pálmamagbélolaj fenntartható gazdálkodást folytató ültetvényekről származik.</t>
  </si>
  <si>
    <t>Kijelentem, hogy a termék alábbi alapanyagainak az előállításához felhasznált pálmaolaj és pálmamagbélolaj fenntartható eredetét a felügyeleti lánc igazolása tanúsítja.</t>
  </si>
  <si>
    <t>Az alapanyag neve</t>
  </si>
  <si>
    <t>RSPO - IP</t>
  </si>
  <si>
    <t>RSPO -   S</t>
  </si>
  <si>
    <t>RSPO - MB</t>
  </si>
  <si>
    <t>Egyéb</t>
  </si>
  <si>
    <t>Igazolásként csatolom a beszállítók nyilatkozatát.</t>
  </si>
  <si>
    <t>Feltételes formázás: Akkor kell bejelölni, ha</t>
  </si>
  <si>
    <t>L123 igaz és L133 hamis</t>
  </si>
  <si>
    <t>Kijelentem, hogy a termék pálmaolaj, illetve pálmamagbélolaj kémiai származékaiból készült alapanyagot tartalmaz. Kijelentem továbbá, hogy  egy  „book and claim” rendszer  (forgalomképes tanúsítványok rendszere) tagjaként tanúsított termelőktől, feldolgozóktól és független kistermelőktől vásárolok tanúsítványokat.</t>
  </si>
  <si>
    <r>
      <rPr>
        <b val="1"/>
        <sz val="10"/>
        <color indexed="8"/>
        <rFont val="Arial"/>
      </rPr>
      <t>Az alapanyag neve</t>
    </r>
  </si>
  <si>
    <t>RSPO tanúsítványok</t>
  </si>
  <si>
    <r>
      <rPr>
        <b val="1"/>
        <sz val="10"/>
        <color indexed="8"/>
        <rFont val="Arial"/>
      </rPr>
      <t>Egyéb</t>
    </r>
  </si>
  <si>
    <t xml:space="preserve">4. kritérium - </t>
  </si>
  <si>
    <t>Kizárt és korlátozás hatálya alá eső anyagok</t>
  </si>
  <si>
    <r>
      <rPr>
        <b val="1"/>
        <sz val="10"/>
        <color indexed="8"/>
        <rFont val="Arial"/>
      </rPr>
      <t>a)</t>
    </r>
  </si>
  <si>
    <t>Kizárt és korlátozás hatálya alá eső meghatározott anyagok</t>
  </si>
  <si>
    <t>i. Kizárt anyagok</t>
  </si>
  <si>
    <t>Kijelentem, hogy az alábbiakban felsorolt anyagok semmilyen koncentrációban nem szerepelnek a termék összetételében:</t>
  </si>
  <si>
    <t xml:space="preserve">-  </t>
  </si>
  <si>
    <t xml:space="preserve">alkil-fenol-etoxilátok (APEO-k) és egyéb alkil-fenol-származékok, </t>
  </si>
  <si>
    <t xml:space="preserve">atranol, </t>
  </si>
  <si>
    <t xml:space="preserve">klóratranol, </t>
  </si>
  <si>
    <t xml:space="preserve">dietilén-triamin-pentaecetsav (DTPA), </t>
  </si>
  <si>
    <t xml:space="preserve">etilén-diamin-tetraecetsav (EDTA) és sói, </t>
  </si>
  <si>
    <t xml:space="preserve">formaldehid és az olyan anyagok, amelyekből felszabadul (pl. 2-bróm-2-nitropropán-1,3-diol, 5-bróm-5-nitro1,3-dioxán, nátrium-hidroxi-metil-glicinát, diazolidinil-karbamid), kivéve a polialkoxi-vegyészettel kialakított felületaktív anyagokban előforduló formaldehidszennyeződéseket az alapanyag 0,010 %(m/m)-ának megfelelő koncentrációig, </t>
  </si>
  <si>
    <t>(csak professzionális termékek esetében) illatanyagok,</t>
  </si>
  <si>
    <t xml:space="preserve">glutáraldehid, </t>
  </si>
  <si>
    <t xml:space="preserve">hidroxi-izohexil-3-ciklohexén-karboxaldehid (HICC), </t>
  </si>
  <si>
    <t xml:space="preserve">mikroműanyagok, </t>
  </si>
  <si>
    <t xml:space="preserve">nanoezüst, </t>
  </si>
  <si>
    <t xml:space="preserve">nitropézsmák és policiklusos pézsmák, </t>
  </si>
  <si>
    <t xml:space="preserve">foszfátok, </t>
  </si>
  <si>
    <t xml:space="preserve">perfluorozott alkilátok, </t>
  </si>
  <si>
    <t xml:space="preserve">biológiai úton nehezen lebontható kvaterner ammóniumsók, </t>
  </si>
  <si>
    <t xml:space="preserve">reaktív klórvegyületek, </t>
  </si>
  <si>
    <t xml:space="preserve">rhodamin B, </t>
  </si>
  <si>
    <t>nátrium-hidroxi-metil-glicinát,</t>
  </si>
  <si>
    <t xml:space="preserve">triklozán, </t>
  </si>
  <si>
    <t xml:space="preserve">3-jód-2-propinil-butilkarbamát, </t>
  </si>
  <si>
    <t xml:space="preserve">aromás szénhidrogének, </t>
  </si>
  <si>
    <t xml:space="preserve">halogénezett szénhidrogének. </t>
  </si>
  <si>
    <t>Csatolom a szállító(k) megfelelőségi nyilatkozatát, amely(ek) megerősíti(k), hogy a felsorolt anyagok semmilyen koncentrációban sem szerepelnek a termék összetételében.</t>
  </si>
  <si>
    <t>ii. Korlátozás hatálya alá eső anyagok</t>
  </si>
  <si>
    <t>Kijelentem, hogy a termék összetételében az itt megadottnál nagyobb koncentrációban az alábbiakban felsorolt anyagok egyike sem szerepel.  (A termék által tartalmazott összetevőhöz írja be a koncentrációt!)</t>
  </si>
  <si>
    <t>Korlátozás hatálya alá eső anyag</t>
  </si>
  <si>
    <t>Koncentráció a termékben, % (m/m)</t>
  </si>
  <si>
    <t>Határérték % (m/m)</t>
  </si>
  <si>
    <t>2-metil-2H-izotiazol-3-on</t>
  </si>
  <si>
    <t>0,0015</t>
  </si>
  <si>
    <t>1,2-benzizotiazol-3(2H)-on</t>
  </si>
  <si>
    <t>5-klór-2-metil-4-izotiazolin-3-on/2-metil-4-izotiazolin-3-on</t>
  </si>
  <si>
    <t>Csatolom a beszállító(k) megfelelőségi nyilatkozatát.</t>
  </si>
  <si>
    <t>Kijelentem, hogy a termék elemi foszforként kiszámított teljes foszfortartalma (P) nem haladja meg a 0,08 g/1 l mosogatóvíz értéket.</t>
  </si>
  <si>
    <t>HDD-nél Fordítások!673, LD-nél Fordítások!674, HSC-nél Fordítások!438, DD-nél</t>
  </si>
  <si>
    <t>Foszfortartalom</t>
  </si>
  <si>
    <t>Határérték (foszfortartalom)</t>
  </si>
  <si>
    <t>Általános tisztítószer, használatra kész</t>
  </si>
  <si>
    <t>0,02 g/l használatra kész termék</t>
  </si>
  <si>
    <t>0,02 g/l tisztítószer oldat</t>
  </si>
  <si>
    <t>1,00 g/l használatra kész termék</t>
  </si>
  <si>
    <t>1,00 g/l tisztítószer oldat</t>
  </si>
  <si>
    <t>0,00 g/l használatra kész termék</t>
  </si>
  <si>
    <t>0,00 g/l tisztítószer oldat</t>
  </si>
  <si>
    <t>Csatolom a termék foszfortartalmára vonatkozó számításokat.</t>
  </si>
  <si>
    <t>Kijelentem, hogy a termék üzleti célú (professzionális) felhasználásra szolgáló kézi mosogatószer, és nem tartalmaz illatanyagokat.</t>
  </si>
  <si>
    <r>
      <rPr>
        <sz val="10"/>
        <color indexed="8"/>
        <rFont val="Arial"/>
      </rPr>
      <t>Csatolom a beszállító(k) megfelelőségi nyilatkozatát.</t>
    </r>
  </si>
  <si>
    <t>Kijelentem, hogy a termék nem professzionális felhasználásra szolgál, és nincsenek benne a 648/2004/EK rendeletben előírt címkézési követelmény hatálya alá tartozó illatanyagok az anyag 0,010 %(m/m)-ának megfelelő, vagy azt meghaladó mennyiségben.</t>
  </si>
  <si>
    <t>Illékony szerves vegyületek aránya</t>
  </si>
  <si>
    <t>Határérték (illékony szerves vegyületek)</t>
  </si>
  <si>
    <r>
      <rPr>
        <sz val="10"/>
        <color indexed="8"/>
        <rFont val="Arial"/>
      </rPr>
      <t>Kézi mosogatószer</t>
    </r>
  </si>
  <si>
    <t>30 g/1 l használatra készt termék</t>
  </si>
  <si>
    <r>
      <rPr>
        <sz val="10"/>
        <color indexed="8"/>
        <rFont val="Arial"/>
      </rPr>
      <t>Általános tisztítószer, hígítatlan</t>
    </r>
  </si>
  <si>
    <t>30 g/1 liter tisztítószer oldat</t>
  </si>
  <si>
    <r>
      <rPr>
        <sz val="10"/>
        <color indexed="8"/>
        <rFont val="Arial"/>
      </rPr>
      <t>Konyhai tisztítószer, használatra kész</t>
    </r>
  </si>
  <si>
    <t>60 g/1 l használatra készt termék</t>
  </si>
  <si>
    <r>
      <rPr>
        <sz val="10"/>
        <color indexed="8"/>
        <rFont val="Arial"/>
      </rPr>
      <t xml:space="preserve">Konyhai tisztítószer, hígítatlan </t>
    </r>
  </si>
  <si>
    <t>60 g/1 liter tisztítószer oldat</t>
  </si>
  <si>
    <r>
      <rPr>
        <sz val="10"/>
        <color indexed="8"/>
        <rFont val="Arial"/>
      </rPr>
      <t>Ablaktisztítószer, használatra kész</t>
    </r>
  </si>
  <si>
    <t>100 g/1 l használatra készt termék</t>
  </si>
  <si>
    <r>
      <rPr>
        <sz val="10"/>
        <color indexed="8"/>
        <rFont val="Arial"/>
      </rPr>
      <t>Ablaktisztítószer, hígítatlan</t>
    </r>
  </si>
  <si>
    <t>100 g/1 liter tisztítószer oldat</t>
  </si>
  <si>
    <r>
      <rPr>
        <sz val="10"/>
        <color indexed="8"/>
        <rFont val="Arial"/>
      </rPr>
      <t xml:space="preserve">Szanitertisztító, használatra kész </t>
    </r>
  </si>
  <si>
    <r>
      <rPr>
        <sz val="10"/>
        <color indexed="8"/>
        <rFont val="Arial"/>
      </rPr>
      <t>Szanitertisztító, hígítatlan</t>
    </r>
  </si>
  <si>
    <t>Csatolom a termék illékony szervesanyag-tartalmára vonatkozó számításokat.</t>
  </si>
  <si>
    <r>
      <rPr>
        <b val="1"/>
        <sz val="10"/>
        <color indexed="8"/>
        <rFont val="Arial"/>
      </rPr>
      <t>b)</t>
    </r>
  </si>
  <si>
    <t>Veszélyes anyagok</t>
  </si>
  <si>
    <t>i. Késztermék</t>
  </si>
  <si>
    <t>Kijelentem, hogy a késztermék nem minősül az 1272/2008/EK rendelet I. mellékletének meghatározása és az alábbi táblázatban felsoroltak szerint akut toxicitású, célszervi toxicitású, légzőszervi vagy bőrszenzibilizáló, rákkeltő, mutagén vagy reprodukciót károsító vagy a vízi környezetre veszélyes besorolású, illetve ennek megfelelően címkézett anyagnak.</t>
  </si>
  <si>
    <t>A veszélyességi osztályozás korlátozásai és kategóriái</t>
  </si>
  <si>
    <t>Akut toxicitás</t>
  </si>
  <si>
    <t>1. és 2. kategória</t>
  </si>
  <si>
    <t>3. kategória</t>
  </si>
  <si>
    <t>H300 Lenyelve halálos</t>
  </si>
  <si>
    <t>H301 Lenyelve mérgező</t>
  </si>
  <si>
    <t>H310 Bőrrel érintkezve halálos</t>
  </si>
  <si>
    <t>H311 Bőrrel érintkezve mérgező</t>
  </si>
  <si>
    <t>H330 Belélegezve halálos</t>
  </si>
  <si>
    <t>H331 Belélegezve mérgező</t>
  </si>
  <si>
    <t>H304 Lenyelve és a légutakba kerülve halálos lehet</t>
  </si>
  <si>
    <t>EUH070 Szembe kerülve mérgező</t>
  </si>
  <si>
    <t>Célszervi toxicitás</t>
  </si>
  <si>
    <t>1. kategória</t>
  </si>
  <si>
    <r>
      <rPr>
        <b val="1"/>
        <sz val="8"/>
        <color indexed="8"/>
        <rFont val="Arial"/>
      </rPr>
      <t>2. kategória</t>
    </r>
  </si>
  <si>
    <t>H370 Károsítja a szerveket</t>
  </si>
  <si>
    <t>H371 Károsíthatja a szerveket</t>
  </si>
  <si>
    <t>H372 Ismétlődő vagy hosszabb expozíció esetén károsítja a szerveket</t>
  </si>
  <si>
    <t>H373 Ismétlődő vagy hosszabb expozíció esetén károsíthatja a szerveket</t>
  </si>
  <si>
    <t>Légzőszervi és bőrszenzibilizáció</t>
  </si>
  <si>
    <t>1A/1. kategória 1B</t>
  </si>
  <si>
    <r>
      <rPr>
        <b val="1"/>
        <sz val="8"/>
        <color indexed="8"/>
        <rFont val="Arial"/>
      </rPr>
      <t>1B. kategória</t>
    </r>
  </si>
  <si>
    <t>H317 Allergiás bőrreakciót válthat ki</t>
  </si>
  <si>
    <t>H334 Belélegezve allergiás és asztmás tüneteket és nehéz légzést okozhat</t>
  </si>
  <si>
    <t>Rákkeltő, mutagén vagy reprodukciót károsító</t>
  </si>
  <si>
    <t>1A. és 1B. Kategória</t>
  </si>
  <si>
    <t>H340 Genetikai károsodást okozhat</t>
  </si>
  <si>
    <t>H341 Feltehetően genetikai károsodást okoz</t>
  </si>
  <si>
    <t>H350 Rákot okozhat</t>
  </si>
  <si>
    <t>H351 Feltehetően rákot okoz</t>
  </si>
  <si>
    <t>H350i Belélegezve rákot okozhat</t>
  </si>
  <si>
    <t>H360F Károsíthatja a termékenységet</t>
  </si>
  <si>
    <t>H361f Feltehetően károsítja a termékenységet</t>
  </si>
  <si>
    <t>H360D Károsíthatja a születendő gyermeket</t>
  </si>
  <si>
    <t>H361d Feltehetően károsítja a születendő gyermeket</t>
  </si>
  <si>
    <t>H360FD Károsíthatja a termékenységet és a születendő gyermeket.</t>
  </si>
  <si>
    <t>H361fd Feltehetően károsítja a termékenységet vagy a születendő gyermeket.</t>
  </si>
  <si>
    <t>H360Fd Károsíthatja a termékenységet vagy feltehetően károsítja a születendő gyermeket.</t>
  </si>
  <si>
    <t>H362 A szoptatott gyermeket károsíthatja</t>
  </si>
  <si>
    <t>H360Df Károsíthatja a születendő gyermeket vagy feltehetően károsítja a termékenységet.</t>
  </si>
  <si>
    <t>A vízi környezetre veszélyes</t>
  </si>
  <si>
    <r>
      <rPr>
        <b val="1"/>
        <sz val="8"/>
        <color indexed="8"/>
        <rFont val="Arial"/>
      </rPr>
      <t>3. és 4. kategória</t>
    </r>
  </si>
  <si>
    <t>H400 Nagyon mérgező a vízi élővilágra</t>
  </si>
  <si>
    <t>H412 Ártalmas a vízi élővilágra, hosszan tartó károsodást okoz</t>
  </si>
  <si>
    <t>H410 Nagyon mérgező a vízi élővilágra, hosszan tartó károsodást okoz</t>
  </si>
  <si>
    <t>H413 Hosszan tartó ártalmas hatást gyakorolhat a vízi élővilágra</t>
  </si>
  <si>
    <t>H411 Mérgező a vízi élővilágra, hosszan tartó károsodást okoz</t>
  </si>
  <si>
    <t>Veszélyes az ózonrétegre</t>
  </si>
  <si>
    <t>H420 Veszélyes az ózonrétegre</t>
  </si>
  <si>
    <t>ii. Alapanyagok</t>
  </si>
  <si>
    <t>Kijelentem, hogy a termék nem tartalmaz a késztermék 0,010 %(m/m)-ának megfelelő vagy azt meghaladó koncentrációban olyan alapanyagokat, amelyek kimerítik az 1272/2008/EK rendelet I. melléklete és a fenti táblázat felsorolása szerinti mérgező, a vízi környezetre veszélyes, légzőszervi vagy bőrszenzibilizáló, rákkeltő, mutagén vagy reprodukciót károsító anyagként való besorolás feltételeit.</t>
  </si>
  <si>
    <t>Csatolom a beszállítók megfelelőségi nyilatkozatait vagy a termékek biztonsági adatlapját annak bizonyítására, hogy a termék nem tartalmazza a késztermék 0,010 %(m/m)-ának megfelelő vagy azt meghaladó koncentrációban olyan alapanyagokat, amelyek abban a formájukban és halmazállapotukban, amelyben a termékben jelen vannak, megfelelnek a fenti táblázatban szereplő egy vagy több veszélyességi kategóriának,  hacsak ezekre az összetevőkre nem vonatkozik speciális mentesség.</t>
  </si>
  <si>
    <t>A termék az 1907/2006/EK rendelet IV. és V. mellékletében felsorolt összetevőket tartalmaz, amelyek a rendelet 2. cikke értelmében mentességet kapnak a regisztrálási, továbbfelhasználói és értékelési követelmények alól.</t>
  </si>
  <si>
    <t>Ezt a jelölőnégyzetet csak akkor kell bejelölni, ha az Alapanyagok munkalapon az AJ63-AN63 cellák összege nagyobb 0-nál.</t>
  </si>
  <si>
    <t>Kijelentem, hogy a termék a következő mentesített anyagokat tartalmazza.</t>
  </si>
  <si>
    <t>Ezt a jelölőnégyzetet csak akkor kell bejelölni, ha L268 értéke Igaz</t>
  </si>
  <si>
    <t>Anyag</t>
  </si>
  <si>
    <t>Az anyag neve</t>
  </si>
  <si>
    <t>Koncentráció a késztermékben (% m/m)</t>
  </si>
  <si>
    <t>Felületaktív anyagok</t>
  </si>
  <si>
    <r>
      <rPr>
        <sz val="8"/>
        <color indexed="8"/>
        <rFont val="Arial"/>
      </rPr>
      <t>H400 Nagyon mérgező a vízi élővilágra</t>
    </r>
  </si>
  <si>
    <t>Alapanyagoknál felsorolt mentesített anyagok száma:</t>
  </si>
  <si>
    <r>
      <rPr>
        <sz val="8"/>
        <color indexed="8"/>
        <rFont val="Arial"/>
      </rPr>
      <t>H412 Ártalmas a vízi élővilágra, hosszan tartó károsodást okoz</t>
    </r>
  </si>
  <si>
    <t>A táblázatban kitöltött sorok száma</t>
  </si>
  <si>
    <t>Szubtilizin</t>
  </si>
  <si>
    <t>Enzimek (**)</t>
  </si>
  <si>
    <r>
      <rPr>
        <sz val="8"/>
        <color indexed="8"/>
        <rFont val="Arial"/>
      </rPr>
      <t>H317 Allergiás bőrreakciót válthat ki</t>
    </r>
  </si>
  <si>
    <r>
      <rPr>
        <sz val="8"/>
        <color indexed="8"/>
        <rFont val="Arial"/>
      </rPr>
      <t>H334 Belélegezve allergiás és asztmás tüneteket és nehéz légzést okozhat</t>
    </r>
  </si>
  <si>
    <t>Az NTA mint az MGDA- ban és a GLDA-ban jelenlévő szennyeződés(**)</t>
  </si>
  <si>
    <r>
      <rPr>
        <sz val="8"/>
        <color indexed="8"/>
        <rFont val="Arial"/>
      </rPr>
      <t>H351 Feltehetően rákot okoz</t>
    </r>
  </si>
  <si>
    <t>(*) A stabilizálószereket és a készítmények más segédanyagait is beleértve.</t>
  </si>
  <si>
    <t>Csatolom a beszállítók megfelelőségi nyilatkozatait vagy a termékek biztonsági adatlapját annak bizonyítására, hogy a termék felsorolt összetevői mentesített anyagnak számítanak.</t>
  </si>
  <si>
    <t>(**) A nyersanyag kevesebb mint 0,2 %-ában, amennyiben a késztermékben az összkoncentráció 0,10 % alatt marad.</t>
  </si>
  <si>
    <t>c)</t>
  </si>
  <si>
    <t>Különös aggodalomra okot adó anyagok (SVHC-k)</t>
  </si>
  <si>
    <t>Kijelentem, hogy a késztermék nem tartalmaz olyan alapanyagot, amelyet az 1907/2006/EK rendelet 59. cikkének (1) bekezdésében leírt, a különös aggodalomra okot adó anyagok jelöltlistájának összeállítására szolgáló eljárás szerint azonosítottak.</t>
  </si>
  <si>
    <t>Csatolom a beszállítók nyilatkozatait vagy a biztonsági adatlapokat annak bizonyítására, hogy a termék a jelöltlistán szereplő anyagok egyikét sem tartalmazza.</t>
  </si>
  <si>
    <t>Kijelentem, hogy a fenti nyilatkozatot a különös aggodalomra okot adó anyagok legfrissebb (a kérelem benyújtásának napján érvényes) jegyzékét figyelembe véve tettem.</t>
  </si>
  <si>
    <t>d)</t>
  </si>
  <si>
    <t>A termék nem üzleti célra szolgál, és nem tartalmaz illatanyagokat.</t>
  </si>
  <si>
    <t>A termék nem üzleti célra szolgál. Kijelentem, hogy a termékhez illatanyagként hozzáadott valamennyi alapanyag gyártása és kezelése a Nemzetközi Illatanyagipari Szövetség (IFRA) eljárási kódexének (1) megfelelően történt.</t>
  </si>
  <si>
    <t>Csatolom a beszállító(k) megfelelőségi nyilatkozatát. és az illatanyagok IFRA tanúsítványát.</t>
  </si>
  <si>
    <t>e)</t>
  </si>
  <si>
    <t>Kijelentem, hogy a termék nem tartalmaz tartósítószert.</t>
  </si>
  <si>
    <t xml:space="preserve">Kijelentem, hogy a termék kizárólag tartósítás céljából és csak az e célnak megfelelő mennyiségben tartalmaz tartósítószereket. </t>
  </si>
  <si>
    <t>Kijelentem, hogy a termékben található tartósítószerek nem bioakkumulatívak. Ezt bizonyítja az összetevők bioakkumulációs tényezője / bioakkumulációs potenciálja:</t>
  </si>
  <si>
    <t xml:space="preserve">BCF: </t>
  </si>
  <si>
    <t>(Határérték &lt;  100)</t>
  </si>
  <si>
    <r>
      <rPr>
        <sz val="10"/>
        <color indexed="8"/>
        <rFont val="Arial"/>
      </rPr>
      <t>log K</t>
    </r>
    <r>
      <rPr>
        <vertAlign val="subscript"/>
        <sz val="10"/>
        <color indexed="8"/>
        <rFont val="Arial"/>
      </rPr>
      <t>ow</t>
    </r>
    <r>
      <rPr>
        <sz val="10"/>
        <color indexed="8"/>
        <rFont val="Arial"/>
      </rPr>
      <t xml:space="preserve">: </t>
    </r>
  </si>
  <si>
    <t>(Határérték &lt;  3,0)</t>
  </si>
  <si>
    <t>Kijelentem, hogy a csomagolás vagy bármely egyéb, a termékről szóló tájékoztató anyag nem állítja vagy sugallja, hogy a termék mikrobaölő vagy fertőtlenítő hatású.</t>
  </si>
  <si>
    <t>Csatolom</t>
  </si>
  <si>
    <t>minden hozzáadott tartósítószerhez a beszállítók megfelelőségi nyilatkozatát vagy a termék biztonsági adatlapját annak bizonyítására, hogy a termék kizárólag csak a tartósítási célnak megfelelő mennyiségű tartósítószert tartalmaz</t>
  </si>
  <si>
    <t>a termék BCF vagy log Kow értékére vonatkozó információt</t>
  </si>
  <si>
    <t>a csomagolás címketervét</t>
  </si>
  <si>
    <t>f)</t>
  </si>
  <si>
    <t>Kijelentem, hogy a termék nem tartalmaz színezéket.</t>
  </si>
  <si>
    <t>A termék élelmiszerekben való felhasználásra nem engedélyezett színezőanyago(ka)t tartalmaz.</t>
  </si>
  <si>
    <t>Kijelentem, hogy a termékben található  színezőanyagok nem bioakkumulatívak. Ezt bizonyítja az összetevők bioakkumulációs tényezője / bioakkumulációs potenciálja:</t>
  </si>
  <si>
    <t xml:space="preserve">BCF:    </t>
  </si>
  <si>
    <r>
      <rPr>
        <sz val="8"/>
        <color indexed="8"/>
        <rFont val="Arial"/>
      </rPr>
      <t>(Határérték &lt;  100)</t>
    </r>
  </si>
  <si>
    <r>
      <rPr>
        <sz val="8"/>
        <color indexed="8"/>
        <rFont val="Arial"/>
      </rPr>
      <t>(Határérték &lt;  3,0)</t>
    </r>
  </si>
  <si>
    <t>a beszállítók nyilatkozatát</t>
  </si>
  <si>
    <t>minden hozzááadott színezék biztonsági adatlapját</t>
  </si>
  <si>
    <t>A termék csak élelmiszerekben való felhasználásra engedélyezett színezőanyago(ka)t tartalmaz.</t>
  </si>
  <si>
    <t>Csatolom a dokumentációt, amely igazolja, hogy a színezőanyag élelmiszerekben való felhasználását engedélyezték.</t>
  </si>
  <si>
    <t>Az 'f) Színezékek' fejezetnél az A oszlopban található 3 jelölőnégyzet egyikét be kell jelölni!</t>
  </si>
  <si>
    <t>g)</t>
  </si>
  <si>
    <t>Enzimek</t>
  </si>
  <si>
    <t>A termék enzimeket tartalmaz.</t>
  </si>
  <si>
    <t>Kijelentem, hogy a termékhez csak kapszulázott (szilárd formában lévő) enzim és enzimtartalmú folyadék/szuszpenzió lett hozzáadva.</t>
  </si>
  <si>
    <r>
      <rPr>
        <sz val="9"/>
        <color indexed="8"/>
        <rFont val="Arial"/>
      </rPr>
      <t>Csatolom</t>
    </r>
  </si>
  <si>
    <r>
      <rPr>
        <sz val="10"/>
        <color indexed="8"/>
        <rFont val="Arial"/>
      </rPr>
      <t>a beszállítók nyilatkozatát</t>
    </r>
  </si>
  <si>
    <t>minden hozzáadott enzim biztonsági adatlapját.</t>
  </si>
  <si>
    <t>A termék nem tartalmaz enzimeket.</t>
  </si>
  <si>
    <t>Az 'g) Enzimek' fejezetnél az A oszlopban található 2 jelölőnégyzet egyikét be kell jelölni!</t>
  </si>
  <si>
    <t>h)</t>
  </si>
  <si>
    <t>Mikroorganizmusok</t>
  </si>
  <si>
    <t>Kijelentem, hogy a termék nem tartalmaz szándékosan hozzáadott mikroorganizmusokat.</t>
  </si>
  <si>
    <t xml:space="preserve">Kijelentem, hogy a termék  szándékosan hozzáadott mikroorganizmusokat tartalmaz, amelyek koncentrációja ≥ 0,010 % (m/m). </t>
  </si>
  <si>
    <t>Kijelentem, hogy a termék az alábbi (i)-(x) alkritériumok mindegyikének megfelel:</t>
  </si>
  <si>
    <t>i. Azonosítás: Válassza ki minden szándékosan hozzáadott mikroorganizmus ATCC3-számát, IDA4 számát, vagy csatolja a  16S riboszómális DNS-szekventálással vagy azzal egyenértékű módszerrel végzett törzsazonosítási dokumentációját.</t>
  </si>
  <si>
    <t>Név (törzs)</t>
  </si>
  <si>
    <t>ATCC szám</t>
  </si>
  <si>
    <t>IDA szám</t>
  </si>
  <si>
    <t>Csatolom a DNS-azonosítási dokumentációt.</t>
  </si>
  <si>
    <t>ii. Biztonság:</t>
  </si>
  <si>
    <t>Kijelentem, hogy minden szándékosan hozzáadott mikroorganizmus a következőkbe tartozik:</t>
  </si>
  <si>
    <t>— a 2000/54/EK irányelv (1) meghatározása szerinti I. kockázati csoport – a munka során biológiai anyagoknak való kitettség,</t>
  </si>
  <si>
    <t>— az Európai Élelmiszerbiztonsági Hatóság (EFSA) által közzétett, „vélelmezetten biztonságos” minősítésű anyagok jegyzéke.</t>
  </si>
  <si>
    <t>Csatolom a dokumentációt, amelyik bizonyítja, hogy minden szándékosan hozzáadott mikroorganizmus az I. kockázati csopotba és a "vélelmezetten biztonságos" minősítésű anyagok jegyzékébe tartozik.</t>
  </si>
  <si>
    <t>iii. Szennyező anyagok hiánya:</t>
  </si>
  <si>
    <t>Kijelentem, hogy a termékben nincsenek az alábbiak közé tartozó  mikroorganizmusok.</t>
  </si>
  <si>
    <t xml:space="preserve">— E. Coli, az ISO 16649-3:2005 szabvány szerinti vizsgálati módszer, </t>
  </si>
  <si>
    <t xml:space="preserve">— Streptococcus (Enterococcus), az ISO 21528-1:2004 szabvány szerinti vizsgálati módszer, </t>
  </si>
  <si>
    <t xml:space="preserve">— Staphylococcus aureus, az ISO 6888-1 szabvány szerinti vizsgálati módszer, </t>
  </si>
  <si>
    <t xml:space="preserve">— Bacillus cereus, az ISO 7932:2004 vagy az ISO 21871 szabvány szerinti vizsgálati módszer, </t>
  </si>
  <si>
    <t>— Salmonella, az ISO 6579:2002 vagy az ISO 19250 szabvány szerinti vizsgálati módszer.</t>
  </si>
  <si>
    <t>Csatolom a dokumentációt, amelyik bizonyítja, hogy a termékben nincsenek patogén mikroorganizmusok.</t>
  </si>
  <si>
    <t>iv. Géntechnológiával módosított mikroorganizmusok (GMM-ek)</t>
  </si>
  <si>
    <t>A szándékosan hozzáadott mikroorganizmusok nem  géntechnológiával módosított mikroorganizmusok.</t>
  </si>
  <si>
    <t>Csatolom a dokumentációt, amelyik bizonyítja, hogy a szándékosan hozzáadott mikroorganizmusok nem GMM-ek.</t>
  </si>
  <si>
    <t>v. Antibiotikumokkal szembeni érzékenység:</t>
  </si>
  <si>
    <t>Kijelentem, hogy minden szándékosan hozzáadott mikroorganizmus – a természetes ellenállását leszámítva – az EUCAST korongdiffúziós módszerével vagy azzal egyenértékű módszerrel igazoltan érzékeny az öt nagy antibiotikum-osztály mindegyikére (aminoglikozidok, makrolidok, béta-laktámok, tetraciklinek és fluorkinolonok).</t>
  </si>
  <si>
    <t>Csatolom a dokumentációt, amelyik bizonyítja, hogy a szándékosan hozzáadott mikroorganizmus – a természetes ellenállásukat leszámítva -  érzékenyek az alkritériumban felsorolt öt nagy antibiotikum-osztály mindegyikére.</t>
  </si>
  <si>
    <t>vi. Mikrobaszám:</t>
  </si>
  <si>
    <t>Kijelentem, hogy a használatra kész formában lévő termékek normál csíraszáma milliliterenként</t>
  </si>
  <si>
    <t>.</t>
  </si>
  <si>
    <t>(határérték: legalább 1 × 105 telepképző egység (CFU) kell, hogy legyen az ISO 4833-1:2014 szabványnak megfelelően.) [Megjegyzés: Hígítatlan termékek esetében a normál tisztításra javasolt hígítási arányt kell alkalmazni.]</t>
  </si>
  <si>
    <t xml:space="preserve">Csatolom a használatra kész oldat CFU/ml tartalmáról szóló vizsgálati dokumentációt. </t>
  </si>
  <si>
    <t>vii. Eltarthatóság:</t>
  </si>
  <si>
    <t>Kijelentem, hogy a termék minimális eltarthatósága legalább 24 hónap, és a mikrobaszám 12 hónap alatt nem csökken 10 %-ot meghaladó mértékben, az ISO 4833-1:2014 szabványnak megfelelően.</t>
  </si>
  <si>
    <t>Csatolom az eltarthatóságának végéig tárolt termékből készített használatra kész oldat 12 havonta mért CFU/ml tartalmáról  szóló vizsgálati dokumentációt.</t>
  </si>
  <si>
    <t>viii. Használatra való alkalmasság:</t>
  </si>
  <si>
    <t>Kijelentem, hogy a termék teljesíti a 6. kritérium keretében a használatra való alkalmasságra, illetve a gyártó által a termékben jelen lévő mikroorganizmusok mikrobaölő vagy fertőtlenítő hatására vonatkozóan tett állításokra előírt valamennyi követelményt.</t>
  </si>
  <si>
    <t>harmadik fél laboratóriuma által végzett vizsgálat eredményeit, amelyek igazolják a mikroorganizmusok hatásaira vonatkozóan tett állításokat</t>
  </si>
  <si>
    <t>a csomagolás  vagy a termékcímke tervét, amelyen láthatóak a mikroorganizmusok hatásaira vonatkozó állítások</t>
  </si>
  <si>
    <t>ix. Állítások:</t>
  </si>
  <si>
    <t>Kijelentem, hogy a termék csomagolása vagy bármely egyéb tájékoztató anyag nem állítja vagy sugallja, hogy a termék mikrobaölő vagy fertőtlenítő hatású.</t>
  </si>
  <si>
    <t>Csatolom a termék csomagolásának a tervét vagy a címketervet.</t>
  </si>
  <si>
    <t>x. A felhasználók tájékoztatása:</t>
  </si>
  <si>
    <t>Kijelentem, hogy a termékcímke tartalmazza a következő információkat:</t>
  </si>
  <si>
    <t>— hogy a termék mikroorganizmusokat tartalmaz,</t>
  </si>
  <si>
    <t>— hogy a terméket nem szabad szórófej-mechanizmussal együtt használni,</t>
  </si>
  <si>
    <t>— hogy a terméket nem szabad élelmiszerrel érintkezésbe kerülő felületeken használni,</t>
  </si>
  <si>
    <t>— a termék eltarthatósága.</t>
  </si>
  <si>
    <r>
      <rPr>
        <sz val="10"/>
        <color indexed="8"/>
        <rFont val="Arial"/>
      </rPr>
      <t>Csatolom a termék csomagolásának a tervét vagy a címketervet.</t>
    </r>
  </si>
  <si>
    <r>
      <rPr>
        <b val="1"/>
        <sz val="10"/>
        <color indexed="8"/>
        <rFont val="Arial"/>
      </rPr>
      <t>h)</t>
    </r>
  </si>
  <si>
    <t>Maró hatás</t>
  </si>
  <si>
    <t>Kijelentem, hogy a késztemék nem minősül a 1272/2008/EK rendelet szerinti „korrozív hatású” (C) keveréknek.</t>
  </si>
  <si>
    <t>Kijelentem, hogy a termékhez az alábbi, az 1272/2008/EK rendelet  besorolása szerint „korrozív hatású” (C)  és a H314 figyelmeztető mondattal társított anyagok kerültek felhasználásra összetevőként vagy az összetételben szereplő bármely keverék részeként. Az alábbi táblázat tartalmazza a felhasznált maró hatású anyagok pontos koncentrációját.</t>
  </si>
  <si>
    <t>Koncentráció a végtermékben</t>
  </si>
  <si>
    <t>Kitöltötte a sort?</t>
  </si>
  <si>
    <t>% (m/m)</t>
  </si>
  <si>
    <t>H314 Súlyos égési sérülést és szemkárosodást okoz</t>
  </si>
  <si>
    <t>Csatolom a termék biztonsági adatlapját.</t>
  </si>
  <si>
    <t>Nyilatkozatok_4</t>
  </si>
  <si>
    <t xml:space="preserve">5. kritérium - </t>
  </si>
  <si>
    <t>Csomagolás</t>
  </si>
  <si>
    <t>Hányadik elem a menüből</t>
  </si>
  <si>
    <t>A pályázatban szereplő kiszerelési változatok száma (válassza ki):</t>
  </si>
  <si>
    <t>Válassza ki!</t>
  </si>
  <si>
    <t>(Az 5. kritériummal kapcsolatos nyilatkozatokat minden kiszerelési változatra külön-külön ki kell tölteni!)</t>
  </si>
  <si>
    <r>
      <rPr>
        <b val="1"/>
        <u val="single"/>
        <sz val="10"/>
        <color indexed="8"/>
        <rFont val="Arial"/>
      </rPr>
      <t>1. kiszerelés</t>
    </r>
  </si>
  <si>
    <t>Szórófejes palackokban értékesített termékek</t>
  </si>
  <si>
    <t>Kijelentem, hogy az adott kiszerelés esetében a termék szórófejes palackban kerül forgalomba.</t>
  </si>
  <si>
    <t>Kijelentem, hogy az adott kiszerelésű termékeknél a szórófejes palackok nem tartalmaznak hajtógázt.</t>
  </si>
  <si>
    <t>Kijelentem, hogy a szórófejes palackok újratölthetőek és újrahasználhatóak.</t>
  </si>
  <si>
    <t>Csatolom a megfelelő dokumentációt, amelyik leírja vagy bemutatja, hogy a csomagolás részét képező szórófejes palackokat hogyan lehet utántölteni.</t>
  </si>
  <si>
    <t>Kijelentem, hogy az adott kiszerelés nem tartalmaz szórófejes palackot.</t>
  </si>
  <si>
    <t xml:space="preserve">b) </t>
  </si>
  <si>
    <t>Csomagolás-visszaváltási rendszerek</t>
  </si>
  <si>
    <t>Kijelentem, hogy a termék a termékre / az adott kiszerelésre vonatkozó visszaváltási rendszer hatálya alá tartozó csomagolásban kerül forgalomba.</t>
  </si>
  <si>
    <t>Csatolom a megfelelő dokumentációt, amelyik leírja vagy bizonyítja, hogy a csomagolás-visszaváltási rendszer megvalósult.</t>
  </si>
  <si>
    <r>
      <rPr>
        <sz val="10"/>
        <color indexed="21"/>
        <rFont val="Arial"/>
      </rPr>
      <t>Az adott kiszerelés mentesül az 5. c) és d) pontokban megfogalmazott követelmények alól.</t>
    </r>
  </si>
  <si>
    <t>Kijelentem, hogy a termék NEM a termékre / az adott kiszerelésre vonatkozó visszaváltási rendszer hatálya alá tartozó csomagolásban kerül forgalomba, így nem mentesül az 5. kritérium c) és d) pontjában megadott kritériumok alól. (A c) és d) pontokat ki kell tölteni.)</t>
  </si>
  <si>
    <t>Tömeg/hasznosság arány (THA)</t>
  </si>
  <si>
    <r>
      <rPr>
        <sz val="10"/>
        <color indexed="8"/>
        <rFont val="Arial"/>
      </rPr>
      <t>Kijelentem, hogy az adott kiszerelésben a termék elsődleges csomagolása TÖBB mint 80 %-ban újrahasznosított anyagokból készül.</t>
    </r>
  </si>
  <si>
    <t>Csatolom a nyilatkozatot alátámasztó dokumentációt:</t>
  </si>
  <si>
    <t>Gyártói nyilatkozat(ok)</t>
  </si>
  <si>
    <t>Egyéb (nevezze meg):</t>
  </si>
  <si>
    <r>
      <rPr>
        <sz val="10"/>
        <color indexed="8"/>
        <rFont val="Arial"/>
      </rPr>
      <t>Kijelentem, hogy az adott kiszerelés esetében a  termék elsődleges csomagolásához felhasznált újrahasznosított anyagok aránya KEVESEBB mint 80%.</t>
    </r>
  </si>
  <si>
    <t>Kijelentem, hogy az adott kiszerelés esetében a THA arány nem haladja meg a vonatkozó határértéket.</t>
  </si>
  <si>
    <t>Hígítatlan termékek</t>
  </si>
  <si>
    <t>Használatra kész termékek</t>
  </si>
  <si>
    <t>Szórófejes palackokban értékesített, használatra kész termékek</t>
  </si>
  <si>
    <t>Por alakú mosószer</t>
  </si>
  <si>
    <t>Tablettás vagy kapszulás mosószer</t>
  </si>
  <si>
    <t>Folyékony/gél állagú (nem tablettás vagy kapszulás) mosószer</t>
  </si>
  <si>
    <t>Folteltávolító (kizárólag előkezelésre)</t>
  </si>
  <si>
    <t>Gépi mosogatószer</t>
  </si>
  <si>
    <t>Öblítő</t>
  </si>
  <si>
    <t>THA</t>
  </si>
  <si>
    <t>THA Határérték</t>
  </si>
  <si>
    <t>g/l tisztítószer oldat</t>
  </si>
  <si>
    <r>
      <rPr>
        <sz val="8"/>
        <color indexed="8"/>
        <rFont val="Arial"/>
      </rPr>
      <t>g/l tisztítószer oldat</t>
    </r>
  </si>
  <si>
    <r>
      <rPr>
        <sz val="8"/>
        <color indexed="8"/>
        <rFont val="Arial"/>
      </rPr>
      <t>Por alakú mosószer</t>
    </r>
  </si>
  <si>
    <r>
      <rPr>
        <sz val="8"/>
        <color indexed="8"/>
        <rFont val="Arial"/>
      </rPr>
      <t>Tablettás vagy kapszulás mosószer</t>
    </r>
  </si>
  <si>
    <r>
      <rPr>
        <sz val="8"/>
        <color indexed="8"/>
        <rFont val="Arial"/>
      </rPr>
      <t>Folyékony/gél állagú (nem tablettás vagy kapszulás) mosószer</t>
    </r>
  </si>
  <si>
    <r>
      <rPr>
        <sz val="8"/>
        <color indexed="8"/>
        <rFont val="Arial"/>
      </rPr>
      <t>Gépi mosogatószer</t>
    </r>
  </si>
  <si>
    <r>
      <rPr>
        <sz val="8"/>
        <color indexed="8"/>
        <rFont val="Arial"/>
      </rPr>
      <t>Öblítő</t>
    </r>
  </si>
  <si>
    <t>Csatolom a THA kiszámítását bemutató munkalapot.</t>
  </si>
  <si>
    <t>Az újrahasznosítást megkönnyítő kialakítás</t>
  </si>
  <si>
    <t>Kijelentem, hogy a termék csomagolása a következő anyagokból áll:</t>
  </si>
  <si>
    <r>
      <rPr>
        <sz val="9"/>
        <color indexed="8"/>
        <rFont val="Arial"/>
      </rPr>
      <t>A tartály vagy palack anyaga</t>
    </r>
  </si>
  <si>
    <r>
      <rPr>
        <sz val="9"/>
        <color indexed="8"/>
        <rFont val="Arial"/>
      </rPr>
      <t>A címke/ráhúzható címke anyaga</t>
    </r>
  </si>
  <si>
    <r>
      <rPr>
        <sz val="9"/>
        <color indexed="8"/>
        <rFont val="Arial"/>
      </rPr>
      <t>A záróelem anyaga</t>
    </r>
  </si>
  <si>
    <r>
      <rPr>
        <sz val="9"/>
        <color indexed="8"/>
        <rFont val="Arial"/>
      </rPr>
      <t>A záróréteg-bevonat anyaga</t>
    </r>
  </si>
  <si>
    <t>Ragasztók</t>
  </si>
  <si>
    <t>Csatolom az elsődleges csomagolás fényképét vagy műszaki rajzokat  az elsődleges csomagolásról.</t>
  </si>
  <si>
    <r>
      <rPr>
        <b val="1"/>
        <u val="single"/>
        <sz val="10"/>
        <color indexed="8"/>
        <rFont val="Arial"/>
      </rPr>
      <t>2. kiszerelés</t>
    </r>
  </si>
  <si>
    <r>
      <rPr>
        <b val="1"/>
        <sz val="10"/>
        <color indexed="8"/>
        <rFont val="Arial"/>
      </rPr>
      <t>Szórófejes palackokban értékesített termékek</t>
    </r>
  </si>
  <si>
    <r>
      <rPr>
        <sz val="10"/>
        <color indexed="8"/>
        <rFont val="Arial"/>
      </rPr>
      <t>Kijelentem, hogy az adott kiszerelés esetében a termék szórófejes palackban kerül forgalomba.</t>
    </r>
  </si>
  <si>
    <r>
      <rPr>
        <sz val="10"/>
        <color indexed="8"/>
        <rFont val="Arial"/>
      </rPr>
      <t>Kijelentem, hogy az adott kiszerelésű termékeknél a szórófejes palackok nem tartalmaznak hajtógázt.</t>
    </r>
  </si>
  <si>
    <r>
      <rPr>
        <sz val="10"/>
        <color indexed="8"/>
        <rFont val="Arial"/>
      </rPr>
      <t>Kijelentem, hogy a szórófejes palackok újratölthetőek és újrahasználhatóak.</t>
    </r>
  </si>
  <si>
    <r>
      <rPr>
        <sz val="10"/>
        <color indexed="8"/>
        <rFont val="Arial"/>
      </rPr>
      <t>Csatolom a megfelelő dokumentációt, amelyik leírja vagy bemutatja, hogy a csomagolás részét képező szórófejes palackokat hogyan lehet utántölteni.</t>
    </r>
  </si>
  <si>
    <r>
      <rPr>
        <sz val="10"/>
        <color indexed="8"/>
        <rFont val="Arial"/>
      </rPr>
      <t>Kijelentem, hogy az adott kiszerelés nem tartalmaz szórófejes palackot.</t>
    </r>
  </si>
  <si>
    <r>
      <rPr>
        <b val="1"/>
        <sz val="10"/>
        <color indexed="8"/>
        <rFont val="Arial"/>
      </rPr>
      <t xml:space="preserve">b) </t>
    </r>
  </si>
  <si>
    <r>
      <rPr>
        <b val="1"/>
        <sz val="10"/>
        <color indexed="8"/>
        <rFont val="Arial"/>
      </rPr>
      <t>Csomagolás-visszaváltási rendszerek</t>
    </r>
  </si>
  <si>
    <r>
      <rPr>
        <sz val="10"/>
        <color indexed="8"/>
        <rFont val="Arial"/>
      </rPr>
      <t>Kijelentem, hogy a termék a termékre / az adott kiszerelésre vonatkozó visszaváltási rendszer hatálya alá tartozó csomagolásban kerül forgalomba.</t>
    </r>
  </si>
  <si>
    <r>
      <rPr>
        <sz val="10"/>
        <color indexed="8"/>
        <rFont val="Arial"/>
      </rPr>
      <t>Csatolom a megfelelő dokumentációt, amelyik leírja vagy bizonyítja, hogy a csomagolás-visszaváltási rendszer megvalósult.</t>
    </r>
  </si>
  <si>
    <r>
      <rPr>
        <sz val="10"/>
        <color indexed="8"/>
        <rFont val="Arial"/>
      </rPr>
      <t>Az adott kiszerelés mentesül az 5. c) és d) pontokban megfogalmazott követelmények alól.</t>
    </r>
  </si>
  <si>
    <r>
      <rPr>
        <sz val="10"/>
        <color indexed="8"/>
        <rFont val="Arial"/>
      </rPr>
      <t>Kijelentem, hogy a termék NEM a termékre / az adott kiszerelésre vonatkozó visszaváltási rendszer hatálya alá tartozó csomagolásban kerül forgalomba, így nem mentesül az 5. kritérium c) és d) pontjában megadott kritériumok alól. (A c) és d) pontokat ki kell tölteni.)</t>
    </r>
  </si>
  <si>
    <r>
      <rPr>
        <b val="1"/>
        <sz val="10"/>
        <color indexed="8"/>
        <rFont val="Arial"/>
      </rPr>
      <t>Tömeg/hasznosság arány (THA)</t>
    </r>
  </si>
  <si>
    <r>
      <rPr>
        <sz val="10"/>
        <color indexed="8"/>
        <rFont val="Arial"/>
      </rPr>
      <t>Kijelentem, hogy az adott kiszerelés esetében a THA arány nem haladja meg a vonatkozó határértéket.</t>
    </r>
  </si>
  <si>
    <r>
      <rPr>
        <sz val="8"/>
        <color indexed="8"/>
        <rFont val="Arial"/>
      </rPr>
      <t>Hígítatlan termékek</t>
    </r>
  </si>
  <si>
    <r>
      <rPr>
        <sz val="8"/>
        <color indexed="8"/>
        <rFont val="Arial"/>
      </rPr>
      <t>Használatra kész termékek</t>
    </r>
  </si>
  <si>
    <r>
      <rPr>
        <sz val="8"/>
        <color indexed="8"/>
        <rFont val="Arial"/>
      </rPr>
      <t>Szórófejes palackokban értékesített, használatra kész termékek</t>
    </r>
  </si>
  <si>
    <r>
      <rPr>
        <sz val="8"/>
        <color indexed="8"/>
        <rFont val="Arial"/>
      </rPr>
      <t>Folteltávolító (kizárólag előkezelésre)</t>
    </r>
  </si>
  <si>
    <r>
      <rPr>
        <sz val="8"/>
        <color indexed="8"/>
        <rFont val="Arial"/>
      </rPr>
      <t>Kézi mosogatószer</t>
    </r>
  </si>
  <si>
    <r>
      <rPr>
        <b val="1"/>
        <sz val="9"/>
        <color indexed="8"/>
        <rFont val="Arial"/>
      </rPr>
      <t>A termék fajtája:</t>
    </r>
  </si>
  <si>
    <r>
      <rPr>
        <b val="1"/>
        <sz val="9"/>
        <color indexed="8"/>
        <rFont val="Arial"/>
      </rPr>
      <t>THA</t>
    </r>
  </si>
  <si>
    <r>
      <rPr>
        <b val="1"/>
        <sz val="9"/>
        <color indexed="8"/>
        <rFont val="Arial"/>
      </rPr>
      <t>THA Határérték</t>
    </r>
  </si>
  <si>
    <r>
      <rPr>
        <sz val="10"/>
        <color indexed="8"/>
        <rFont val="Arial"/>
      </rPr>
      <t>Csatolom a THA kiszámítását bemutató munkalapot.</t>
    </r>
  </si>
  <si>
    <r>
      <rPr>
        <b val="1"/>
        <sz val="10"/>
        <color indexed="8"/>
        <rFont val="Arial"/>
      </rPr>
      <t>Az újrahasznosítást megkönnyítő kialakítás</t>
    </r>
  </si>
  <si>
    <r>
      <rPr>
        <sz val="10"/>
        <color indexed="8"/>
        <rFont val="Arial"/>
      </rPr>
      <t>Kijelentem, hogy a termék csomagolása a következő anyagokból áll:</t>
    </r>
  </si>
  <si>
    <r>
      <rPr>
        <sz val="9"/>
        <color indexed="8"/>
        <rFont val="Arial"/>
      </rPr>
      <t>Ragasztók</t>
    </r>
  </si>
  <si>
    <r>
      <rPr>
        <sz val="10"/>
        <color indexed="8"/>
        <rFont val="Arial"/>
      </rPr>
      <t>Csatolom az elsődleges csomagolás fényképét vagy műszaki rajzokat  az elsődleges csomagolásról.</t>
    </r>
  </si>
  <si>
    <r>
      <rPr>
        <b val="1"/>
        <u val="single"/>
        <sz val="10"/>
        <color indexed="8"/>
        <rFont val="Arial"/>
      </rPr>
      <t>3. kiszerelés</t>
    </r>
  </si>
  <si>
    <r>
      <rPr>
        <sz val="10"/>
        <color indexed="8"/>
        <rFont val="Arial"/>
      </rPr>
      <t>Egyéb (nevezze meg):</t>
    </r>
  </si>
  <si>
    <r>
      <rPr>
        <b val="1"/>
        <u val="single"/>
        <sz val="10"/>
        <color indexed="8"/>
        <rFont val="Arial"/>
      </rPr>
      <t>4. kiszerelés</t>
    </r>
  </si>
  <si>
    <t>Ezek itt már azonosítókkal ellátott jelölőnégyzetek (70-72)</t>
  </si>
  <si>
    <r>
      <rPr>
        <b val="1"/>
        <u val="single"/>
        <sz val="10"/>
        <color indexed="8"/>
        <rFont val="Arial"/>
      </rPr>
      <t>5. kiszerelés</t>
    </r>
  </si>
  <si>
    <r>
      <rPr>
        <b val="1"/>
        <u val="single"/>
        <sz val="10"/>
        <color indexed="8"/>
        <rFont val="Arial"/>
      </rPr>
      <t>6. kiszerelés</t>
    </r>
  </si>
  <si>
    <r>
      <rPr>
        <b val="1"/>
        <u val="single"/>
        <sz val="10"/>
        <color indexed="8"/>
        <rFont val="Arial"/>
      </rPr>
      <t>7. kiszerelés</t>
    </r>
  </si>
  <si>
    <t>Az adott kiszerelés mentesül az 5. c) és d) pontokban megfogalmazott követelmények alól.</t>
  </si>
  <si>
    <t>Kijelentem, hogy a termék nem a termékre / az adott kiszerelésre vonatkozó visszaváltási rendszer hatálya alá tartozó csomagolásban kerül forgalomba, így nem mentesül az 5. kritérium c) és d) pontjában megadott kritériumok alól. (A c) és d) pontokat ki kell tölteni.)</t>
  </si>
  <si>
    <t>Kijelentem, hogy az adott kiszerelésben a termék elsődleges csomagolása több mint 80 %-ban újrahasznosított anyagokból készül.</t>
  </si>
  <si>
    <r>
      <rPr>
        <b val="1"/>
        <u val="single"/>
        <sz val="10"/>
        <color indexed="8"/>
        <rFont val="Arial"/>
      </rPr>
      <t>8. kiszerelés</t>
    </r>
  </si>
  <si>
    <t xml:space="preserve">6. kritérium - </t>
  </si>
  <si>
    <t>Használatra való alkalmasság</t>
  </si>
  <si>
    <t>Kijelentem, hogy a termék használatra való alkalmasságának vizsgálata az uniós ökocímke weboldalán elérhető „Framework for the performance test for hand dishwashing detergents” (Kézi mosogatószerek hatásossági vizsgálata) tanulmány szerint történt, és a vizsgálat eredménye szerint a termék az ajánlott legalacsonyabb hőmérsékleten és a vízkeménységnek megfelelő ajánlott adagolás mellett kielégítő tisztító hatással rendelkezik.</t>
  </si>
  <si>
    <t xml:space="preserve">Kijelentem, hogy a termék vizsgálata </t>
  </si>
  <si>
    <t>a legfrissebb IKW szabvány szerint</t>
  </si>
  <si>
    <t>az EN 50242/EN 60436 szabvány legfrissebb változatának  az uniós ökocímke weboldalán elérhető „Framework performance test for dishwasher detergents” (Gépi mosogatószerek hatásossági vizsgálata) tanulmányban módosított előírásai szerint</t>
  </si>
  <si>
    <t>történt.</t>
  </si>
  <si>
    <t>Kijelentem, hogy  a termék a vizsgálat eredménye szerint legalább az előírt minimális tisztító hatással rendelkezik.</t>
  </si>
  <si>
    <t>Csatolom a vizsgálati eredményeket tartalmazó dokumentációt.</t>
  </si>
  <si>
    <t>Csatolom a dokumentációt, amely igazolja a vonatkozó harmonizált szabványokban a vizsgáló- és kalibrálólaboratóriumok számára előírt laboratóriumi követelményeknek való megfelelést.</t>
  </si>
  <si>
    <t xml:space="preserve">7. kritérium - </t>
  </si>
  <si>
    <t>A felhasználók tájékoztatása</t>
  </si>
  <si>
    <t>Kijelentem, hogy termék címkéjén/csomagolásán megtalálható a használati utasítás, amely segít maximalizálni a termék hatékonyságát és minimálisra csökkenteni a képződő hulladékot, valamint  a vízszennyezést és a természeti erőforrások felhasználását. A használati utasítás olvasható formában, grafikusan ábrázolva vagy ikonok formájában tartalmazza az adagolásra, a csomagolás ártalmatlanítására és a környezetvédelemre vonatkozó információkat.</t>
  </si>
  <si>
    <t>Adagolási utasítások</t>
  </si>
  <si>
    <t>Kijelentem, hogy a termék megfelelő módon segíti a fogyasztókat az ajánlott adagolás betartásában (a termék tartalmazza az adagolási utasítást és az adagoláshoz szükséges eszközöket).</t>
  </si>
  <si>
    <t xml:space="preserve">Kijelentem, hogy az adagolási utasításban legalább két különböző mértékű szennyezettségnek megfelelő ajánlott adagolás van feltüntetve. </t>
  </si>
  <si>
    <t>Kijelentem, hogy az  adagolási utasítás tartalmazza a  normál  töltet  legalább két  különböző mértékű  szennyezettségének megfelelő ajánlott adagolást, és azt, hogy a vízkeménység hogyan befolyásolja az adagolást.</t>
  </si>
  <si>
    <t>Kijelentem, hogy az adagolási utasításban megtalálható, hogy a vízkeménység hogyan befolyásolja az adagolást.</t>
  </si>
  <si>
    <t>Kijelentem, hogy az adagolási utasítás tartalmazza annak a térségnek a jellemző vízkeménységét, ahol a terméket forgalomba kívánják hozni, vagy azt, hogy ez az információ hol található meg.</t>
  </si>
  <si>
    <t>Kijelentem, hogy az adagolási utasításban szerepel a normál töltethez ajánlott adag megjelölése.</t>
  </si>
  <si>
    <r>
      <rPr>
        <b val="1"/>
        <sz val="10"/>
        <color indexed="8"/>
        <rFont val="Arial"/>
      </rPr>
      <t>Válasszon az alábbi két válasz közül:</t>
    </r>
  </si>
  <si>
    <t>Kijelentem, hogy ez a termék használatra kész termék, amelynek a csomagolásán fel van tüntetve a következő szöveg: „Ez a termék nem ipari takarításra szolgál.”</t>
  </si>
  <si>
    <t>A csomagolás ártalmatlanítására vonatkozó információk</t>
  </si>
  <si>
    <t>Kijelentem, hogy az elsődleges csomagoláson fel vannak tüntetve a csomagolás újrafelhasználására, újrahasznosítására és a csomagolási hulladék megfelelő elhelyezésére vonatkozó információkat.</t>
  </si>
  <si>
    <r>
      <rPr>
        <b val="1"/>
        <sz val="10"/>
        <color indexed="8"/>
        <rFont val="Arial"/>
      </rPr>
      <t>c)</t>
    </r>
  </si>
  <si>
    <t>Környezetvédelmi információk</t>
  </si>
  <si>
    <t>Kijelentem, hogy az elsődleges csomagoláson szövegesen fel van tüntetve, hogy az energia- és a vízfogyasztás minimálisra csökkentése, valamint a vízszennyezés visszaszorítása érdekében fontos betartani a helyes adagolást és a legalacsonyabb ajánlott hőmérsékletet.</t>
  </si>
  <si>
    <t xml:space="preserve">Kijelentem, hogy az ajánlott legalacsonyabb mosási hőmérséklet </t>
  </si>
  <si>
    <t>ºC.</t>
  </si>
  <si>
    <t>[Írja be az ajánlott legalacsonyabb mosási hőmérsékletet (nem lehet 30ºC-nál magasabb)!]</t>
  </si>
  <si>
    <t xml:space="preserve">8. kritérium - </t>
  </si>
  <si>
    <t>Az uniós ökocímkén feltüntetett információk</t>
  </si>
  <si>
    <t>Kijelentem, hogy az uniós ökocímke logóját az arculati előírásoknak megfelelően használjuk.</t>
  </si>
  <si>
    <t>Kijelentem, hogy az uniós ökocímke nyilvántartási/engedélyezési száma olvasható és jól látható módon van a terméken feltüntetve.</t>
  </si>
  <si>
    <t>Kijelentem, hogy a címkén a következő szöveget tartalmazó opcionális szövegdoboz is fel van tüntetve:</t>
  </si>
  <si>
    <t>"A vízi környezetre gyakorolt hatás korlátozott;"</t>
  </si>
  <si>
    <t>"Korlátozott veszélyesanyag-tartalom;"</t>
  </si>
  <si>
    <t>"Ellenőrzött tisztító hatás."</t>
  </si>
  <si>
    <t>Mellékelem az uniós ökocímkét feltüntető termékcímke mintáját vagy a csomagolási  tervet.</t>
  </si>
  <si>
    <t>Alulírott kijelentem továbbá, hogy a termék ökocímke kritériumoknak való megfelelőségét igazoló valamennyi dokumentum valódi, és a tartalmuk megfelel a valóságnak.</t>
  </si>
  <si>
    <t>Keltezés (hely, dátum):</t>
  </si>
  <si>
    <t>A vállalat neve / pecsétje</t>
  </si>
  <si>
    <t>Képviselő neve, telefonszáma, elektronikus postacíme:</t>
  </si>
  <si>
    <t>Képviselő aláírása:</t>
  </si>
  <si>
    <t>DID List</t>
  </si>
  <si>
    <t>Detergents Ingredients Database, version 2016</t>
  </si>
  <si>
    <t xml:space="preserve">                                         </t>
  </si>
  <si>
    <t>Acute toxicity</t>
  </si>
  <si>
    <t>Chronic toxicity</t>
  </si>
  <si>
    <t>Degradation</t>
  </si>
  <si>
    <t>DID-no</t>
  </si>
  <si>
    <t>Ingredient name</t>
  </si>
  <si>
    <t>LC50/ EC50 (*)</t>
  </si>
  <si>
    <t>SF (*) (Acute)</t>
  </si>
  <si>
    <t>TF    (Acute)</t>
  </si>
  <si>
    <t>NOEC (*)</t>
  </si>
  <si>
    <t>SF (*) (Chronic)</t>
  </si>
  <si>
    <t>TF    (Chronic)</t>
  </si>
  <si>
    <t>DF</t>
  </si>
  <si>
    <t xml:space="preserve">Aerobic </t>
  </si>
  <si>
    <t xml:space="preserve">Anaerobic </t>
  </si>
  <si>
    <t>nem szerepel</t>
  </si>
  <si>
    <t>Anionic surfactants</t>
  </si>
  <si>
    <t>C10-13 linear alkyl benzene sulphonates</t>
  </si>
  <si>
    <t>R</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</si>
  <si>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</si>
  <si>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</si>
  <si>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</si>
  <si>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</si>
  <si>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</si>
  <si>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</si>
  <si>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</si>
  <si>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</si>
  <si>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</si>
  <si>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</si>
  <si>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</si>
  <si>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</si>
  <si>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</si>
  <si>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</si>
  <si>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</si>
  <si>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</si>
  <si>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</si>
  <si>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</si>
  <si>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</si>
  <si>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</si>
  <si>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</si>
  <si>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</si>
  <si>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</si>
  <si>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</si>
  <si>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</si>
  <si>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</si>
  <si>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C&gt;12-22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</si>
  <si>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</si>
  <si>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</si>
  <si>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</si>
  <si>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</si>
  <si>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</si>
  <si>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</si>
  <si>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</si>
  <si>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</si>
  <si>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</si>
  <si>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</si>
  <si>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</si>
  <si>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r>
      <rPr>
        <sz val="9"/>
        <color indexed="8"/>
        <rFont val="Arial"/>
      </rPr>
      <t xml:space="preserve">iso-C13 Alcohol, ≤ </t>
    </r>
    <r>
      <rPr>
        <sz val="8"/>
        <color indexed="8"/>
        <rFont val="Arial"/>
      </rPr>
      <t>2,5 EO</t>
    </r>
  </si>
  <si>
    <r>
      <rPr>
        <sz val="9"/>
        <color indexed="8"/>
        <rFont val="Arial"/>
      </rPr>
      <t>iso-C13 Alcohol, &gt;2,5 - ≤6</t>
    </r>
    <r>
      <rPr>
        <sz val="8"/>
        <color indexed="8"/>
        <rFont val="Arial"/>
      </rPr>
      <t xml:space="preserve"> EO</t>
    </r>
  </si>
  <si>
    <r>
      <rPr>
        <sz val="9"/>
        <color indexed="8"/>
        <rFont val="Arial"/>
      </rPr>
      <t>iso-C13 Alcohol, ≥7 - &lt;20</t>
    </r>
    <r>
      <rPr>
        <sz val="8"/>
        <color indexed="8"/>
        <rFont val="Arial"/>
      </rPr>
      <t xml:space="preserve"> EO</t>
    </r>
  </si>
  <si>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</si>
  <si>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</si>
  <si>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</si>
  <si>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</si>
  <si>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</si>
  <si>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</si>
  <si>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</si>
  <si>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</si>
  <si>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</si>
  <si>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</si>
  <si>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</si>
  <si>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</si>
  <si>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</si>
  <si>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</si>
  <si>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</si>
  <si>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</si>
  <si>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</si>
  <si>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</si>
  <si>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</si>
  <si>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</si>
  <si>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</si>
  <si>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</si>
  <si>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</si>
  <si>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</si>
  <si>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rPr>
        <sz val="9"/>
        <color indexed="33"/>
        <rFont val="Arial"/>
      </rPr>
      <t>C8-11 Alcohol, predominately linear, ≤</t>
    </r>
    <r>
      <rPr>
        <sz val="8"/>
        <color indexed="33"/>
        <rFont val="Arial"/>
      </rPr>
      <t>2,5 EO</t>
    </r>
  </si>
  <si>
    <r>
      <rPr>
        <sz val="9"/>
        <color indexed="33"/>
        <rFont val="Arial"/>
      </rPr>
      <t>C8-11 Alcohol, predominately linear, &gt;2,5 - ≤10</t>
    </r>
    <r>
      <rPr>
        <sz val="8"/>
        <color indexed="33"/>
        <rFont val="Arial"/>
      </rPr>
      <t xml:space="preserve"> EO</t>
    </r>
  </si>
  <si>
    <r>
      <rPr>
        <sz val="9"/>
        <color indexed="33"/>
        <rFont val="Arial"/>
      </rPr>
      <t>C8-11 Alcohol, predominately linear, &gt;10</t>
    </r>
    <r>
      <rPr>
        <sz val="8"/>
        <color indexed="33"/>
        <rFont val="Arial"/>
      </rPr>
      <t xml:space="preserve"> EO</t>
    </r>
  </si>
  <si>
    <r>
      <rPr>
        <sz val="9"/>
        <color indexed="33"/>
        <rFont val="Arial"/>
      </rPr>
      <t>C9-11 Alcohol, branched, ≤</t>
    </r>
    <r>
      <rPr>
        <sz val="8"/>
        <color indexed="33"/>
        <rFont val="Arial"/>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</si>
  <si>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</si>
  <si>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</si>
  <si>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</si>
  <si>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</si>
  <si>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</si>
  <si>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</si>
  <si>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rPr>
        <sz val="9"/>
        <color indexed="33"/>
        <rFont val="Arial"/>
      </rPr>
      <t>C14-15 Alcohol, predominately linear, &gt;2,5 - ≤10</t>
    </r>
    <r>
      <rPr>
        <sz val="8"/>
        <color indexed="33"/>
        <rFont val="Arial"/>
      </rPr>
      <t xml:space="preserve"> EO</t>
    </r>
  </si>
  <si>
    <t>C12-16 Alcohol, predominately linear &gt;10 - &lt;20 EO</t>
  </si>
  <si>
    <t>C12-16 Alcohol, predominately linear, &gt;20 - &lt;30 EO</t>
  </si>
  <si>
    <t xml:space="preserve">O </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</si>
  <si>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</si>
  <si>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</si>
  <si>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</si>
  <si>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</si>
  <si>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</si>
  <si>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</si>
  <si>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</si>
  <si>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</si>
  <si>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</si>
  <si>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</si>
  <si>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</si>
  <si>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</si>
  <si>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</si>
  <si>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</si>
  <si>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</si>
  <si>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</si>
  <si>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</si>
  <si>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</si>
  <si>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</si>
  <si>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</si>
  <si>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</si>
  <si>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</si>
  <si>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</si>
  <si>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</si>
  <si>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</si>
  <si>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</si>
  <si>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</si>
  <si>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</si>
  <si>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</si>
  <si>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</si>
  <si>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</si>
  <si>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</si>
  <si>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</si>
  <si>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</si>
  <si>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</si>
  <si>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</si>
  <si>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</si>
  <si>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</si>
  <si>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</si>
  <si>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</si>
  <si>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</si>
  <si>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</si>
  <si>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</si>
  <si>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</si>
  <si>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</si>
  <si>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r>
      <rPr>
        <sz val="9"/>
        <color indexed="8"/>
        <rFont val="Arial"/>
      </rPr>
      <t>Phenoxypropanol</t>
    </r>
  </si>
  <si>
    <t>Other ingredients (****)</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</si>
  <si>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</si>
  <si>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</si>
  <si>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</si>
  <si>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</si>
  <si>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</si>
  <si>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</si>
  <si>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</si>
  <si>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</si>
  <si>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</si>
  <si>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</si>
  <si>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</si>
  <si>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</si>
  <si>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</si>
  <si>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</si>
  <si>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</si>
  <si>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</si>
  <si>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</si>
  <si>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Veg. Oil (hydrogenated)</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</si>
  <si>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</si>
  <si>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</si>
  <si>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</si>
  <si>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</si>
  <si>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</si>
  <si>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</si>
  <si>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</si>
  <si>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</si>
  <si>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</si>
  <si>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</si>
  <si>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r>
      <rPr>
        <sz val="9"/>
        <color indexed="8"/>
        <rFont val="Arial"/>
      </rPr>
      <t xml:space="preserve">C1-C3 alcohols                </t>
    </r>
  </si>
  <si>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</si>
  <si>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</si>
  <si>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</si>
  <si>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</si>
  <si>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</si>
  <si>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</si>
  <si>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</si>
  <si>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quartz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</si>
  <si>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</si>
  <si>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</si>
  <si>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</si>
  <si>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</si>
  <si>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</si>
  <si>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</si>
  <si>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</si>
  <si>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</si>
  <si>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</si>
  <si>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</si>
  <si>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</si>
  <si>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</si>
  <si>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</si>
  <si>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</si>
  <si>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</si>
  <si>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</si>
  <si>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</si>
  <si>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rPr>
        <sz val="9"/>
        <color indexed="8"/>
        <rFont val="Arial"/>
      </rPr>
      <t xml:space="preserve">Iminodisuccinat </t>
    </r>
  </si>
  <si>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</si>
  <si>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</si>
  <si>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</si>
  <si>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</si>
  <si>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</si>
  <si>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</si>
  <si>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</si>
  <si>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</si>
  <si>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</si>
  <si>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</si>
  <si>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</si>
  <si>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</si>
  <si>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</si>
  <si>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</si>
  <si>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</si>
  <si>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</si>
  <si>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</si>
  <si>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</si>
  <si>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</si>
  <si>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</si>
  <si>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</si>
  <si>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</si>
  <si>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</si>
  <si>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</si>
  <si>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</si>
  <si>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</si>
  <si>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</si>
  <si>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</si>
  <si>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</si>
  <si>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</si>
  <si>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</si>
  <si>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</si>
  <si>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</si>
  <si>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</si>
  <si>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</si>
  <si>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</si>
  <si>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</si>
  <si>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</si>
  <si>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</si>
  <si>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</si>
  <si>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</si>
  <si>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</si>
  <si>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</si>
  <si>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</si>
  <si>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</si>
  <si>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</si>
  <si>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</si>
  <si>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</si>
  <si>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</si>
  <si>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</si>
  <si>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</si>
  <si>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</si>
  <si>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</si>
  <si>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</si>
  <si>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</si>
  <si>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</si>
  <si>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</si>
  <si>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</si>
  <si>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</si>
  <si>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</si>
  <si>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</si>
  <si>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</si>
  <si>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</si>
  <si>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</si>
  <si>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</si>
  <si>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</si>
  <si>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</si>
  <si>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</si>
  <si>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</si>
  <si>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</si>
  <si>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</si>
  <si>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</si>
  <si>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</si>
  <si>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</si>
  <si>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</si>
  <si>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</si>
  <si>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</si>
  <si>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</si>
  <si>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</si>
  <si>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</si>
  <si>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</si>
  <si>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</si>
  <si>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</si>
  <si>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</si>
  <si>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</si>
  <si>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</si>
  <si>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</si>
  <si>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</si>
  <si>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</si>
  <si>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</si>
  <si>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</si>
  <si>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Deutsch</t>
  </si>
  <si>
    <t xml:space="preserve">R </t>
  </si>
  <si>
    <t>Readily biodegradable according to OECD guidelines.</t>
  </si>
  <si>
    <t>L</t>
  </si>
  <si>
    <t xml:space="preserve"> Inherently biodegradable according to OECD guidelines.</t>
  </si>
  <si>
    <t xml:space="preserve">P </t>
  </si>
  <si>
    <t>Persistent. The ingredient has failed the test for inherent biodegradability.</t>
  </si>
  <si>
    <t>S</t>
  </si>
  <si>
    <t>The ingredient has not been tested.</t>
  </si>
  <si>
    <t xml:space="preserve">NA </t>
  </si>
  <si>
    <t>Not applicable</t>
  </si>
  <si>
    <t>Anaerobic degradation:</t>
  </si>
  <si>
    <t xml:space="preserve">Y </t>
  </si>
  <si>
    <t>Biodegradable under anaerobic conditions.</t>
  </si>
  <si>
    <t>J</t>
  </si>
  <si>
    <t xml:space="preserve">N </t>
  </si>
  <si>
    <t>Not biodegradable under anaerobic conditions.</t>
  </si>
  <si>
    <t>Fordítások</t>
  </si>
  <si>
    <t>Zeichennehmer:</t>
  </si>
  <si>
    <t>Licence Holder:</t>
  </si>
  <si>
    <t>Zeichenanwender / Produktname (Land):</t>
  </si>
  <si>
    <t>Distributor / Product name (Country):</t>
  </si>
  <si>
    <t>Vertragsnummer:</t>
  </si>
  <si>
    <t>Contract number:</t>
  </si>
  <si>
    <t>Produktart:</t>
  </si>
  <si>
    <t>Type of product:</t>
  </si>
  <si>
    <t>Datum:</t>
  </si>
  <si>
    <t>Date:</t>
  </si>
  <si>
    <t>Version:</t>
  </si>
  <si>
    <t>cons.</t>
  </si>
  <si>
    <t>Nr.</t>
  </si>
  <si>
    <t>no:</t>
  </si>
  <si>
    <t>Handelsname</t>
  </si>
  <si>
    <t>Trade name</t>
  </si>
  <si>
    <t>kereskedelmi megnevezése</t>
  </si>
  <si>
    <t>Hersteller/Lieferant</t>
  </si>
  <si>
    <t>Manufacturer/retailer</t>
  </si>
  <si>
    <t>Funktion</t>
  </si>
  <si>
    <t>Function</t>
  </si>
  <si>
    <t>(bitte auswählen oder eingeben)</t>
  </si>
  <si>
    <t>(please select or fill-in)</t>
  </si>
  <si>
    <t>Gewicht
in der Rezeptur in</t>
  </si>
  <si>
    <t>weight in the formulation in</t>
  </si>
  <si>
    <t>Masse% 
(=g/100 g Produkt)</t>
  </si>
  <si>
    <t>mass-% (=g/100g product)</t>
  </si>
  <si>
    <t>Herstellererklärung</t>
  </si>
  <si>
    <t>Supplier declaration</t>
  </si>
  <si>
    <t>beigefügt?</t>
  </si>
  <si>
    <t>added?</t>
  </si>
  <si>
    <t>SDS</t>
  </si>
  <si>
    <t>Gefahrenhinweis 
(H-Sätze) (1)</t>
  </si>
  <si>
    <t>Hazard Statement</t>
  </si>
  <si>
    <t>Gefahrsätze 
(R-Sätze) (2)</t>
  </si>
  <si>
    <t>Risk Phrase (2)</t>
  </si>
  <si>
    <t>Veszélyt jelző R-mondatok (2)</t>
  </si>
  <si>
    <t>Wasser</t>
  </si>
  <si>
    <t>water</t>
  </si>
  <si>
    <t>Summe:</t>
  </si>
  <si>
    <t>Sum:</t>
  </si>
  <si>
    <t>(muss 100 ergeben)</t>
  </si>
  <si>
    <t>(must be 100)</t>
  </si>
  <si>
    <t>Bemerkungen Antragsteller</t>
  </si>
  <si>
    <t>remarks of the applicant</t>
  </si>
  <si>
    <t>Auswahl für Biozide: 
BCF / logKow</t>
  </si>
  <si>
    <t>Select for Biocides: 
BCF / logKow</t>
  </si>
  <si>
    <t>Auswahl für Farbstoffe:
BCF / logKow oder Lebensmittel zugelassen</t>
  </si>
  <si>
    <t>Select for Colouring agents:
BCF / logKow or approved for foodstuff</t>
  </si>
  <si>
    <r>
      <rPr>
        <sz val="10"/>
        <color indexed="8"/>
        <rFont val="Arial"/>
      </rPr>
      <t>BCF  /  log K</t>
    </r>
    <r>
      <rPr>
        <vertAlign val="subscript"/>
        <sz val="10"/>
        <color indexed="8"/>
        <rFont val="Arial"/>
      </rPr>
      <t>ow</t>
    </r>
    <r>
      <rPr>
        <sz val="10"/>
        <color indexed="8"/>
        <rFont val="Arial"/>
      </rPr>
      <t xml:space="preserve"> /  Élelmiszerekre is engedélyezett</t>
    </r>
  </si>
  <si>
    <t>3) Anzugeben sind alle Inhaltsstoffe ≥ 0,01%, Konservierungs-, Farb- und Duftstoffe unabhängig von ihrer Konzentration. Bei Duftstoffen kann die Eingabe der einzelnen Inhaltsstoffe entfallen, sofern alle Inhaltsstoffe im SDS aufgeführt werden.</t>
  </si>
  <si>
    <t xml:space="preserve">2) Fill-in all ingoing substances ≥ 0,01%, preservatives, fragrances and colouring agents regardless of concentration. The ingoing substances of fragrances do not need to be listed indivually if they are listed in the SDS. </t>
  </si>
  <si>
    <t>Formulierung des Waschmittels (Zusammensetzung aus Vorprodukten)</t>
  </si>
  <si>
    <t>Formulation of the laundry detergent (composition of primary products)</t>
  </si>
  <si>
    <t>A mosószer  összetétele (mosószer összetevők szerint)</t>
  </si>
  <si>
    <t>(nur die rot unterlegten Felder auswählen oder ausfüllen)</t>
  </si>
  <si>
    <t>Please fill-in all red coloured fields.</t>
  </si>
  <si>
    <t>Formulierung des Waschmittels (Inhaltsstoffe)</t>
  </si>
  <si>
    <t>Formulation of the laundry detergent (ingoing substances)</t>
  </si>
  <si>
    <t>A mosószer összetétele (hozzáadott anyagok szerint)</t>
  </si>
  <si>
    <t>3) Automatisch werden alle Inhaltstoffe übernommen.</t>
  </si>
  <si>
    <t>2) automatically all ingoing substances appear.</t>
  </si>
  <si>
    <t>2) Minden hozzáadott anyag automatikusan megjelenik.</t>
  </si>
  <si>
    <t>1): Sofern eine DID-Nummer eingegeben wird, werden die Spalten L und M (AW/TW) sowie N und O (Abbaubarkeiten) automatisch gefüllt. Sofern die Substanz nicht in der DID-Liste enthalten ist, "not included" auswählen, die AW/TW-Werte bzw. die Abbaubarkeiten bestimmen und in den Spalten H bis K eingeben.</t>
  </si>
  <si>
    <t>1): If a DID-no will be selected the columns L and M (DF/TF) as well as N and O (biodegrability) filled automatically. If the substance is not in the DID-Liste select "not included" and fill-in the values for DF/TF and the biodegrability in the columns H to K.</t>
  </si>
  <si>
    <t>1): A DID-lista szám kiválasztásakor az L és M (LT - lebonthatósági tényező)  és TT - toxicitási tényező értéke), illetve az N és O (biológiai lebonthatóság) oszlopok megfelelő mezői automatikusan kitöltésre kerülnek. Ha az anyag nem szerepel a DID-listán, válassza a "nem szerepel" választ. Ebben az esetben az LT/TT  tényező értékét, valamint a biologiai lebonthatóságra vonatkozó választ a H - K oszlopokban adhatja meg.</t>
  </si>
  <si>
    <t>Eingaben nur für Substanzen, die nicht in der DID-Liste enthalten sind!</t>
  </si>
  <si>
    <t>Fill-in only if substance not included in the DID-list</t>
  </si>
  <si>
    <t>AW</t>
  </si>
  <si>
    <t>TW chron.</t>
  </si>
  <si>
    <t>TF chron.</t>
  </si>
  <si>
    <r>
      <rPr>
        <sz val="10"/>
        <color indexed="8"/>
        <rFont val="Arial"/>
      </rPr>
      <t xml:space="preserve">TT </t>
    </r>
    <r>
      <rPr>
        <vertAlign val="subscript"/>
        <sz val="10"/>
        <color indexed="8"/>
        <rFont val="Arial"/>
      </rPr>
      <t>krónikus</t>
    </r>
  </si>
  <si>
    <t>Aerobic</t>
  </si>
  <si>
    <t>Anaerobic</t>
  </si>
  <si>
    <t>Abbaubarkeit</t>
  </si>
  <si>
    <t>biodegradable</t>
  </si>
  <si>
    <t>Organischer Stoff</t>
  </si>
  <si>
    <t>organic substance</t>
  </si>
  <si>
    <t>Stoff</t>
  </si>
  <si>
    <t>Substance</t>
  </si>
  <si>
    <t>Organischer Inhaltsstoff ohne leichte aerobe Abbaubarkeit</t>
  </si>
  <si>
    <t>Organic substance not readily biodegradable</t>
  </si>
  <si>
    <t>Organischer Inhaltsstoff ohne anaerobe Abbaubarkeit</t>
  </si>
  <si>
    <t>Organic substance anaerobically non-biodegradable</t>
  </si>
  <si>
    <t>(in g/kg Wäsche)</t>
  </si>
  <si>
    <t>(in g/kg laundry)</t>
  </si>
  <si>
    <t>( g/ 1 kg mosnivaló)</t>
  </si>
  <si>
    <t>2) Reibekörper = N</t>
  </si>
  <si>
    <t>2) rubbing/abrasive agents = N</t>
  </si>
  <si>
    <t>2) súroló összetevő/hatóanyag = N</t>
  </si>
  <si>
    <t>=aNBO (Tensid)</t>
  </si>
  <si>
    <t>=aNBO (surf.)</t>
  </si>
  <si>
    <t>=anNBO (Tensid H400/H412)</t>
  </si>
  <si>
    <t>=anNBO (surf. H400/H412)</t>
  </si>
  <si>
    <t>=aNBO (org. Sub.)</t>
  </si>
  <si>
    <t>=aNBO (org. subst.)</t>
  </si>
  <si>
    <t>=anNBO (org. Sub.)</t>
  </si>
  <si>
    <t>=anNBO (org. subst.)</t>
  </si>
  <si>
    <t>Dosis</t>
  </si>
  <si>
    <t>dosage</t>
  </si>
  <si>
    <t>(in g/...)</t>
  </si>
  <si>
    <t>1) Verordnung (EG) Nr. 1272/2008 über die Einstufung, Kennzeichnung und Verpackung von
 Stoffen und Gemischen, zur Änderung und Aufhebung der Richtlinien 67/548/EWG und 1999/45/EG und zur Änderung der Verordnung (EG) Nr. 1907/2006</t>
  </si>
  <si>
    <t xml:space="preserve">1) Regulation (EC) No 1272/2008 on classification, labelling and packaging of substances and mixtures, amending and repealing Directives 67/548/EEC and 1999/45/EC, and amending Regulation (EC) No 1907/2006
</t>
  </si>
  <si>
    <t>2) Richtlinie 67/548/EWG mit Anpassung an Verordnung (EG) Nr. 1907/2006 
gemäß Richtlinie 2006/121/EG und Richtlinie 1999/45/EG in der aktuellen Fassung</t>
  </si>
  <si>
    <t>2) Directive 67/548/EEC with adjustment to REACH according to Directive 2006/121/EC and Directive
 1999/45/EC as amended</t>
  </si>
  <si>
    <t>2)  A 2006/121/EK irányelv (REACH rendelet és a 199/45/EK irányelv által módosított 67/548/EGK rendelet a veszélyes anyagok osztályozására, csomagolására és címkézésére vonatkozó törvényi, rendeleti és közigazgatási rendelkezések közelítéséről</t>
  </si>
  <si>
    <t>Inhaltsstoff 3)</t>
  </si>
  <si>
    <r>
      <rPr>
        <sz val="10"/>
        <color indexed="8"/>
        <rFont val="Arial"/>
      </rPr>
      <t xml:space="preserve">Ingoing substance </t>
    </r>
    <r>
      <rPr>
        <vertAlign val="superscript"/>
        <sz val="10"/>
        <color indexed="8"/>
        <rFont val="Arial"/>
      </rPr>
      <t>2)</t>
    </r>
  </si>
  <si>
    <r>
      <rPr>
        <sz val="10"/>
        <color indexed="8"/>
        <rFont val="Arial"/>
      </rPr>
      <t>Összetevők 2</t>
    </r>
    <r>
      <rPr>
        <vertAlign val="superscript"/>
        <sz val="10"/>
        <color indexed="8"/>
        <rFont val="Arial"/>
      </rPr>
      <t>)</t>
    </r>
  </si>
  <si>
    <t>Bezeichnung lt. IUPAC</t>
  </si>
  <si>
    <t>Name (IUPAC)</t>
  </si>
  <si>
    <t>im Vorprodukt enthalten</t>
  </si>
  <si>
    <t>contained in primary product</t>
  </si>
  <si>
    <t>(bitte auswählen)</t>
  </si>
  <si>
    <t>(please choose)</t>
  </si>
  <si>
    <t>Wert für</t>
  </si>
  <si>
    <t xml:space="preserve">Value of </t>
  </si>
  <si>
    <t>Tensid nicht aus Palmöl/Palmkernöl</t>
  </si>
  <si>
    <t xml:space="preserve">Surfactant not from palm/palm kernel oil </t>
  </si>
  <si>
    <t>Nem pálmaolajból/pálmamagolajból származó felületaktív anyag</t>
  </si>
  <si>
    <t>Tensid aus Palmöl/Palmkernöl</t>
  </si>
  <si>
    <t>Surfactant from palm/palm kernel oil</t>
  </si>
  <si>
    <t>Pálmaolajból/pálmamagolajból származó felületaktív anyag</t>
  </si>
  <si>
    <t>Biozid</t>
  </si>
  <si>
    <t>Biocide</t>
  </si>
  <si>
    <t>Biocid tulajdonságú anyag</t>
  </si>
  <si>
    <t>Duftstoff</t>
  </si>
  <si>
    <t>Fragrances</t>
  </si>
  <si>
    <t>Illatanyag</t>
  </si>
  <si>
    <t>Farbstoff</t>
  </si>
  <si>
    <t>Colouring agent</t>
  </si>
  <si>
    <t>Színezék</t>
  </si>
  <si>
    <t>Preservative</t>
  </si>
  <si>
    <t>Tartósítószer</t>
  </si>
  <si>
    <t>Enzym</t>
  </si>
  <si>
    <t>Enzyme</t>
  </si>
  <si>
    <t>Enzim</t>
  </si>
  <si>
    <t>Bleichmittel</t>
  </si>
  <si>
    <t>Bleach</t>
  </si>
  <si>
    <t>Fehérítő</t>
  </si>
  <si>
    <t>Bleichkatalysator</t>
  </si>
  <si>
    <t>Bleach activator</t>
  </si>
  <si>
    <t>Fehérítő katalizátor</t>
  </si>
  <si>
    <t>Sonstige</t>
  </si>
  <si>
    <t>Other</t>
  </si>
  <si>
    <t>Surfactant</t>
  </si>
  <si>
    <t>Felületaktív anyag</t>
  </si>
  <si>
    <t>könnyen lebontható</t>
  </si>
  <si>
    <t>biológiailag potenciálisan lebontható</t>
  </si>
  <si>
    <t>biológiailag nem lebomló, perzisztens</t>
  </si>
  <si>
    <t>Az összetevőre nem készült vizsgálat</t>
  </si>
  <si>
    <t>Biologisch leicht abbaubar nach OECD Richtlinien</t>
  </si>
  <si>
    <t>Biologisch inherent abbaubar nach OECD Richtlinien</t>
  </si>
  <si>
    <t>Inherently biodegradable according to OECD guidelines.</t>
  </si>
  <si>
    <t>Schwer abbaubar. Die Prüfung des Inhaltsstoffes ergab keine inhärente biologische Abbaubarkeit.</t>
  </si>
  <si>
    <t>Der Inhaltsstoff wurde nicht geprüft.</t>
  </si>
  <si>
    <t>Nicht zutreffend</t>
  </si>
  <si>
    <t>Unter anaeroben Bedingungen biologisch abbaubar</t>
  </si>
  <si>
    <t>Unter anaeroben Bedingungen nicht biologisch abbaubar</t>
  </si>
  <si>
    <t>Grenzwert</t>
  </si>
  <si>
    <t>Limit</t>
  </si>
  <si>
    <t>Ergebnis</t>
  </si>
  <si>
    <t>Result</t>
  </si>
  <si>
    <t>KVV chron</t>
  </si>
  <si>
    <t>CDV chron</t>
  </si>
  <si>
    <r>
      <rPr>
        <sz val="10"/>
        <color indexed="8"/>
        <rFont val="Arial"/>
      </rPr>
      <t xml:space="preserve">KHT </t>
    </r>
    <r>
      <rPr>
        <vertAlign val="subscript"/>
        <sz val="10"/>
        <color indexed="8"/>
        <rFont val="Arial"/>
      </rPr>
      <t>krónikus</t>
    </r>
  </si>
  <si>
    <t>KVV chron / AG</t>
  </si>
  <si>
    <t>CDV chron / AC</t>
  </si>
  <si>
    <r>
      <rPr>
        <sz val="10"/>
        <color indexed="8"/>
        <rFont val="Arial"/>
      </rPr>
      <t>KHT</t>
    </r>
    <r>
      <rPr>
        <vertAlign val="subscript"/>
        <sz val="10"/>
        <color indexed="8"/>
        <rFont val="Arial"/>
      </rPr>
      <t>krónikus</t>
    </r>
    <r>
      <rPr>
        <sz val="10"/>
        <color indexed="8"/>
        <rFont val="Arial"/>
      </rPr>
      <t xml:space="preserve"> / AG</t>
    </r>
  </si>
  <si>
    <t>Beschreibung der Verpackungart:</t>
  </si>
  <si>
    <t>Description of the packaging:</t>
  </si>
  <si>
    <t>A csomagolás ismertetése:</t>
  </si>
  <si>
    <t>Gewicht des Produkts 
(in der Primärverpackung) in Gramm (D):</t>
  </si>
  <si>
    <t>Weight of the product (in the primary packaging) in gram (D):</t>
  </si>
  <si>
    <t>Az elsődleges csomagolásban található termék tömege, g (D)</t>
  </si>
  <si>
    <t>Gewicht des Produkts 
(in der Primärverpackung) in Gramm (Dnachf.):</t>
  </si>
  <si>
    <t>Weight of the product (in the primary packaging) in gram (Drefill):</t>
  </si>
  <si>
    <r>
      <rPr>
        <sz val="10"/>
        <color indexed="8"/>
        <rFont val="Arial"/>
      </rPr>
      <t>Az elsődleges csomagolásban található termék tömege, g (D</t>
    </r>
    <r>
      <rPr>
        <vertAlign val="subscript"/>
        <sz val="10"/>
        <color indexed="8"/>
        <rFont val="Arial"/>
      </rPr>
      <t>újratölt</t>
    </r>
    <r>
      <rPr>
        <sz val="10"/>
        <color indexed="8"/>
        <rFont val="Arial"/>
      </rPr>
      <t>)</t>
    </r>
  </si>
  <si>
    <t>Wie oft kann die Originalpackung nachgefüllt werden? (R)
Nachweisen oder Standardwerte R = 2 für Pappe und  R = 5 für Kunststoff verwenden.</t>
  </si>
  <si>
    <t>The number of time that the parent pack can be refilled (R). 
Provide values or use default values of R=5 for plastics and R=2 for cardborad.</t>
  </si>
  <si>
    <t>Az eredeti csomagolást hányszor lehet újratölteni?  (R)
Adja meg az értéket vagy használja az alapértelmezés szerinti értékeket : műanyag esetén R = 5,  kartonpapír esetén R = 2</t>
  </si>
  <si>
    <t>Tensid ohne leichte aerobe Abbaubarkeit</t>
  </si>
  <si>
    <t xml:space="preserve">Surfactant not readily biodegradable </t>
  </si>
  <si>
    <t>Tensid (H400/H412) ohne anaerobe Abbaubarkeit</t>
  </si>
  <si>
    <t xml:space="preserve">Surfactant (H400/H412) anaerobically non-biodegradable </t>
  </si>
  <si>
    <t>(in l/...)</t>
  </si>
  <si>
    <t>(in l/g AG)</t>
  </si>
  <si>
    <t>(in l/g AC)</t>
  </si>
  <si>
    <t>(l/g AG)</t>
  </si>
  <si>
    <t>Artikelnummer:</t>
  </si>
  <si>
    <t>Article number:</t>
  </si>
  <si>
    <t>Cikkszám:</t>
  </si>
  <si>
    <t>Form im Produkt</t>
  </si>
  <si>
    <t>Form in the product</t>
  </si>
  <si>
    <t>Formája a termékben</t>
  </si>
  <si>
    <t>Physikalischer Zustand im Produkt</t>
  </si>
  <si>
    <t>Physical state(s) in the product</t>
  </si>
  <si>
    <t>Halmazállapot a termékben</t>
  </si>
  <si>
    <t>Waschmittel: DID-Nr aller Inhaltsstoffe bzw. Werte nach Teil B der DID-Liste</t>
  </si>
  <si>
    <t xml:space="preserve">Laundry detergent: DID-no of all ingoing substances resp. values acc. Part B </t>
  </si>
  <si>
    <t>Mosószer: az alapanyagok DID-száma vagy a DID-lista B részében szereplő értékek</t>
  </si>
  <si>
    <t>1): Sofern eine DID-Nummer eingegeben wird, werden die Spalten M und N (AW/TW) sowie O und P (Abbaubarkeiten) automatisch gefüllt. Sofern die Substanz nicht in der DID-Liste enthalten ist, "not included" auswählen, die AW/TW-Werte bzw. die Abbaubarkeiten bestimmen und in den Spalten H bis K eingeben.</t>
  </si>
  <si>
    <t>1): If a DID-no will be selected the columns M and N (DF/TF) as well as O and P (biodegrability) filled automatically. If the substance is not in the DID-Liste select "not included" and fill-in the values for DF/TF and the biodegrability in the columns H to K.</t>
  </si>
  <si>
    <t>Falls H/EUH-Hinweis mit möglichen Beschränkungen erkannt wird, wechselt Schrift auf "rot"</t>
  </si>
  <si>
    <t>In case H/EUH-statement with possible restrictions are detected, font changed to red</t>
  </si>
  <si>
    <t>Lebensmittel zugelassen</t>
  </si>
  <si>
    <t>approved for foodstuff</t>
  </si>
  <si>
    <t>Élelmiszerekre is engedélyezett</t>
  </si>
  <si>
    <t>Produkt mit Nachfüllpackungen</t>
  </si>
  <si>
    <t>Product with refill offered</t>
  </si>
  <si>
    <t>A termék utántöltő csomagolásban is elérhető</t>
  </si>
  <si>
    <t>F = V x R / Vnachf. (aufgerundet auf nächste ganze Zahl)</t>
  </si>
  <si>
    <t>F = V x R / Vrefill (rounded up to the next whole number)</t>
  </si>
  <si>
    <r>
      <rPr>
        <sz val="10"/>
        <color indexed="8"/>
        <rFont val="Arial"/>
      </rPr>
      <t>F = V x R / V</t>
    </r>
    <r>
      <rPr>
        <vertAlign val="subscript"/>
        <sz val="10"/>
        <color indexed="8"/>
        <rFont val="Arial"/>
      </rPr>
      <t xml:space="preserve">újratölt </t>
    </r>
    <r>
      <rPr>
        <sz val="10"/>
        <color indexed="8"/>
        <rFont val="Arial"/>
      </rPr>
      <t>(a legközelebbi egész számra kerekítve)</t>
    </r>
  </si>
  <si>
    <t>Originalpackung</t>
  </si>
  <si>
    <t>parent pack</t>
  </si>
  <si>
    <t>Eredeti (nem utántöltő) csomagolás</t>
  </si>
  <si>
    <t>Nachfüllpackung</t>
  </si>
  <si>
    <t>refill pack</t>
  </si>
  <si>
    <t>Utántöltő csomagolás</t>
  </si>
  <si>
    <t>Produkt mit Sekundärverpackung</t>
  </si>
  <si>
    <t>Product with secondary packaging</t>
  </si>
  <si>
    <t>Másodlagos csomagolással forgalmazott termék</t>
  </si>
  <si>
    <t>Anzahl Originalpackungen in Sekundärverpackung</t>
  </si>
  <si>
    <t>Amount of parent packs in secondary packaging</t>
  </si>
  <si>
    <t>A másodlagos csomagolásban található eredeti csomagolású termékek száma</t>
  </si>
  <si>
    <t>Primärverpackungsteil (i)
(bitte Teile angeben)</t>
  </si>
  <si>
    <t>part of the primary 
packaging (i) 
(please name the part)</t>
  </si>
  <si>
    <t>Az (i) sorszámú elsődleges csomagolás része 
(kérjük, nevezze meg)</t>
  </si>
  <si>
    <t>Gewicht des Primär-verpackungsteils (Wi) in g</t>
  </si>
  <si>
    <t>weight of this primary 
packaging part (Wi) in g</t>
  </si>
  <si>
    <r>
      <rPr>
        <sz val="10"/>
        <color indexed="8"/>
        <rFont val="Arial"/>
      </rPr>
      <t>Az adott csomagolási rész tömege (T</t>
    </r>
    <r>
      <rPr>
        <vertAlign val="subscript"/>
        <sz val="10"/>
        <color indexed="8"/>
        <rFont val="Arial"/>
      </rPr>
      <t>i</t>
    </r>
    <r>
      <rPr>
        <sz val="10"/>
        <color indexed="8"/>
        <rFont val="Arial"/>
      </rPr>
      <t>), g</t>
    </r>
  </si>
  <si>
    <t>davon nicht erneuerbar/
wiederverwertet (Ni)* in g</t>
  </si>
  <si>
    <t>thereof not renewable/
recycled (Ni)* in g</t>
  </si>
  <si>
    <r>
      <rPr>
        <sz val="10"/>
        <color indexed="8"/>
        <rFont val="Arial"/>
      </rPr>
      <t>Ebből nem megújuló/újrahasznosított anyagból (H</t>
    </r>
    <r>
      <rPr>
        <vertAlign val="subscript"/>
        <sz val="10"/>
        <color indexed="8"/>
        <rFont val="Arial"/>
      </rPr>
      <t>i</t>
    </r>
    <r>
      <rPr>
        <sz val="10"/>
        <color indexed="8"/>
        <rFont val="Arial"/>
      </rPr>
      <t>), g</t>
    </r>
  </si>
  <si>
    <t>Proportionales Gewicht 
der Umverpackung</t>
  </si>
  <si>
    <t>proportional weight of 
the grouping packaging</t>
  </si>
  <si>
    <t>A gyűjtőcsomagolás arányos részének tömege, g</t>
  </si>
  <si>
    <t>Sekundärverpackungsteil (i)
(bitte Teile angeben)</t>
  </si>
  <si>
    <t>part of the secondary 
packaging (i)
(please name the part)</t>
  </si>
  <si>
    <t>A szekunder csomagolás i-edik eleme/része
(kérjük, nevezze meg)</t>
  </si>
  <si>
    <t>Gewicht des Sekundär-verpackungsteils (Wi) in g</t>
  </si>
  <si>
    <t>weight of this secondary  
packaging part (Wi) in g</t>
  </si>
  <si>
    <r>
      <rPr>
        <sz val="10"/>
        <color indexed="8"/>
        <rFont val="Arial"/>
      </rPr>
      <t>Az i-edik szekunder csomagolási elem tömege (T</t>
    </r>
    <r>
      <rPr>
        <vertAlign val="subscript"/>
        <sz val="10"/>
        <color indexed="8"/>
        <rFont val="Arial"/>
      </rPr>
      <t>i</t>
    </r>
    <r>
      <rPr>
        <sz val="10"/>
        <color indexed="8"/>
        <rFont val="Arial"/>
      </rPr>
      <t>), g</t>
    </r>
  </si>
  <si>
    <t>Volumen des Produkts 
(in der Primärverpackung) in ml (V):</t>
  </si>
  <si>
    <t>Volume of the product
(in the primary packaging) in ml (V):</t>
  </si>
  <si>
    <t>Az elsődleges csomagolásban található termékmennyiség (D), ml</t>
  </si>
  <si>
    <t>Volumen des Produkts 
(in der Primärverpackung) in ml (Vnachf.):</t>
  </si>
  <si>
    <t>Volume of the product 
(in the primary packaging) in ml (Vrefill):</t>
  </si>
  <si>
    <r>
      <rPr>
        <sz val="10"/>
        <color indexed="8"/>
        <rFont val="Arial"/>
      </rPr>
      <t>Az elsődleges csomagolásban található termék tömege (D</t>
    </r>
    <r>
      <rPr>
        <vertAlign val="subscript"/>
        <sz val="10"/>
        <color indexed="8"/>
        <rFont val="Arial"/>
      </rPr>
      <t>újratölt</t>
    </r>
    <r>
      <rPr>
        <sz val="10"/>
        <color indexed="8"/>
        <rFont val="Arial"/>
      </rPr>
      <t>), ml</t>
    </r>
  </si>
  <si>
    <t>Palm/Palmkernöl-Anteil (in %)</t>
  </si>
  <si>
    <t>Proportion palm/pamkernel oil (in %)</t>
  </si>
  <si>
    <t>Spezifikation</t>
  </si>
  <si>
    <t>Specification</t>
  </si>
  <si>
    <t>(=Erklärung Hersteller des Produkts)</t>
  </si>
  <si>
    <t>(=Declaration Manufacturer of the product)</t>
  </si>
  <si>
    <t>Produktionsmenge 
(der beantragten Rezeptur) in  t</t>
  </si>
  <si>
    <t>Production volume 
(requested formulation) in  t</t>
  </si>
  <si>
    <t>Menge 
an Palm/Palmkernöl
(in  t) (Book&amp;Claim)</t>
  </si>
  <si>
    <t>Amount 
of palm/palm kernel oil
(in  t) (Book&amp;Claim)</t>
  </si>
  <si>
    <t>oder am Rohstoff
(in  t) (segregiert/Mass-Balance)</t>
  </si>
  <si>
    <t>or of raw material
(in  t) (segregated/Mass-Balance)</t>
  </si>
  <si>
    <t>azonosságmegőrzés, elkülönítés vagy tömegmérleg szerinti) tanúsítvány</t>
  </si>
  <si>
    <t xml:space="preserve">Nachweis </t>
  </si>
  <si>
    <t>Verification</t>
  </si>
  <si>
    <t xml:space="preserve">Book&amp;Claim </t>
  </si>
  <si>
    <t>Book&amp;Claim (forgalomképes tanúsítványok rendszere)</t>
  </si>
  <si>
    <t>Lieferscheine/Rechnungen (segregiert oder MB)</t>
  </si>
  <si>
    <t>Delivery notes/Invoices (segregated or MB)</t>
  </si>
  <si>
    <t>Szállítólevelek/Számlák (külön vagy anyagmérleg)</t>
  </si>
  <si>
    <t>Produktionszeitraum
von</t>
  </si>
  <si>
    <t>production period
from</t>
  </si>
  <si>
    <t>bis</t>
  </si>
  <si>
    <t>to</t>
  </si>
  <si>
    <t>Waschmittel: Berechnung zu Kriterium 3.3</t>
  </si>
  <si>
    <t>Laundry detergent: Calculation for criteria 3.3</t>
  </si>
  <si>
    <t>Mosószerek: A 3.3 kritériumhoz kapcsolódó számítás</t>
  </si>
  <si>
    <t>Waschmittel:  Berechnung zu Kriterium 3.2</t>
  </si>
  <si>
    <t>Laundry detergent: Calculation for criteria 3.2</t>
  </si>
  <si>
    <t>Mosószerek. A 3.2. kritériumhoz kapcsolódó számítás</t>
  </si>
  <si>
    <t>(please select)</t>
  </si>
  <si>
    <t xml:space="preserve">Aktivgehalt </t>
  </si>
  <si>
    <t>active content</t>
  </si>
  <si>
    <t>im Vorprodukt (in %)</t>
  </si>
  <si>
    <t>in the pre-product (in %)</t>
  </si>
  <si>
    <t>„Rinse-off“-Kosmetikprodukte: Berechnung Kriterium 4 (c) und 4 (d)</t>
  </si>
  <si>
    <t>rinse-off cosmetic products: Calculation criteria 4 (c) and 4 (d)</t>
  </si>
  <si>
    <t>Leöblíthető kozmetikai termékek: A 4 (c) és a  4 (d) kritériumokhoz kapcsolódó számítás</t>
  </si>
  <si>
    <t>Primärverpackung und Produkt (g) (=m1)</t>
  </si>
  <si>
    <t>Primary packaging and product (g) (=m1)</t>
  </si>
  <si>
    <t>Elsődleges csomagolás és termék (g) (=m1)</t>
  </si>
  <si>
    <t>Primärverpackung und Restprodukt bei normaler Verwendung (g) (=m2)</t>
  </si>
  <si>
    <t>Primary packaging and product residue in normal conditions of use (g) (=m2)</t>
  </si>
  <si>
    <t>Elsődleges csomagolás és visszamaradó termék szokásos használat mellett, g (=m2)</t>
  </si>
  <si>
    <t>Primärverpackung, leer und gesäubert (g) (=m3)</t>
  </si>
  <si>
    <t>Primary packaging emptied and cleaned (g) (=m3)</t>
  </si>
  <si>
    <t>Elsődleges csomagolás kiürítve és megtisztítva, g (=m3)</t>
  </si>
  <si>
    <t>R = ((m2 – m3)/(m1 – m3)) × 100 ( %)</t>
  </si>
  <si>
    <t>Verpackungsbestandteil
(Ausgenommen: Pumpmechanismen auch von Sprays)</t>
  </si>
  <si>
    <t>Part of the packaging
(excempted: Pump mechanisms (including in sprays)</t>
  </si>
  <si>
    <t>Material Behälter/Flasche</t>
  </si>
  <si>
    <t>Material Container/Bottle</t>
  </si>
  <si>
    <t>Material Etikett/Manschette</t>
  </si>
  <si>
    <t>Material Label</t>
  </si>
  <si>
    <t>Material Verschluss</t>
  </si>
  <si>
    <t>Material Closure</t>
  </si>
  <si>
    <t>Material Barrierebeschichtung</t>
  </si>
  <si>
    <t>Material Barriere Coating</t>
  </si>
  <si>
    <t>Klebstoff</t>
  </si>
  <si>
    <t>Adhesive</t>
  </si>
  <si>
    <t>ragasztóanyag</t>
  </si>
  <si>
    <t>EVA - Ethylenvinylacetat</t>
  </si>
  <si>
    <t>EVA - Ethylene Vinyl Acetate</t>
  </si>
  <si>
    <t>EVA – etilén-vinil-acetát</t>
  </si>
  <si>
    <t>HDPE - High-density polyethylen</t>
  </si>
  <si>
    <t>HDPE - High-density polyethylene</t>
  </si>
  <si>
    <t>HDPE – nagy sűrűségű polietilén</t>
  </si>
  <si>
    <t>PET - Polyethylenterephthalat</t>
  </si>
  <si>
    <t>PET - Polyethylenterephthalate</t>
  </si>
  <si>
    <t>PET – polietilén-tereftalát</t>
  </si>
  <si>
    <t>PETG -Polyethylenterephthalat, glykol-modifiziert</t>
  </si>
  <si>
    <t>PETG Polyethylene terephthalate glycol-modified</t>
  </si>
  <si>
    <t>PETG – glikol-módosított polietilén-tereftalát</t>
  </si>
  <si>
    <t>sonstige Kunststoffmaterialien mit D &gt;1 g/cm3</t>
  </si>
  <si>
    <t>Any other plastic materials for sleeves/labels with D &gt;1 g/cm3</t>
  </si>
  <si>
    <r>
      <rPr>
        <sz val="10"/>
        <color indexed="8"/>
        <rFont val="Arial"/>
      </rPr>
      <t>1 g/cm</t>
    </r>
    <r>
      <rPr>
        <vertAlign val="superscript"/>
        <sz val="10"/>
        <color indexed="8"/>
        <rFont val="Arial"/>
      </rPr>
      <t>3</t>
    </r>
    <r>
      <rPr>
        <sz val="10"/>
        <color indexed="8"/>
        <rFont val="Arial"/>
      </rPr>
      <t>-nél nagyobb sűrűségű egyéb műanyagok</t>
    </r>
  </si>
  <si>
    <t>sonstige Kunststoffmaterialien mit D &lt; 1 g/cm3</t>
  </si>
  <si>
    <t>Any other plastic materials for sleeves/labels with D &lt; 1 g/cm3</t>
  </si>
  <si>
    <r>
      <rPr>
        <sz val="10"/>
        <color indexed="8"/>
        <rFont val="Arial"/>
      </rPr>
      <t>1 g/cm</t>
    </r>
    <r>
      <rPr>
        <vertAlign val="superscript"/>
        <sz val="10"/>
        <color indexed="8"/>
        <rFont val="Arial"/>
      </rPr>
      <t>3</t>
    </r>
    <r>
      <rPr>
        <sz val="10"/>
        <color indexed="8"/>
        <rFont val="Arial"/>
      </rPr>
      <t>-nél kisebb egyéb műanyagok</t>
    </r>
  </si>
  <si>
    <t>PP - Polypropylen</t>
  </si>
  <si>
    <t>PP - Polypropylene</t>
  </si>
  <si>
    <t>PP – polipropilén</t>
  </si>
  <si>
    <t>PS - Polystyrol</t>
  </si>
  <si>
    <t>PS - Polystyrene</t>
  </si>
  <si>
    <t>PS – polisztirol</t>
  </si>
  <si>
    <t>PVC - Polyvinylchlorid</t>
  </si>
  <si>
    <t>PVC - Polyvinylchloride</t>
  </si>
  <si>
    <t>PVC – polivinil-klorid</t>
  </si>
  <si>
    <t>Glas</t>
  </si>
  <si>
    <t>Glass</t>
  </si>
  <si>
    <t>Üveg</t>
  </si>
  <si>
    <t>Metall</t>
  </si>
  <si>
    <t>Metal</t>
  </si>
  <si>
    <t>Fém</t>
  </si>
  <si>
    <t>Silikon, D &gt; 1 g/cm3</t>
  </si>
  <si>
    <t>Silicone, D &gt; 1 g/cm4</t>
  </si>
  <si>
    <t>Szilikon, D &gt; 1 g/cm3</t>
  </si>
  <si>
    <t>Silikon, D &lt; 1 g/cm3</t>
  </si>
  <si>
    <t>Silicone, D &lt; 1 g/cm4</t>
  </si>
  <si>
    <t>Szilikon, D &lt; 1 g/cm3</t>
  </si>
  <si>
    <t>Polyamid</t>
  </si>
  <si>
    <t>Polyamide</t>
  </si>
  <si>
    <t>poliamid</t>
  </si>
  <si>
    <t>EVOH - Ethylenvinylalkohol</t>
  </si>
  <si>
    <t>EVOH - Ethylene vinyl alcohol</t>
  </si>
  <si>
    <t>EVOH - Etilén-vinil-alkohol</t>
  </si>
  <si>
    <t>funktionelle Polyolefine</t>
  </si>
  <si>
    <t>functional polyolefins</t>
  </si>
  <si>
    <t>funkcionális poliolefinek</t>
  </si>
  <si>
    <t>Metall- und Lichtschutzbeschichtung</t>
  </si>
  <si>
    <t>metallised and light blocking barriers</t>
  </si>
  <si>
    <t>fémezett és fényvédő zárórétegek</t>
  </si>
  <si>
    <t>nicht vorhanden</t>
  </si>
  <si>
    <t>nonexistent</t>
  </si>
  <si>
    <t>nemlétező</t>
  </si>
  <si>
    <t>Nicht-Tensid aus Palm/Palmkernöl</t>
  </si>
  <si>
    <t>non-surfactant from palm/palm kernel oil</t>
  </si>
  <si>
    <t>Pálmaolajból/pálmamagolajból származó nem-felületaktív anyag</t>
  </si>
  <si>
    <t>Enthält Palm/Palmkernöl</t>
  </si>
  <si>
    <t>Contains palm/palm kernel oil</t>
  </si>
  <si>
    <t>3) angezeigt werden nur Inhaltsstoffe, die Palm/Palmkernöl enthalten</t>
  </si>
  <si>
    <t>2) Only ingoing substances containing palm/palmkernel oil are visible</t>
  </si>
  <si>
    <t>3) angezeigt werden nur Tenside</t>
  </si>
  <si>
    <t>3) Only surfactants are visible</t>
  </si>
  <si>
    <t>3) Csak a felületaktív anyagok láthatók</t>
  </si>
  <si>
    <t>Anlage 2 zur RAL-UZ202 (Ausgabe Januar 2016) V2</t>
  </si>
  <si>
    <t>annex 2 for RAL-UZ202 (Edition January 2016) V2</t>
  </si>
  <si>
    <t>A RAL-UZ202 (2016. januári kiadás) V2 2. függeléke</t>
  </si>
  <si>
    <t>am Gesamt-Tensid-System</t>
  </si>
  <si>
    <t>(in the total carbon in the surfactant system)</t>
  </si>
  <si>
    <t>a teljes felületaktív rendszerben</t>
  </si>
  <si>
    <t>regenerativer Kohlenstoffanteil (in %)</t>
  </si>
  <si>
    <t>regenerative carbon content of the total carbon (in %)</t>
  </si>
  <si>
    <t>a teljes szén-dioxidból az újrahasznosított szén-dioxid aránya, %</t>
  </si>
  <si>
    <t>Minimaler Wert</t>
  </si>
  <si>
    <t>minimum value</t>
  </si>
  <si>
    <t>legalacsonyabb érték</t>
  </si>
  <si>
    <t>Vollwaschmittel, Buntwaschmittel</t>
  </si>
  <si>
    <t>Heavy-duty laundry detergent, Colour-safe detergent</t>
  </si>
  <si>
    <t>Intenzív tisztító hatású mosószer, színkímélő mosószer</t>
  </si>
  <si>
    <t>Feinwaschmittel</t>
  </si>
  <si>
    <t>Light-duty laundry detergent</t>
  </si>
  <si>
    <t>Kímélő mosószer</t>
  </si>
  <si>
    <t>Fleckenentferner</t>
  </si>
  <si>
    <t>Stain remover</t>
  </si>
  <si>
    <t>Folteltávolító</t>
  </si>
  <si>
    <t>Produktform:</t>
  </si>
  <si>
    <t>Form of product:</t>
  </si>
  <si>
    <t>fest (Pulver)</t>
  </si>
  <si>
    <t>solid (powder)</t>
  </si>
  <si>
    <t>szilárd (por)</t>
  </si>
  <si>
    <t>flüssig (inkl. Gel)</t>
  </si>
  <si>
    <t>liquid (incl. gel)</t>
  </si>
  <si>
    <t>folyékony (beleértve a gélt is)</t>
  </si>
  <si>
    <t>Dichte Konzentrat (falls flüssig/Gel):</t>
  </si>
  <si>
    <t>spec. grav. concentrate (if liquid/gel):</t>
  </si>
  <si>
    <t>Bezugsdosierung (in g/kg oder ml/kg Wäsche):</t>
  </si>
  <si>
    <t>Reference dosage (in g/kg or ml/kg laundry)</t>
  </si>
  <si>
    <t>Referenciaadag (g/1 kg mosnivaló vagy ml/1 kg mosnivaló mértékegységben megadva):</t>
  </si>
  <si>
    <t>(für feste Produkte in g, für flüssige Produkte in ml angeben
Bei Dosierungen für Vor- und Hauptwaschgang ist die Gesamtdosierung anzugeben )</t>
  </si>
  <si>
    <t>(for solid products in g, for liquid products in ml; total dosage (prewash + wash) if applicable)</t>
  </si>
  <si>
    <t>Teljes adag (előmosás + mosásá); szilárd termék esetében grammban, folyékony termékek esetében ml-ben kell megadni</t>
  </si>
  <si>
    <t>Beschreibung der Verpackung:</t>
  </si>
  <si>
    <t>Volumen/Gewicht des Produkts in der 
Primärverpackung (bei Referenzdosierung
in ml in l, bei Referenzdosierung in g in kg):</t>
  </si>
  <si>
    <t>Volume of the product in the primary
packaging (if reference dosage in ml 
in l, if reference dosage in g in kg):</t>
  </si>
  <si>
    <t>Anzahl produzierter/verkaufter 
Einheiten (Primärverpackungen)</t>
  </si>
  <si>
    <t>Amount produced/sold 
units (primary packaging):</t>
  </si>
  <si>
    <t>Termelt / Eladott termékek darabszáma (elsődleges csomagolásúak):</t>
  </si>
  <si>
    <t>Teil (i) der Primärverpackung 
(bitte Teil benennen)</t>
  </si>
  <si>
    <t>Part (i) of the primary packaging 
(please specify part)</t>
  </si>
  <si>
    <t>Gewicht des
Teils (i)
in g (Wi)</t>
  </si>
  <si>
    <t>Weight of 
this part (i)
in g (Wi)</t>
  </si>
  <si>
    <r>
      <rPr>
        <sz val="10"/>
        <color indexed="8"/>
        <rFont val="Arial"/>
      </rPr>
      <t>Az (i) rész súlya, gramm (T</t>
    </r>
    <r>
      <rPr>
        <vertAlign val="subscript"/>
        <sz val="10"/>
        <color indexed="8"/>
        <rFont val="Arial"/>
      </rPr>
      <t>i</t>
    </r>
    <r>
      <rPr>
        <sz val="10"/>
        <color indexed="8"/>
        <rFont val="Arial"/>
      </rPr>
      <t>)</t>
    </r>
  </si>
  <si>
    <t xml:space="preserve">davon Neumaterial
in g (Ui) </t>
  </si>
  <si>
    <t>thereof virgin
material in g (Ui)</t>
  </si>
  <si>
    <r>
      <rPr>
        <sz val="10"/>
        <color indexed="8"/>
        <rFont val="Arial"/>
      </rPr>
      <t>az i elsődleges csomagolás nem fogyasztóktól visszavett csomagolóanyag-hulladék  újrahasznosításából származó részének tömege, gramm (H</t>
    </r>
    <r>
      <rPr>
        <vertAlign val="subscript"/>
        <sz val="10"/>
        <color indexed="8"/>
        <rFont val="Arial"/>
      </rPr>
      <t>i</t>
    </r>
    <r>
      <rPr>
        <sz val="10"/>
        <color indexed="8"/>
        <rFont val="Arial"/>
      </rPr>
      <t>)</t>
    </r>
  </si>
  <si>
    <t>Wieder-
verwertungs-
zahl (ri)</t>
  </si>
  <si>
    <t>Recycling
figure (ri)</t>
  </si>
  <si>
    <r>
      <rPr>
        <sz val="10"/>
        <color indexed="8"/>
        <rFont val="Arial"/>
      </rPr>
      <t>Újratöltési mutató (R</t>
    </r>
    <r>
      <rPr>
        <vertAlign val="subscript"/>
        <sz val="10"/>
        <color indexed="8"/>
        <rFont val="Arial"/>
      </rPr>
      <t>i</t>
    </r>
    <r>
      <rPr>
        <sz val="10"/>
        <color indexed="8"/>
        <rFont val="Arial"/>
      </rPr>
      <t>)</t>
    </r>
  </si>
  <si>
    <t>Erstverpackung</t>
  </si>
  <si>
    <t>Packaging parent pack</t>
  </si>
  <si>
    <t>Packaging refill pack</t>
  </si>
  <si>
    <t>=GNV</t>
  </si>
  <si>
    <t>=WUR</t>
  </si>
  <si>
    <t>Packungsgröße 1</t>
  </si>
  <si>
    <t>packaging size 1</t>
  </si>
  <si>
    <t>Packungsgröße 2</t>
  </si>
  <si>
    <t>packaging size 2</t>
  </si>
  <si>
    <t>Packungsgröße 3</t>
  </si>
  <si>
    <t>packaging size 3</t>
  </si>
  <si>
    <t>Packungsgröße 4</t>
  </si>
  <si>
    <t>packaging size 4</t>
  </si>
  <si>
    <t>Packungsgröße 5</t>
  </si>
  <si>
    <t>packaging size 5</t>
  </si>
  <si>
    <t>Packungsgröße 6</t>
  </si>
  <si>
    <t>packaging size 6</t>
  </si>
  <si>
    <t>Packungsgröße 7</t>
  </si>
  <si>
    <t>packaging size 7</t>
  </si>
  <si>
    <t>Packungsgröße 8</t>
  </si>
  <si>
    <t>packaging size 8</t>
  </si>
  <si>
    <t>Maximaler Wert</t>
  </si>
  <si>
    <t>Pulver</t>
  </si>
  <si>
    <t>Powder</t>
  </si>
  <si>
    <t>Por</t>
  </si>
  <si>
    <t>Andere</t>
  </si>
  <si>
    <t>Höchste empfohlenen Dosierung
(für feste in g/kg, für flüssige in ml/kg Wäsche)</t>
  </si>
  <si>
    <t>Highest recommended dosage 
(in g/kg for solids, in ml/kg laundry for liquids)</t>
  </si>
  <si>
    <t>A legmagasabb ajánlott adag 
(g/1 kg mosnivaló mértékegységben a szilárd, ml/1 kg mosnivaló mértékegységben a folyékony mosószereknél)</t>
  </si>
  <si>
    <t xml:space="preserve"> für weiches Wasser (0 - 6° dH)</t>
  </si>
  <si>
    <t>for soft water  (0 - 6° dH)</t>
  </si>
  <si>
    <t xml:space="preserve"> lágy vízhez (0 - 6  nk°)</t>
  </si>
  <si>
    <t xml:space="preserve"> für mittleres Wasser (7 - 13° dH)</t>
  </si>
  <si>
    <t>for medium water  (7 - 13° dH)</t>
  </si>
  <si>
    <t xml:space="preserve"> közepes keménységű vízhez (7 - 13 nk°)</t>
  </si>
  <si>
    <t xml:space="preserve"> für hartes Wasser &gt;14° dH)</t>
  </si>
  <si>
    <t>for hard water  (&gt;14° dH)</t>
  </si>
  <si>
    <t xml:space="preserve"> kemény vízhez &gt;14 nk°)</t>
  </si>
  <si>
    <t>Verschmut-
zungsgrad:
Leicht</t>
  </si>
  <si>
    <t>Degree of soiling:
Light</t>
  </si>
  <si>
    <t>Szennyezettség mértéke: enyhén szennyezett</t>
  </si>
  <si>
    <t>Verschmut-
zungsgrad:
Mittel</t>
  </si>
  <si>
    <t>Degree of soiling:
Medium</t>
  </si>
  <si>
    <t>Szennyezettség mértéke: közepesen szennyezett</t>
  </si>
  <si>
    <t>Verschmut-
zungsgrad:
Schwer</t>
  </si>
  <si>
    <t>Degree of soiling:
Heavy</t>
  </si>
  <si>
    <t>Szennyezettség mértéke: erősen szennyezett</t>
  </si>
  <si>
    <t>Empfohlene Dosierungen für Füllmenge Wäsche (in kg)</t>
  </si>
  <si>
    <t>Recommended dosage for laundry load</t>
  </si>
  <si>
    <t>Ajánlott adagolás egy normál töltet ruhához (kg)</t>
  </si>
  <si>
    <t>Empfohlene Dosierungen lt. Label für unterscheidliche Wasserhärten</t>
  </si>
  <si>
    <t>Recommended dosage for different water hardness</t>
  </si>
  <si>
    <t>Ajánlott adagolás különböző vízkeménységhez</t>
  </si>
  <si>
    <t>Höchstwert für Dosierung</t>
  </si>
  <si>
    <t>Maximal value for dosage</t>
  </si>
  <si>
    <t>Ajánlott legmagasabb adag</t>
  </si>
  <si>
    <t>Bezugsdosierung (in g/kg Wäsche):</t>
  </si>
  <si>
    <t>Reference dosage (in g/kg laundry)</t>
  </si>
  <si>
    <t>Referenciaadag (in g/1 kg mosnivaló):</t>
  </si>
  <si>
    <t>Kriterium 3.14.2 eingehalten?</t>
  </si>
  <si>
    <t>Criteria 3.14.2 fulfilled?</t>
  </si>
  <si>
    <t>Teljesül-e a 3.14.2 kritérium?</t>
  </si>
  <si>
    <t xml:space="preserve">Waschmittel: Eingaben und Berechnungen zur Dosierung </t>
  </si>
  <si>
    <t>Laundry detergent: Input and Calculation for Dosage</t>
  </si>
  <si>
    <t xml:space="preserve">Mosószer: Felhasznált alapanyagok és adagolási számítás </t>
  </si>
  <si>
    <t>Ausnahme für anNBO</t>
  </si>
  <si>
    <t>exemption for anNBO</t>
  </si>
  <si>
    <t>keine</t>
  </si>
  <si>
    <t>no</t>
  </si>
  <si>
    <t>nincs</t>
  </si>
  <si>
    <t>Elementarer 
Phosphor</t>
  </si>
  <si>
    <t>elemental phosphorus</t>
  </si>
  <si>
    <t>(in % vom Molekular-
gewicht des
Inhaltsstoff)</t>
  </si>
  <si>
    <t>(in % of the substance's 
molecular weight)</t>
  </si>
  <si>
    <t>Mikroorganismen</t>
  </si>
  <si>
    <t>Microorganisms</t>
  </si>
  <si>
    <t>Mikroorganizmus</t>
  </si>
  <si>
    <t>Flüssig</t>
  </si>
  <si>
    <t>Liquid</t>
  </si>
  <si>
    <t>Folyékony</t>
  </si>
  <si>
    <t>Fest</t>
  </si>
  <si>
    <t>Solid</t>
  </si>
  <si>
    <t>Szilárd</t>
  </si>
  <si>
    <t>gelöst</t>
  </si>
  <si>
    <t>solved</t>
  </si>
  <si>
    <t>Oldott</t>
  </si>
  <si>
    <t>Fest (dispergiert)</t>
  </si>
  <si>
    <t>Solid (dispersed)</t>
  </si>
  <si>
    <t>Szilárd (por alakú)</t>
  </si>
  <si>
    <t>(nano)</t>
  </si>
  <si>
    <t>Wenn H-Satz beschränkt: 
Ausnahme weil:</t>
  </si>
  <si>
    <t>If H-phrase restricted:
exemption because</t>
  </si>
  <si>
    <t>Ausnahme für Substanz</t>
  </si>
  <si>
    <t>Derogated substance</t>
  </si>
  <si>
    <t>Mentesített anyag</t>
  </si>
  <si>
    <t>Unterhalb der 
Bestimmungsgrenze</t>
  </si>
  <si>
    <t>Below measurement 
threshold</t>
  </si>
  <si>
    <t>Mérési küszöb alatti</t>
  </si>
  <si>
    <t>BESCHLUSS DER KOMMISSION</t>
  </si>
  <si>
    <t>COMMISSION DECISION</t>
  </si>
  <si>
    <t>(EU) 2017/1217) Reinigungsmittel für  harte Oberflächen</t>
  </si>
  <si>
    <t>(EU) 2017/1217) Hard surface cleaning products</t>
  </si>
  <si>
    <t>(EU) 2017/1214) Handgeschirrspülmittel</t>
  </si>
  <si>
    <t>(EU) 2017/1214) Hand dishwashing detergents</t>
  </si>
  <si>
    <t>(EU) 2017/1218 Waschmittel</t>
  </si>
  <si>
    <t>(EU) 2017/1218) Laundry detergents</t>
  </si>
  <si>
    <t>(EU) 2017/1216 Maschinengeschirrspülmittel</t>
  </si>
  <si>
    <t>(EU) 2017/1216) Dishwasher detergents</t>
  </si>
  <si>
    <t>(2017/xxx/EU) I&amp;I Maschinengeschirrspülmittel</t>
  </si>
  <si>
    <t>(2017/xxx/EU) I&amp;I Dishwasher detergents</t>
  </si>
  <si>
    <t xml:space="preserve">(2017/xxx/EU) I&amp;I Waschmittel </t>
  </si>
  <si>
    <t>(2017/xxx/EU) I&amp;I Laundry detergents</t>
  </si>
  <si>
    <t>Allzweckreiniger, gebrauchsfertig (RTU)</t>
  </si>
  <si>
    <t>All-purpose cleaner, RTU</t>
  </si>
  <si>
    <t>Allzweckreiniger, unverdünnt</t>
  </si>
  <si>
    <t>All-purpose cleaner, undiluted</t>
  </si>
  <si>
    <t>Küchenreiniger, gebrauchsfertig (RTU)</t>
  </si>
  <si>
    <t>Kitchen cleaner, RTU</t>
  </si>
  <si>
    <t xml:space="preserve">Küchenreiniger, unverdünnt </t>
  </si>
  <si>
    <t xml:space="preserve">Kitchen cleaner, undiluted </t>
  </si>
  <si>
    <t>Fensterreiniger, gebrauchsfertig (RTU)</t>
  </si>
  <si>
    <t>Window cleaner, RTU</t>
  </si>
  <si>
    <t>Fensterreiniger, unverdünnt</t>
  </si>
  <si>
    <t>Window cleaner, undiluted</t>
  </si>
  <si>
    <t>Sanitärreiniger, gebrauchsfertig (RTU)</t>
  </si>
  <si>
    <t>Sanitary cleaner, RTU</t>
  </si>
  <si>
    <t xml:space="preserve">Sanitärreiniger, unverdünnt </t>
  </si>
  <si>
    <t xml:space="preserve">Sanitary cleaner, undiluted </t>
  </si>
  <si>
    <t>Handgeschirrspülmittel</t>
  </si>
  <si>
    <t>Hand dishwashing detergent</t>
  </si>
  <si>
    <t>Monofunktionales Geschirrspülmittel</t>
  </si>
  <si>
    <t>Single-function dishwasher detergents</t>
  </si>
  <si>
    <t>Egyfunkciós gépi mosogatószer</t>
  </si>
  <si>
    <t>Multifunktionales Geschirrspülmittel</t>
  </si>
  <si>
    <t>Multi-function dishwasher detergents</t>
  </si>
  <si>
    <t>Többfunkciós gépi mosogatószer</t>
  </si>
  <si>
    <t>Klarspüler</t>
  </si>
  <si>
    <t>Rinse aid</t>
  </si>
  <si>
    <t>Voll- und Buntwaschmittel (Pulver/Tabletten)</t>
  </si>
  <si>
    <t>Heavy-duty detergent, colour-safe detergent (powder/tablets)</t>
  </si>
  <si>
    <t>Intenzív tisztító hatású és színkímélő hatású mosószer (por/tabletta)</t>
  </si>
  <si>
    <t>Voll- und Buntwaschmittel (Flüssigkeit/Kapsel/Gel)</t>
  </si>
  <si>
    <t>Heavy-duty detergent, colour-safe detergent (liquid, capsules, gel)</t>
  </si>
  <si>
    <t>Intenzív tisztító hatású és színkímélő hatású mosószer (folyékony, kapszulás, gél állagú)</t>
  </si>
  <si>
    <t>Feinwaschmittel (Pulver/Tabletten)</t>
  </si>
  <si>
    <t>Light-duty detergent  (powder/tablets)</t>
  </si>
  <si>
    <t>Kímélő mosószer (por/tabletta)</t>
  </si>
  <si>
    <t>Feinwaschmittel (Flüssigkeit/Kapsel/Gel)</t>
  </si>
  <si>
    <t>Light-duty detergent (liquid, capsules, gel)</t>
  </si>
  <si>
    <t>Kímélő mosószer (folyékony, kapszulás, gél állagú)</t>
  </si>
  <si>
    <t>Fleckenentferner (ausschließlich zur Vorbehandlung)</t>
  </si>
  <si>
    <t>Stain remover (pre-treatment only)</t>
  </si>
  <si>
    <t xml:space="preserve">Mehrkomponentensystem Teil 1 </t>
  </si>
  <si>
    <t xml:space="preserve">Multi-component system Part 1 </t>
  </si>
  <si>
    <t>Többkomponensű rendszer 1. rész</t>
  </si>
  <si>
    <t>Mehrkomponentensystem Teil 2</t>
  </si>
  <si>
    <t>Multi-component system Part 2</t>
  </si>
  <si>
    <t>Többkomponensű rendszer 2. rész</t>
  </si>
  <si>
    <t>Mehrkomponentensystem Teil 3</t>
  </si>
  <si>
    <t>Multi-component system Part 3</t>
  </si>
  <si>
    <t>Többkomponensű rendszer 3. rész</t>
  </si>
  <si>
    <t>Mehrkomponentensystem Teil 4</t>
  </si>
  <si>
    <t>Multi-component system Part 4</t>
  </si>
  <si>
    <t>Többkomponensű rendszer 4. rész</t>
  </si>
  <si>
    <t>Mehrkomponentensystem Teil 5</t>
  </si>
  <si>
    <t>Multi-component system Part 5</t>
  </si>
  <si>
    <t>Többkomponensű rendszer 5. rész</t>
  </si>
  <si>
    <t>Mehrkomponentensystem Teil 6</t>
  </si>
  <si>
    <t>Multi-component system Part 6</t>
  </si>
  <si>
    <t>Többkomponensű rendszer 6. rész</t>
  </si>
  <si>
    <t>Mehrkomponentensystem Teil 7</t>
  </si>
  <si>
    <t>Multi-component system Part 7</t>
  </si>
  <si>
    <t>Többkomponensű rendszer 7. rész</t>
  </si>
  <si>
    <t>Mehrkomponentensystem Teil 8</t>
  </si>
  <si>
    <t>Multi-component system Part 8</t>
  </si>
  <si>
    <t>Többkomponensű rendszer 8. rész</t>
  </si>
  <si>
    <t>Bitte bei Mehrkomponententeil Funktion spezifizieren:</t>
  </si>
  <si>
    <t>Please specify function if part of a Multi-component system:</t>
  </si>
  <si>
    <t>Amennyiben egy többkomponensű rendszer része, jelölje meg a funkcióját!</t>
  </si>
  <si>
    <t>Für HSC die Anwendung (z.B. 
Badreiniger, saurer WC Reiniger, 
Fußbodenreiniger) beschreiben:</t>
  </si>
  <si>
    <t>Specify for HSC the application 
(e.g. bathroom cleaner, acid toilet
cleaner, floor cleaner):</t>
  </si>
  <si>
    <t>pH (Konzentrat)</t>
  </si>
  <si>
    <t>pH (concentrate)</t>
  </si>
  <si>
    <t>pH (gebrauchsfertig)</t>
  </si>
  <si>
    <t>pH (RTU)</t>
  </si>
  <si>
    <t>für privaten Gebrauch</t>
  </si>
  <si>
    <t>for private use</t>
  </si>
  <si>
    <t>háztartási felhasználásra</t>
  </si>
  <si>
    <t>für professionellen Gebrauch</t>
  </si>
  <si>
    <t>for professional use</t>
  </si>
  <si>
    <t>üzleti célú (professzionális) felhasználásra</t>
  </si>
  <si>
    <t>für pivaten und professionellen Gebrauch</t>
  </si>
  <si>
    <t>for private and professional use</t>
  </si>
  <si>
    <t>háztartási és üzleti célú (professzionális) felhasználásra</t>
  </si>
  <si>
    <t>Kennzeichnung (H-Sätze)</t>
  </si>
  <si>
    <t>Kennzeichnung H-Sätze</t>
  </si>
  <si>
    <t>Címkézés (H-mondatok)</t>
  </si>
  <si>
    <t>Für Kinder</t>
  </si>
  <si>
    <t>Gyermekek számára</t>
  </si>
  <si>
    <t>Vergabe (Auswahl)</t>
  </si>
  <si>
    <t>Díj (válassza ki!)</t>
  </si>
  <si>
    <t>Produktart (Nach Vergabe)</t>
  </si>
  <si>
    <t>Termékfajta</t>
  </si>
  <si>
    <t>Für HSC/gebrauchsfertiges 
Produkt (RTU) 1000 und 
für Klarspüler 3 eingeben.</t>
  </si>
  <si>
    <t xml:space="preserve">
Fill in 1000 for HSC/RTU product
 and 3 for Rinse-aid.</t>
  </si>
  <si>
    <t>Referenzdosierung
(in g/Einheit lt. Beschluss)</t>
  </si>
  <si>
    <t>Reference Dosage
(in g/unit as in decision)</t>
  </si>
  <si>
    <t>Einheit Referenzdosierung (Auswahl)</t>
  </si>
  <si>
    <t>Unit reference dosage (Select)</t>
  </si>
  <si>
    <t>Anwendung</t>
  </si>
  <si>
    <t>Application</t>
  </si>
  <si>
    <t>Enthält Konservierungsmittel</t>
  </si>
  <si>
    <t>Contains preservatives</t>
  </si>
  <si>
    <t>Enthält Duftstoffe</t>
  </si>
  <si>
    <t>Contains fragrances</t>
  </si>
  <si>
    <t>Enthält Farbstoffe</t>
  </si>
  <si>
    <t>Contains colouring agents</t>
  </si>
  <si>
    <t>Enthält Mikroorganismen</t>
  </si>
  <si>
    <t>Contains micro-organisms</t>
  </si>
  <si>
    <t>Enthält Enzyme</t>
  </si>
  <si>
    <t>Contains enzymes</t>
  </si>
  <si>
    <t>Enthält Palm/Palmkernöl oder deren Derivate</t>
  </si>
  <si>
    <t>Contains palm/palm kernel oil or derivates</t>
  </si>
  <si>
    <t>HSC: Gebrauchsfertiges Produkt (RTU)</t>
  </si>
  <si>
    <t>HSC: RTU product</t>
  </si>
  <si>
    <t>Használatra kész kemény felületekre szánt tisztítószer</t>
  </si>
  <si>
    <t>HSC: g/l Reinigungslösung</t>
  </si>
  <si>
    <t>HSC: g/l cleaning solution</t>
  </si>
  <si>
    <t>HSC: ml/l Reinigungslösung</t>
  </si>
  <si>
    <t>HSC: ml/l cleaning solution</t>
  </si>
  <si>
    <t>ml/1 liter tisztítószeroldat</t>
  </si>
  <si>
    <t>HDD: g/l Spülwasser</t>
  </si>
  <si>
    <t>HDD: g/l washing water</t>
  </si>
  <si>
    <t>g/1 liter mosogatóvíz</t>
  </si>
  <si>
    <t>HDD: ml/l Spülwasser</t>
  </si>
  <si>
    <t>HDD: ml/l washing water</t>
  </si>
  <si>
    <t>ml/1 liter mosogatóvíz</t>
  </si>
  <si>
    <t>LD: g/kg Wäsche</t>
  </si>
  <si>
    <t>LD: g/kg Laundry</t>
  </si>
  <si>
    <t>g/1 kg szennyes ruha</t>
  </si>
  <si>
    <t>LD: ml/kg Wäsche</t>
  </si>
  <si>
    <t>LD: ml/kg Laundry</t>
  </si>
  <si>
    <t>ml/1 kg szennyes ruha</t>
  </si>
  <si>
    <t>DD: g/Spülgang</t>
  </si>
  <si>
    <t>DD: g/wash</t>
  </si>
  <si>
    <t>g/mosogatási ciklus</t>
  </si>
  <si>
    <t>DD: ml/Spülgang</t>
  </si>
  <si>
    <t>DD: ml/wash</t>
  </si>
  <si>
    <t>ml/mosogatási ciklus</t>
  </si>
  <si>
    <t>H314 nur für HDD unzulässig</t>
  </si>
  <si>
    <t>H314 restricted only for HDD</t>
  </si>
  <si>
    <t xml:space="preserve">H314 csak a kézi mosogatószer esetén tiltott </t>
  </si>
  <si>
    <t>Referenzdosierung:</t>
  </si>
  <si>
    <t>reference dosage:</t>
  </si>
  <si>
    <t>Ausnahmen für GNV? (Auswahl)</t>
  </si>
  <si>
    <t>Exception for WUR? (Select)</t>
  </si>
  <si>
    <t>Nur für HSC (RTU): Triggerflasche</t>
  </si>
  <si>
    <t>Only for HSC (RTU): trigger spray</t>
  </si>
  <si>
    <t>Csak kemény felületekre szánt (használatra kész) tisztítószereknél: Szórófejes palack</t>
  </si>
  <si>
    <t>Nur für HSC: unverdünntes Produkt für das Nachfüllen von Triggersprays</t>
  </si>
  <si>
    <t>Only for HSC: Undiluted product for the sole purpose of refilling trigger sprays</t>
  </si>
  <si>
    <t>Csak kemény felületekre szánt tisztítószereknél: a szórófejes palackok újratöltésére szánt hígítatlan termék</t>
  </si>
  <si>
    <t>Nur für LD: Waschmittel als Flüssigkeit/Gel (in Tabletten/Kapseln)</t>
  </si>
  <si>
    <t>Only for LD: Liquid/gel laundry detergents (in tablets or capsules)</t>
  </si>
  <si>
    <t>Csak mosószereknél: Folyékony / gél állagú mosószerek (tablettában vagy kapszulában)</t>
  </si>
  <si>
    <t>Wiederverwertes Material der Primärverpackung:</t>
  </si>
  <si>
    <t>Recycled materials in primary packaging:</t>
  </si>
  <si>
    <t xml:space="preserve">Höchstwert der Referenzdosierung: </t>
  </si>
  <si>
    <t>Limit of reference dosage:</t>
  </si>
  <si>
    <t>Höchstwert der Referenzdosierung eingehalten:</t>
  </si>
  <si>
    <t>Limit of reference dosage fulfilled:</t>
  </si>
  <si>
    <t>Packungsgröße 1 bis 8</t>
  </si>
  <si>
    <t>Packaging size 1 to 8</t>
  </si>
  <si>
    <t>2. Declaration A - from the manufacturer of the hard surface cleaning product</t>
  </si>
  <si>
    <t>2. A kemény felületekre szánt tisztítószer gyártójának nyilatkozata</t>
  </si>
  <si>
    <t>DETERGENTS AND CLEANING PRODUCTS</t>
  </si>
  <si>
    <t>1. General information</t>
  </si>
  <si>
    <t>Product name:</t>
  </si>
  <si>
    <t>As the applicant for the EU Ecolabel for “hard surface cleaning product”, I the undersigned declare that the</t>
  </si>
  <si>
    <t>hard surface cleaning product is manufactured as expressed here and in the other documents submitted for demonstrating the accomplishment with the EU Ecolabel criteria.</t>
  </si>
  <si>
    <t>I declare that the product meets all applicable legal requirements of the country or countries in which the product is intended to be placed on the market.</t>
  </si>
  <si>
    <t>I declare that the most updated DID list, available on the EU Ecolabel website, is used for this application.</t>
  </si>
  <si>
    <t>Scope:</t>
  </si>
  <si>
    <t>All-purpose cleaner, which includes detergent products intended for the routine indoor cleaning of hard surfaces such as walls, floors and other fixed surfaces.</t>
  </si>
  <si>
    <t>Kitchen cleaner, which includes detergent products intended for the routine cleaning and degreasing of kitchen surfaces such as countertops, stovetops, kitchen sinks and kitchen appliance surfaces.</t>
  </si>
  <si>
    <t>Window cleaner, which includes detergent products intended for the routine cleaning of windows, glass and other highly polished surfaces.</t>
  </si>
  <si>
    <t>Sanitary cleaner, which includes detergent products intended for the routine removal, including by scouring, of dirt or deposits in sanitary facilities, such as laundry rooms, toilets, bathrooms and showers.</t>
  </si>
  <si>
    <t>The product applying for an EU Ecolabel licence is a product for:</t>
  </si>
  <si>
    <t>A pályázatban szereplő termék felhasználási célja:</t>
  </si>
  <si>
    <t>Professional use.</t>
  </si>
  <si>
    <t xml:space="preserve">Private use. </t>
  </si>
  <si>
    <t xml:space="preserve">Háztartási felhasználásra szánt termék. </t>
  </si>
  <si>
    <t>It does not contain micro-organisms that have been deliberately added by the manufacturer.</t>
  </si>
  <si>
    <t>The product applying for an EU Ecolabel licence is sold in:</t>
  </si>
  <si>
    <t>Ready-to-use (RTU) form.</t>
  </si>
  <si>
    <t>Undiluted form.</t>
  </si>
  <si>
    <t>Both RTU and undiluted forms are sold as part of a single lot (e.g. one bottle of RTU product and arefill bottle of undiluted product).</t>
  </si>
  <si>
    <t>Undiluted form but sold for the sole purpose to refill trigger sprays e.g. capsules</t>
  </si>
  <si>
    <t>I declare that the product is a mixture of chemical substances.</t>
  </si>
  <si>
    <t>I declare that all product ingoing substances are listed in the following table:</t>
  </si>
  <si>
    <t>Ingoing substance</t>
  </si>
  <si>
    <t>Összetevő</t>
  </si>
  <si>
    <t>Water content in the product:</t>
  </si>
  <si>
    <t>A termék víztartalma:</t>
  </si>
  <si>
    <t>% (w/w)</t>
  </si>
  <si>
    <t>(súly) %</t>
  </si>
  <si>
    <t>Manufacturer</t>
  </si>
  <si>
    <t>Importer</t>
  </si>
  <si>
    <t>Importőrként</t>
  </si>
  <si>
    <t>Service provider</t>
  </si>
  <si>
    <t>Wholesaler</t>
  </si>
  <si>
    <t>Forgalmazóként (kiskereskedő)</t>
  </si>
  <si>
    <t>Retailer</t>
  </si>
  <si>
    <t>Hard surface cleaning product</t>
  </si>
  <si>
    <t>Dishwashing detergent</t>
  </si>
  <si>
    <t>Laundry detergent</t>
  </si>
  <si>
    <t>Dishwashing detergent for industrial and institutional use</t>
  </si>
  <si>
    <t>Laundry detergent for industrial and institutional use</t>
  </si>
  <si>
    <t>Chemical name</t>
  </si>
  <si>
    <t>kémiai megnevezése</t>
  </si>
  <si>
    <t>Function in the product (e.g. surfactant, builder...)</t>
  </si>
  <si>
    <t>Form / physical state in the product</t>
  </si>
  <si>
    <t>CAS No. (or CI No. or other precise description)</t>
  </si>
  <si>
    <t>DID Number (if applicable)</t>
  </si>
  <si>
    <t>Concentration (%, w/w)</t>
  </si>
  <si>
    <t>Check the field. On the appearing error message tick OK! Despite the error message you can continue filling in the form.</t>
  </si>
  <si>
    <t>Jelölje be az alábbi jelölőnégyzetet! A megjelenő hibaüzenettel ne törődjön, csak kattintson az OK gombra, és folytassa a nyomtatvány kitöltését.</t>
  </si>
  <si>
    <t>Please, check!</t>
  </si>
  <si>
    <t>(*) Preservatives, fragrances and colouring agents shall be indicated regardless of concentration. Other ingoing substances shall be indicated if they are present at or above the concentration of 0,010% weight by weight.</t>
  </si>
  <si>
    <t>(**) If the ingoing substance is in the form of nanomaterial, it should be indicated with the word ‘nano’ written in brackets.</t>
  </si>
  <si>
    <t>I attach the SDS of all the ingoing substances included in the product in accordance with Regulation (EC) No 1907/2006 of the European Parliament and of the Council 1/.</t>
  </si>
  <si>
    <t>For substances forming part of a mixture, I attach the SDS of the mixture.</t>
  </si>
  <si>
    <r>
      <rPr>
        <vertAlign val="superscript"/>
        <sz val="10"/>
        <color indexed="8"/>
        <rFont val="Arial"/>
      </rPr>
      <t xml:space="preserve"> 1/ </t>
    </r>
    <r>
      <rPr>
        <sz val="10"/>
        <color indexed="8"/>
        <rFont val="Arial"/>
      </rPr>
      <t xml:space="preserve"> Regulation (EC) No 1907/2006 of the European Parliament and of the Council of 18 December 2006 concerning the Registration, Evaluation, Authorisation and Restriction of Chemicals (REACH) (OJ L 396, 30.12.2006, p. 1).</t>
    </r>
  </si>
  <si>
    <t>Toxicity to aquatic organisms</t>
  </si>
  <si>
    <t>I declare that the critical dilution volume (CDVchronic) of the product is within the indicated limit:</t>
  </si>
  <si>
    <t>cleaning solution</t>
  </si>
  <si>
    <t>tisztítószer oldat</t>
  </si>
  <si>
    <t>I attach the spreadsheet with the calculation of the CDVchronic of the product.</t>
  </si>
  <si>
    <t>Limit CDV</t>
  </si>
  <si>
    <t>Please select one of the two following options.</t>
  </si>
  <si>
    <t>All the ingoing substances included in the formulation of the product appear in the DID list Part A.</t>
  </si>
  <si>
    <t>The following ingoing substances included in the formulation of the product do not appear in the DID list Part A</t>
  </si>
  <si>
    <t>Name of the substance</t>
  </si>
  <si>
    <t>Chronic or acute toxicity factor</t>
  </si>
  <si>
    <t>Inorganic substance with very low water-solubility or insoluble in water</t>
  </si>
  <si>
    <t>I attach a signed declaration with the values of chronic or acute toxicity, as well as the aerobic biodegradability of each ingoing substance not listed in the DID list. I attach the calculation and the related documentation of the data used for the calculation of the chronic or acute toxicity factor and the degradation factor.</t>
  </si>
  <si>
    <t>not included</t>
  </si>
  <si>
    <t>in the DID-List (always in English)</t>
  </si>
  <si>
    <t>Biodegradability</t>
  </si>
  <si>
    <t>Biodegradability of surfactants</t>
  </si>
  <si>
    <t>I declare that all surfactants included in the product are readily degradable (aerobically).</t>
  </si>
  <si>
    <t>Check data on worksheets Alapanyagok and Alapanyagok_DID!</t>
  </si>
  <si>
    <t>Ellenőrizze az Alapanyagok és az Alapanyagok_DID munkalap kitöltését!</t>
  </si>
  <si>
    <t>I declare that the surfactants included in the product which are classified as hazardous to the aquatic environment (H400 or H412), in accordance with Regulation (EC) No 1272/2008 of the European Parliament and of the Council, are in addition anaerobically biodegradable.</t>
  </si>
  <si>
    <t>All the surfactants included in the formulation of the product appear in the DID list Part A.</t>
  </si>
  <si>
    <t>The following surfactants included in the formulation of the product do not appear in the DID list Part A</t>
  </si>
  <si>
    <t>Name of the surfactant</t>
  </si>
  <si>
    <t>Surfactants classified as hazardous to the aquatic environment (H400, H412)</t>
  </si>
  <si>
    <t>Anaerobically degradable</t>
  </si>
  <si>
    <t>For surfactants not included in the DID list Part A, I attach documentation related to their degradability.</t>
  </si>
  <si>
    <t>Biodegradability of organic compounds</t>
  </si>
  <si>
    <t>I declare that the content of organic substances in the product that are not readily biodegradable or anaerobically non-biodegradable is below the indicated limits</t>
  </si>
  <si>
    <t>I attach the spreadsheet with the calculation of the aNBO and anNBO of the product.</t>
  </si>
  <si>
    <t>All the organic substances included in the formulation of the product appear in the DID list Part A.</t>
  </si>
  <si>
    <t>The following organic substances included in the formulation of the product do not appear in the DID list Part A.</t>
  </si>
  <si>
    <t>Adsorption</t>
  </si>
  <si>
    <t>Desorption</t>
  </si>
  <si>
    <t>BCF or log Kow</t>
  </si>
  <si>
    <t>Name of the organic substance</t>
  </si>
  <si>
    <t>I attach supporting evidence.</t>
  </si>
  <si>
    <t>Sustainable sourcing of palm oil, palm kernel oil and their derivatives</t>
  </si>
  <si>
    <t>I declare that the product does not contain ingoing substances derived neither from palm oil or palm kernel oil, nor from chemical derivatives of palm oil and for palm kernel oil.</t>
  </si>
  <si>
    <t>I declare that the product contains ingoing substances derived from palm oil or palm kernel oil. And subsequently:</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</si>
  <si>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</si>
  <si>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</si>
  <si>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I declare that the product contains ingoing substances derived from chemical derivatives of palm oil or palm kernel oil. I declare that I participate in a book &amp; claim system, and therefore buy credits from certified growers, crushers and independent smallholders. I attach:</t>
  </si>
  <si>
    <t>I attach a declaration from the supplier(s) with the relevant evidence.</t>
  </si>
  <si>
    <t>Name of the ingoing substance</t>
  </si>
  <si>
    <t>RSPO - credits</t>
  </si>
  <si>
    <t>Excluded and restricted substances</t>
  </si>
  <si>
    <t>Specified excluded and restricted substances</t>
  </si>
  <si>
    <t>(i) Excluded substances</t>
  </si>
  <si>
    <t>I declare that the product does not contain any of the following substances regardless of concentration:</t>
  </si>
  <si>
    <t>I attach declaration(s) from supplier(s), confirming that the listed substances have not been included in each raw material formulation regardless of concentration.</t>
  </si>
  <si>
    <t xml:space="preserve">Alkyl phenol ethoxylates (APEOs) and other alkyl phenol derivatives, </t>
  </si>
  <si>
    <t xml:space="preserve">Atranol, </t>
  </si>
  <si>
    <t xml:space="preserve">Chloroatranol, </t>
  </si>
  <si>
    <t xml:space="preserve">Diethylenetriaminepentaacetic acid (DTPA), </t>
  </si>
  <si>
    <t xml:space="preserve">Ethylenediaminetetraacetic acid (EDTA) and its salts, </t>
  </si>
  <si>
    <t xml:space="preserve">Formaldehyde and its releasers (e.g. 2-bromo-2-nitropropane-1,3-diol, 5-bromo-5-nitro-1,3-dioxane, sodium hydroxyl methyl glycinate, diazolidinylurea) with the exception of impurities of formaldehyde in surfactants based on polyalkoxy chemistry up to a concentration of 0,010 % weight by weight in the ingoing substance, </t>
  </si>
  <si>
    <t xml:space="preserve">Glutaraldehyde, </t>
  </si>
  <si>
    <t xml:space="preserve">Hydroxyisohexyl 3-cyclohexene carboxaldehyde (HICC), </t>
  </si>
  <si>
    <t xml:space="preserve">Microplastics, </t>
  </si>
  <si>
    <t xml:space="preserve">Nanosilver, </t>
  </si>
  <si>
    <t xml:space="preserve">Nitromusks and polycyclic musks, </t>
  </si>
  <si>
    <t xml:space="preserve">Phosphates, </t>
  </si>
  <si>
    <t xml:space="preserve">Perfluorinated alkylates, </t>
  </si>
  <si>
    <t xml:space="preserve">Quaternary ammonium salts not readily biodegradable, </t>
  </si>
  <si>
    <t xml:space="preserve">Reactive chlorine compounds, </t>
  </si>
  <si>
    <t xml:space="preserve">Rhodamine B, </t>
  </si>
  <si>
    <t xml:space="preserve">Triclosan, </t>
  </si>
  <si>
    <t xml:space="preserve">3-iodo-2-propynyl butylcarbamate, </t>
  </si>
  <si>
    <t xml:space="preserve">Aromatic hydrocarbons, </t>
  </si>
  <si>
    <t>Halogenated hydrocarbons.</t>
  </si>
  <si>
    <t>Restricted substance</t>
  </si>
  <si>
    <t xml:space="preserve">2-methyl-2H-isothiazol-3-one </t>
  </si>
  <si>
    <t xml:space="preserve">1,2-Benzisothiazol-3(2H)-one </t>
  </si>
  <si>
    <t xml:space="preserve">5-chloro-2-methyl-4-isothiazolin-3-one/2-methyl-4-isothiazolin-3-one </t>
  </si>
  <si>
    <t>% weight by weight</t>
  </si>
  <si>
    <t>Concentration in the product</t>
  </si>
  <si>
    <t>Koncentráció a termékben</t>
  </si>
  <si>
    <t>I declare that the product does not contain any of the following substances above the indicated limits [insert the concentration in the product, if applicable]:</t>
  </si>
  <si>
    <t>I attach declaration(s) from supplier(s).</t>
  </si>
  <si>
    <t>I attach the calculation of VOC content.</t>
  </si>
  <si>
    <t>I declare that the total phosphorus (P) content calculated as elemental P is limited to the following values for the reference dosage [insert the concentration in the product, if applicable]:</t>
  </si>
  <si>
    <t>Kijelentem, hogy az elemi foszforként kiszámított teljes foszfortartalom (P) a referenciaadagban nem haladja meg a következő értékeket:</t>
  </si>
  <si>
    <t>P content</t>
  </si>
  <si>
    <t>of RTU product</t>
  </si>
  <si>
    <t>használatra kész termék</t>
  </si>
  <si>
    <t>of cleaning solution</t>
  </si>
  <si>
    <t>I attach the calculation of P content.</t>
  </si>
  <si>
    <t>I declare that fragrance substances subject to the declaration requirement provided in Regulation (EC) No 648/20042 are not present in the product in quantities ≥ 0,010 % weight by weight per substance.</t>
  </si>
  <si>
    <t>Kijelentem, hogy a 648/2004/EK rendeletben előírt címkézési követelmény hatálya alá tartozó illatanyagok nincsenek jelen az anyag 0,010 %(m/m)-ának megfelelő, vagy azt meghaladó mennyiségben.</t>
  </si>
  <si>
    <t>I declare that VOCs are not present above the limits specified below [insert the concentration in the product, if applicable]:</t>
  </si>
  <si>
    <t>Kijelentem, hogy az alábbiakban meghatározott határértéknél nagyobb mértékben nincsenek a termékben illékony szerves vegyületek (VOC-ok).</t>
  </si>
  <si>
    <t>VOC content</t>
  </si>
  <si>
    <t>Hazardous substances</t>
  </si>
  <si>
    <t>(i) Final product</t>
  </si>
  <si>
    <t>I declare that the final product is not classified and labelled as being acutely toxic, a specific target organ toxicant, a respiratory or skin sensitizer, carcinogenic, mutagenic or toxic for reproduction, or hazardous to the aquatic environment, as defined in Annex I to Regulation (EC) No 1272/2008 and in accordance with the following list:</t>
  </si>
  <si>
    <t xml:space="preserve">Acute toxicity </t>
  </si>
  <si>
    <t xml:space="preserve">Categories 1 and 2 </t>
  </si>
  <si>
    <t xml:space="preserve">H300 Fatal if swallowed </t>
  </si>
  <si>
    <t xml:space="preserve">H310 Fatal in contact with skin </t>
  </si>
  <si>
    <t xml:space="preserve">H330 Fatal if inhaled </t>
  </si>
  <si>
    <t xml:space="preserve">H304 May be fatal if swallowed and enters airways </t>
  </si>
  <si>
    <t xml:space="preserve">Specific target organ toxicity </t>
  </si>
  <si>
    <t xml:space="preserve">Category 1 </t>
  </si>
  <si>
    <t xml:space="preserve">H370 Causes damage to organs </t>
  </si>
  <si>
    <t xml:space="preserve">H372 Causes damage to organs through prolonged or repeated exposure </t>
  </si>
  <si>
    <t xml:space="preserve">Respiratory and skin sensitization </t>
  </si>
  <si>
    <t xml:space="preserve">Category 1A/1 </t>
  </si>
  <si>
    <t xml:space="preserve">H317 May cause allergic skin reaction </t>
  </si>
  <si>
    <t xml:space="preserve">H334 May cause allergy or asthma symptoms or breathing difficulties if inhaled </t>
  </si>
  <si>
    <t xml:space="preserve">Carcinogenic, mutagenic or toxic for reproduction </t>
  </si>
  <si>
    <t xml:space="preserve">Categories 1A and 1B </t>
  </si>
  <si>
    <t xml:space="preserve">H340 May cause genetic defects </t>
  </si>
  <si>
    <t xml:space="preserve">H350 May cause cancer </t>
  </si>
  <si>
    <t xml:space="preserve">H350i May cause cancer by inhalation </t>
  </si>
  <si>
    <t xml:space="preserve">H360F May damage fertility </t>
  </si>
  <si>
    <t xml:space="preserve">H360D May damage the unborn child </t>
  </si>
  <si>
    <t xml:space="preserve">H360FD May damage fertility. May damage the unborn child </t>
  </si>
  <si>
    <t xml:space="preserve">H360Fd May damage fertility. Suspected of damaging the unborn child </t>
  </si>
  <si>
    <t xml:space="preserve">H360Df May damage the unborn child. Suspected of damaging fertility </t>
  </si>
  <si>
    <t xml:space="preserve">Hazardous to the aquatic environment </t>
  </si>
  <si>
    <t xml:space="preserve">H400 Very toxic to aquatic life </t>
  </si>
  <si>
    <t xml:space="preserve">H410 Very toxic to aquatic life with long-lasting effects </t>
  </si>
  <si>
    <t xml:space="preserve">H411 Toxic to aquatic life with long-lasting effects </t>
  </si>
  <si>
    <t xml:space="preserve">Hazardous to the ozone layer </t>
  </si>
  <si>
    <t xml:space="preserve">H420 Hazardous to the ozone layer </t>
  </si>
  <si>
    <t xml:space="preserve">Category 3 </t>
  </si>
  <si>
    <t xml:space="preserve">H301 Toxic if swallowed </t>
  </si>
  <si>
    <t xml:space="preserve">H311 Toxic in contact with skin </t>
  </si>
  <si>
    <t xml:space="preserve">H331 Toxic if inhaled </t>
  </si>
  <si>
    <t xml:space="preserve">EUH070 Toxic by eye contact </t>
  </si>
  <si>
    <t xml:space="preserve">Category 2 </t>
  </si>
  <si>
    <t>2. kategória</t>
  </si>
  <si>
    <t xml:space="preserve">H371 May cause damage to organs </t>
  </si>
  <si>
    <t xml:space="preserve">H373 May cause damage to organs through prolonged or repeated exposure </t>
  </si>
  <si>
    <t xml:space="preserve">Category 1B </t>
  </si>
  <si>
    <t>1B. kategória</t>
  </si>
  <si>
    <t>Hazard Statement (1)</t>
  </si>
  <si>
    <t xml:space="preserve">H341 Suspected of causing genetic defects </t>
  </si>
  <si>
    <t xml:space="preserve">H351 Suspected of causing cancer </t>
  </si>
  <si>
    <t xml:space="preserve">H361f Suspected of damaging fertility </t>
  </si>
  <si>
    <t xml:space="preserve">H361d Suspected of damaging the unborn child </t>
  </si>
  <si>
    <t xml:space="preserve">H361fd Suspected of damaging fertility. Suspected of damaging the unborn child </t>
  </si>
  <si>
    <t xml:space="preserve">H362 May cause harm to breast fed children </t>
  </si>
  <si>
    <t xml:space="preserve">Categories 3 and 4 </t>
  </si>
  <si>
    <t>3. és 4. kategória</t>
  </si>
  <si>
    <t xml:space="preserve">H412 Harmful to aquatic life with long-lasting effects </t>
  </si>
  <si>
    <t xml:space="preserve">H413 May cause long-lasting effects to aquatic life </t>
  </si>
  <si>
    <t>Restricted hazard classifications and their categorization</t>
  </si>
  <si>
    <t>(ii) Ingoing substances</t>
  </si>
  <si>
    <t>I declare that the product does not contain ingoing substances at a concentration of or above 0,010 % weight by weight in the final product that meet the criteria for classification as toxic, hazardous to the aquatic environment, respiratory or skin sensitizers, carcinogenic, mutagenic or toxic for reproduction in accordance with Annex I to regulation (EC) No 1272/2008 and in accordance with the list in Table above on Restricted hazard classifications and their categorization.</t>
  </si>
  <si>
    <t>I attach declarations from suppliers or SDS confirming that any of the ingoing substances which meets the criteria for classification with one or more of the hazard statements listed in such table in the form(s) and physical state(s) in which they are present in the product, unless specifically derogated, is not present in the final above the concentration of 0,010% weight by weight.</t>
  </si>
  <si>
    <t>The product contains ingoing substances listed in Annexes IV and V of Regulation (EC) No 1907/2006 that are excluded from sub-criterion 2(b)(ii).</t>
  </si>
  <si>
    <t>I declare that the product contains the following derogated substances [insert the name and the amount in the final product of these substances]:</t>
  </si>
  <si>
    <t>NTA as an impurity in MGDA and GLDA (**)</t>
  </si>
  <si>
    <t>(*) Including stabilisers and other auxiliary substances in the preparations</t>
  </si>
  <si>
    <t>(**) In concentrations lower than 0,2 % in the raw material as long as the total concentration in the final product is lower than 0,10 %.</t>
  </si>
  <si>
    <t>I attach declarations from suppliers or SDS confirming that these ingoing substances fulfil the derogation conditions.</t>
  </si>
  <si>
    <t>Substances of very high concern (SVHCs)</t>
  </si>
  <si>
    <t>I declare that the final product does not contain any ingoing substances that have been identified in accordance with the procedure described in Article 59(1) of Regulation (EU) No 1907/2006.</t>
  </si>
  <si>
    <t>I attach declarations from suppliers or SDS confirming the non-presence of all the candidate list substances.</t>
  </si>
  <si>
    <t>I declare that the latest list of SVHCs has been used on the date of this declaration.</t>
  </si>
  <si>
    <t>I declare that all the preservatives included in the product have the unique purpose of preserving the product; therefore, they are present in the dosage appropriate for this purpose.</t>
  </si>
  <si>
    <t>I declare that the product does not contain fragrance substances.</t>
  </si>
  <si>
    <t>Kijelentem, hogy a termék nem tartalmaz illatanyagot.</t>
  </si>
  <si>
    <t>I declare that all the fragrances included in the product are manufactured and handled following the code of practice of the International Fragrance Association (IFRA).</t>
  </si>
  <si>
    <t>Kijelentem, hogy a termékhez illatanyagként hozzáadott valamennyi alapanyag gyártása és kezelése a Nemzetközi Illatanyagipari Szövetség (IFRA) eljárási kódexének (1) megfelelően történt.</t>
  </si>
  <si>
    <t>I declare that all the preservatives included in the product are not bio-accumulating. The following value has been measured/provided in order to prove that.</t>
  </si>
  <si>
    <t xml:space="preserve">I declare that the product does not contain </t>
  </si>
  <si>
    <t xml:space="preserve">Kijelentem, hogy a termék nem tartalmaz </t>
  </si>
  <si>
    <t>Please, check and compare Worksheet 'Összetétel' Column D and Worksheet  'Alapanyagok' Column H!</t>
  </si>
  <si>
    <t>Ellenőrizze, és hasonlítsa össze az 'Összetétel' munkalap D és az 'Alapanyagok munkalap H oszlopának a kitöltését!</t>
  </si>
  <si>
    <t>I declare that the packaging or any other communication of the product does not claim or suggest that it has an antimicrobial or disinfecting effect.</t>
  </si>
  <si>
    <t>I attach</t>
  </si>
  <si>
    <t>Declarations from suppliers or SDS of any preservative added, showing that the dosage included is for preservation purposes only.</t>
  </si>
  <si>
    <t>Information on BCF or log Kow values of the product.</t>
  </si>
  <si>
    <t>Artwork of the packaging.</t>
  </si>
  <si>
    <t>The product contains colouring agents not approved for use in food.</t>
  </si>
  <si>
    <t>The product contains colouring agents approved for use in food.</t>
  </si>
  <si>
    <t>I declare that all the colouring agents included in the product are not bio-accumulating. The following value has been measured in order to prove that (choose the most appropriate according to the criterion text):</t>
  </si>
  <si>
    <t>SDS of any colouring agent added.</t>
  </si>
  <si>
    <t>Declarations from suppliers.</t>
  </si>
  <si>
    <t>I attach supporting evidence demonstrating that the colouring agent is approved for food use.</t>
  </si>
  <si>
    <t>Enzymes</t>
  </si>
  <si>
    <t>The product contains enzymes.</t>
  </si>
  <si>
    <t>I declare that only enzyme encapsulated (in solid form) and/or enzyme liquids/slurries have been used.</t>
  </si>
  <si>
    <t>The product does not contain enzymes.</t>
  </si>
  <si>
    <t>I declare that the product does not contain micro-organisms intentionally added.</t>
  </si>
  <si>
    <t>I declare that there are micro-organisms that have been intentionally added to the product, and their concentration is equal to or higher than 0,010% weight by weight.</t>
  </si>
  <si>
    <t>I declare that the product accomplishes all the following subcriteria from (i) to (x):</t>
  </si>
  <si>
    <t>(i) Identification: For identification choose at least one option: ATCC3, IDA4 or attach documentation on DNA identification in accordance with a “Strain identification protocol” (using 16S ribosomal DNA sequencing or and equivalent method)]:</t>
  </si>
  <si>
    <t>I attach documentation on DNA identification</t>
  </si>
  <si>
    <t>Name (to the strain)</t>
  </si>
  <si>
    <t>(ii) Safety:</t>
  </si>
  <si>
    <t>I declare that all micro-organisms belong to:</t>
  </si>
  <si>
    <t>- Risk Group I as defined by Directive 2000/54/EC – biological agents at work</t>
  </si>
  <si>
    <t>- The Qualified Presumption of Safety (QPS) list issued by the European Food SafetyAuthority (EFSA).</t>
  </si>
  <si>
    <t>I attach documentation demonstrating that all micro-organisms belong to Risk Group I and the QPS list.</t>
  </si>
  <si>
    <t>(iii) Absence of contaminants:</t>
  </si>
  <si>
    <t>I declare that pathogenic micro-organisms, as defined below, are not present in any of the strains included in the finished product when screened using the indicated test methods or equivalent:</t>
  </si>
  <si>
    <t>- E. Coli, test method ISO 16649-3:2005</t>
  </si>
  <si>
    <t>- Streptococcus (Enterococcus), test method ISO 21528-1:2004</t>
  </si>
  <si>
    <t>- Staphylococcus aureus, test method ISO 6888-1</t>
  </si>
  <si>
    <t>- Bacillus cereus, test method ISO 7932:2004 or ISO 21871</t>
  </si>
  <si>
    <t>- Salmonella, test method ISO 6579:2002 or ISO 19250</t>
  </si>
  <si>
    <t>I attach test documentation demonstrating that the pathogenic micro-organisms are not present in the product.</t>
  </si>
  <si>
    <t>(iv) Genetically modified micro-organisms (GMMs):</t>
  </si>
  <si>
    <t>I declare that all micro-organisms are not GMMs.</t>
  </si>
  <si>
    <t>I attach documentation demonstrating that all micro-organisms are not GMMs.</t>
  </si>
  <si>
    <t>(v) Antibiotic susceptibility:</t>
  </si>
  <si>
    <t>I declare that all micro-organisms, with the exception of intrinsic resistance, are susceptible to each of the five major antibiotic classes (aminoglycoside, macrolide, beta-lactam, tetracycline and fluoroquinolones) in accordance with the EUCAST disk diffusion method or equivalent.</t>
  </si>
  <si>
    <t>I attach test documentation demonstrating that all micro-organisms, with the exception of intrinsic resistance, are susceptible to each of the five major antibiotic classes indicated in the sub-criterion.</t>
  </si>
  <si>
    <t>(vi) Microbial count:</t>
  </si>
  <si>
    <t xml:space="preserve">I declare that products in their in-use form have a standard plate count of: </t>
  </si>
  <si>
    <t>(limit: equal to or greater than 1x105 CFU per ml in accordance with ISO 4833-1:2014). [Note that for undiluted products, the dilution ratio recommended for ‘normal’ cleaning shall be used].</t>
  </si>
  <si>
    <t>I attach test documentation of CFU per ml of in-use solution.</t>
  </si>
  <si>
    <t>(vii) Shelf life:</t>
  </si>
  <si>
    <t>I declare that the minimum shelf life of the product is not lower than 24 months and that the microbial count does not decrease more than 10% every 12 months in accordance with ISO 4833-1:2014.</t>
  </si>
  <si>
    <t>I attach test documentation of CFU per ml of in-use solution every 12 months for a product stored until the end of its shelf life.</t>
  </si>
  <si>
    <t>(viii) Fitness for use:</t>
  </si>
  <si>
    <t>I declare that the product fulfil all the requirements set out in Criterion Fitness for Use and that all claims made by the manufacturer on the actions of the micro-organisms contained in the product have an antimicrobial or disinfecting effect.</t>
  </si>
  <si>
    <t>Test results from a third-party laboratory demonstrating the claimed actions of the micro-organisms</t>
  </si>
  <si>
    <t>Artwork of the packaging or a copy of the product’s label highlighting any claims made on the actions of the micro-organisms.</t>
  </si>
  <si>
    <t>(ix) Claims:</t>
  </si>
  <si>
    <t>I attach artwork of the packaging or a copy of the product’s label.</t>
  </si>
  <si>
    <t>(x) User information:</t>
  </si>
  <si>
    <t>I declare that the product label includes the following information:</t>
  </si>
  <si>
    <t>- That the product contains micro-organisms</t>
  </si>
  <si>
    <t>- That the product shall not be used with a spray trigger mechanism</t>
  </si>
  <si>
    <t>- That the product should not be used on surfaces in contact with food</t>
  </si>
  <si>
    <t>- An indication of the shelf life of the product</t>
  </si>
  <si>
    <t>Packaging</t>
  </si>
  <si>
    <t>Products sold in spray bottles</t>
  </si>
  <si>
    <t>I declare that in the current packaging form the product is sold in spray bottles.</t>
  </si>
  <si>
    <t>I declare that the spray bottles used  for this form of packaging do not contain propellants.</t>
  </si>
  <si>
    <t>I declare that spray bottles are refillable and reusable.</t>
  </si>
  <si>
    <t>I attach documentation describing or demonstrating how the spray bottles that are part of the packaging can be refilled.</t>
  </si>
  <si>
    <t>I declare that the current form of packaging does not include spray bottles.</t>
  </si>
  <si>
    <t>Packaging take-back systems</t>
  </si>
  <si>
    <t>I declare that this form of packaging is part of a take-back system for the product.</t>
  </si>
  <si>
    <t>I attach documentation describing or demonstrating that a take-back system has been put in place for the packaging.</t>
  </si>
  <si>
    <t>The current packaging form is exempted from the requirements set out in points (c) and (d) of this Criterion 5.</t>
  </si>
  <si>
    <t>I declare that the current packaging form is not part of a take-back system for a product, therefore it is not exempted from the requirements set out in points (c) and (d) of this Criterion 5. (The following sections (c) and (d) must be completed.)</t>
  </si>
  <si>
    <t>Weight/utility ratio (WUR)</t>
  </si>
  <si>
    <t>I declare that in case of the current packaging form the primary packaging of the product is made of more than 80% recycled materials.</t>
  </si>
  <si>
    <r>
      <rPr>
        <sz val="10"/>
        <color indexed="8"/>
        <rFont val="Arial"/>
      </rPr>
      <t xml:space="preserve">Kijelentem, hogy az adott kiszerelésben a termék elsődleges csomagolása </t>
    </r>
    <r>
      <rPr>
        <b val="1"/>
        <sz val="10"/>
        <color indexed="8"/>
        <rFont val="Arial"/>
      </rPr>
      <t>TÖBB</t>
    </r>
    <r>
      <rPr>
        <sz val="10"/>
        <color indexed="8"/>
        <rFont val="Arial"/>
      </rPr>
      <t xml:space="preserve"> mint 80 %-ban újrahasznosított anyagokból készül.</t>
    </r>
  </si>
  <si>
    <t>I attach supporting evidence:</t>
  </si>
  <si>
    <t>Other [indicate evidence attached]</t>
  </si>
  <si>
    <t>I declare that in the current packaging form the primary packaging of the product is made of less than 80% recycled materials.</t>
  </si>
  <si>
    <r>
      <rPr>
        <sz val="10"/>
        <color indexed="8"/>
        <rFont val="Arial"/>
      </rPr>
      <t xml:space="preserve">Kijelentem, hogy az adott kiszerelés esetében a  termék elsődleges csomagolásához felhasznált újrahasznosított anyagok aránya </t>
    </r>
    <r>
      <rPr>
        <b val="1"/>
        <sz val="10"/>
        <color indexed="8"/>
        <rFont val="Arial"/>
      </rPr>
      <t>KEVESEBB</t>
    </r>
    <r>
      <rPr>
        <sz val="10"/>
        <color indexed="8"/>
        <rFont val="Arial"/>
      </rPr>
      <t xml:space="preserve"> mint 80%.</t>
    </r>
  </si>
  <si>
    <t>I declare that the WUR of the current packaging form does not exceed the indicated limits.</t>
  </si>
  <si>
    <t>Packaging size id.</t>
  </si>
  <si>
    <t>Kiszerelés sorszáma</t>
  </si>
  <si>
    <t>WUR</t>
  </si>
  <si>
    <t>Number of different packaging forms included in the application (please, select):</t>
  </si>
  <si>
    <t>Declarations related to Criterion 5 munt be filled in for each packaging form separately.</t>
  </si>
  <si>
    <t>Az 5. kritériummal kapcsolatos nyilatkozatokat minden kiszerelési változatra külön-külön ki kell tölteni!</t>
  </si>
  <si>
    <t>I attach the spreadsheet with the calculation of WUR.</t>
  </si>
  <si>
    <t>Design for recycling</t>
  </si>
  <si>
    <t>I declare that the material composition of the product’s packaging is the following:</t>
  </si>
  <si>
    <t>I attach photos or technical drawings of the primary packaging.</t>
  </si>
  <si>
    <t>Adhesives</t>
  </si>
  <si>
    <t>Fitness for use</t>
  </si>
  <si>
    <t>I declare that the product has been tested under the conditions specified in the “'Framework for testing the performance of hard surface cleaners'” and the product has achieved at least the minimum cleaning performance.required.</t>
  </si>
  <si>
    <t>Kijelentem, hogy a termék a „Framework for testing the performance of hard surface cleaners” (Kemény felületekre való tisztítószerek hatásossági vizsgálata - elérhető az EU ökocímke honlapján) című tanulmány szerint végzett vizsgálat alapján legalább az előírt minimális tisztító hatással rendelkezik.</t>
  </si>
  <si>
    <t>I attach documentation demonstrating compliance with the laboratory requirements included in the relevant harmonised standards for testing and calibration laboratories,</t>
  </si>
  <si>
    <t>I attach supporting information or spreadsheet with the results of the testing.</t>
  </si>
  <si>
    <t>User information</t>
  </si>
  <si>
    <t>I declare that the product label/packaging includes instructions for proper use so as to maximize product performance and minimize waste, and reduce water pollution and use of resources. These instructions are legible or include graphical representation or icons and include dosing instructions, packaging disposal information and environmental information.</t>
  </si>
  <si>
    <t>I attach a sample of the product label.</t>
  </si>
  <si>
    <t>Csatolom a termékcímke mintát.</t>
  </si>
  <si>
    <t>Dosing instructions</t>
  </si>
  <si>
    <t>Packaging disposal information</t>
  </si>
  <si>
    <t>Environmental information</t>
  </si>
  <si>
    <t>I declare that suitable steps have been taken to help consumers respect the recommended dosage (i.e. by making available the dosing instructions and a convenient dosing system).</t>
  </si>
  <si>
    <t>HSC, HDD, LD</t>
  </si>
  <si>
    <t>I declare that dosage instructions include information on the recommended dosage for at least two levels of soiling.</t>
  </si>
  <si>
    <t>HSC, HDD</t>
  </si>
  <si>
    <t>I declare that dosage instructions include the impact of the water hardness on the dosing.</t>
  </si>
  <si>
    <t>I declare that dosage instructions include indications of the most prevalent water hardness in the area where the product is intended to be marketed or where this information can be found.</t>
  </si>
  <si>
    <t>I declare that the product is a RTU product. The following text appears on the packaging: "This product is not intended for a large-scale cleaning".</t>
  </si>
  <si>
    <t>HSC</t>
  </si>
  <si>
    <t>I declare that the primary packaging includes information on the reuse, recycling and correct disposal of packaging.</t>
  </si>
  <si>
    <t>I declare that the primary packaging includes a text indicating the importance of using the correct dosage and the lowest recommended temperature.</t>
  </si>
  <si>
    <t>Information appearing on the EU Ecolabel</t>
  </si>
  <si>
    <t>I declare that the logo is used according to the logo guidelines</t>
  </si>
  <si>
    <t>I declare that the EU Ecolabel registration/licence number appears on the product and it is used according to the logo guidelines</t>
  </si>
  <si>
    <t>I declare that the label contains a text box with the following text:</t>
  </si>
  <si>
    <t>“Limited impact on the aquatic environment”</t>
  </si>
  <si>
    <t>Alacsonyabb vízi környezet károsító hatás</t>
  </si>
  <si>
    <t>“Restricted amount of hazardous substances”</t>
  </si>
  <si>
    <t>“Tested for cleaning performance”</t>
  </si>
  <si>
    <t>I attach a sample of the product label or artwork of the packaging where the EU Ecolabel is placed.</t>
  </si>
  <si>
    <t>In addition I, the undersigned, hereby declare that all the documents provided to demonstrate the accomplishment with the criteria are true and correspond to reality.</t>
  </si>
  <si>
    <t>Company name/stamp:</t>
  </si>
  <si>
    <t>Responsible person, phone number and e-mail:</t>
  </si>
  <si>
    <t>Signature of responsible person:</t>
  </si>
  <si>
    <t>2. Declaration A - from the manufacturer of the hand dishwashing detergent.</t>
  </si>
  <si>
    <t>Heavy-duty detergent</t>
  </si>
  <si>
    <t>Intenzív tisztító hatású mosószer</t>
  </si>
  <si>
    <t>Colour-safe detergent</t>
  </si>
  <si>
    <t>Színkímélő mosószer</t>
  </si>
  <si>
    <t>Light-duty detergent</t>
  </si>
  <si>
    <t>Pre-treatment  stain  remover (this  options  includes  stain  removers  used  for  direct  spot treatment  of  textilesbefore  washing  in  the  machine). I  declare  that  the  product  is  not  dosed  in  the washing machine nor dedicated to other uses besides pre-treatment</t>
  </si>
  <si>
    <t>Előkezelő folttisztítószer (idetartoznak a textíliák helyi szennyeződéseinek a mosógépben való mosás előtti, közvetlen kezelésére használt folttisztítószerek). Kijelentem, hogy a terméket a használati utasítás szerint nem kell a mosógépbe tenni, és a termék kizárólag előkezelésre szolgál.</t>
  </si>
  <si>
    <t>I declare that this product is effective at 30ºC or below.</t>
  </si>
  <si>
    <t>I declare that this product is designed to be used for the washing of textiles principally in household machines, but not excluding its use in public laundrettes and common laundries.</t>
  </si>
  <si>
    <t>I declare that this product is not a fabric softener, a product dosed by carriers such as sheets, cloths or other materials, nor a washing auxiliary used without subsequent washing such as stain removers for carpets and furniture upholstery</t>
  </si>
  <si>
    <t>2. Declaration A - from the manufacturer of the laundry detergent</t>
  </si>
  <si>
    <t>2. A mosószer gyártójának nyilatkozata</t>
  </si>
  <si>
    <t>Criterion 1: Dosage requirements</t>
  </si>
  <si>
    <t>This worksheet needs to be filled in only for laundry detergents or dishwasher detergents.</t>
  </si>
  <si>
    <t>I declare that this product is a detergent which is marketed and designed to be used to wash by  hand  items  such  as  glassware,  crockery  and  kitchen  utensils  including  cutlery,  pots,  pans and ovenware.</t>
  </si>
  <si>
    <t>I declare that the product is a mixture of chemical substances and it does not contain micro-organisms that have been deliberately added by the manufacturer.</t>
  </si>
  <si>
    <t>The product in the  EU Ecolabel application is a</t>
  </si>
  <si>
    <t>Liquid/gel product.</t>
  </si>
  <si>
    <t>I declare that the density of the product is</t>
  </si>
  <si>
    <t>I declare that the reference dosage of the product is below the indicated limit:</t>
  </si>
  <si>
    <t xml:space="preserve">The product is a heavy-duty detergent, a colour-safe detergent or a light-duty detergent. </t>
  </si>
  <si>
    <t>(limit: 16,0 g/kg of laundry).</t>
  </si>
  <si>
    <t>The product is a stain remover (pre-treatment only).</t>
  </si>
  <si>
    <t>(limit: 2,7 g/kg of laundry).</t>
  </si>
  <si>
    <t>I attach the product label that includes the dosing instructions and
documentation showing the density (g/ml) of liquid and gel products.</t>
  </si>
  <si>
    <t>Please, check your answers on Worksheet "Termék" in fields C28, C38, and C39.</t>
  </si>
  <si>
    <t xml:space="preserve">Criterion 1:  </t>
  </si>
  <si>
    <t xml:space="preserve">Criterion 2:  </t>
  </si>
  <si>
    <t xml:space="preserve">Criterion 3:  </t>
  </si>
  <si>
    <t xml:space="preserve">Criterion 4:  </t>
  </si>
  <si>
    <t xml:space="preserve">Criterion 5:  </t>
  </si>
  <si>
    <t xml:space="preserve">Criterion 6: </t>
  </si>
  <si>
    <t xml:space="preserve">Criterion 7: </t>
  </si>
  <si>
    <t xml:space="preserve">Criterion 8: </t>
  </si>
  <si>
    <t xml:space="preserve">Criterion 9: </t>
  </si>
  <si>
    <t xml:space="preserve">9. kritérium - </t>
  </si>
  <si>
    <t>Powder/tablets</t>
  </si>
  <si>
    <t>Por / tabletta</t>
  </si>
  <si>
    <t>Liquid, capsules, gel</t>
  </si>
  <si>
    <t>Folyékony, kapszulás, gélállagú</t>
  </si>
  <si>
    <t>I declare that the total phosphorus (P) content calculated as elemental P is equal to or lower than the limit of 0,08 g/l of washing water.</t>
  </si>
  <si>
    <t>I declare that the product contain the following amount of phosphorus (P) calculated as elemental
P, which does not exceed the indicated limit.</t>
  </si>
  <si>
    <t>Kijelentem, hogy a termék elemi foszforként kiszámított teljes foszfortartalma nem haladja meg a termékre vonatkozó határértéket.</t>
  </si>
  <si>
    <t>The product is not a professional product. I declare that fragrance substances subject to the declaration requirement provided in Regulation (EC) No 648/2004 are not present in the product in quantities ≥ 0,010 % weight by weight per substance.</t>
  </si>
  <si>
    <t>The product is a hand dishwashing detergent for professional use. I declare that fragrance substances are not included.</t>
  </si>
  <si>
    <t>Corrosive properties</t>
  </si>
  <si>
    <t>I declare that the final product does not classify as ‘Corrosive’ (C) with H314 in accordance with Regulation (EC) No 1272/2008.</t>
  </si>
  <si>
    <t>I declare the following concentrations of all ingoing substances used in the product, either as part of the formulation or as part of any mixture included in the formulation, that are classified as ‘Corrosive’ (C) with H314 in accordance with Regulation (EC) No 1272/2008:</t>
  </si>
  <si>
    <t>Concentration in the final product</t>
  </si>
  <si>
    <t>H314 Causes severe skin burns and eye damage</t>
  </si>
  <si>
    <t>Please, check data in Worksheet Összetétel Column H and Worksheet Nyilatkozatok_3 Rows 476 - 486.</t>
  </si>
  <si>
    <t>Ellenőrizze az Összetétel munkalap H oszlopának és a Nyilatkozatok_3 munkalap 476-486. sorainak a kitöltését!</t>
  </si>
  <si>
    <t>I attach the product SDS.</t>
  </si>
  <si>
    <t>I declare that dosage instructions include information on the recommended dosage for a standard load for at least two levels of soiling and on the impact of the water hardness on the dosing.</t>
  </si>
  <si>
    <t>LD</t>
  </si>
  <si>
    <t>(1) it is readily degradable and has low adsorption (A &lt; 25 %)</t>
  </si>
  <si>
    <t>1. az anyag könnyen lebomlik és adszorpciója alacsony szintű (A &lt; 25 %)</t>
  </si>
  <si>
    <t>(2) it is readily degradable and has high desorption (D &gt; 75 %)</t>
  </si>
  <si>
    <t>2. az anyag könnyen lebomlik és deszorpciója magas szintű (D &gt; 75 %)</t>
  </si>
  <si>
    <t>(3) it is readily degradable and non-bioaccumulating</t>
  </si>
  <si>
    <t>3. az anyag könnyen lebomlik és nem bioakkumulatív</t>
  </si>
  <si>
    <t>Please check data in column E on worksheet "Alapanyagok_DID"!</t>
  </si>
  <si>
    <t>Ellenőrizze az Alapanyagok_DID munkalap E oszlopába beírt értékeket!</t>
  </si>
  <si>
    <t>I declare that the product has been tested under the conditions specified in the “EU Ecolabel protocol for testing laundry detergents”, and the product has achieved at least the minimum wash performance required.</t>
  </si>
  <si>
    <t>Kijelentem, hogy a termék használatra való alkalmasságának vizsgálata az uniós ökocímke weboldalán elérhető „EU Ecolabel protocol for testing laundry detergents” (Az uniós ökocímke által előírt vizsgálati eljárás a mosószerek vizsgálatához), illetve „EU Ecolabel protocol for testing stain removers”  (Az uniós ökocímke által előírt vizsgálati eljárás a folttisztítók vizsgálatához) tanulmány szerint történt, és a vizsgálat eredeménye szerint a termék a gyártó által ajánlott legalacsonyabb hőmérsékleten és a vízkeménységnek megfelelően előírt adagolás mellett kielégítő mosóhatással rendelkezik.</t>
  </si>
  <si>
    <t>I declare that the “Framework for the performance test for hand dishwashing detergents” has been used for this application, and the product has achieved a satisfactory wash performance at the lowest temperature and dosage recommended by the manufacturer for the water hardness.</t>
  </si>
  <si>
    <t>I declare that the lowest recommended temperature is</t>
  </si>
  <si>
    <t>[insert temperature (not higher than 30ºC)]</t>
  </si>
  <si>
    <t>Declaration from the manufacturer of the dishwashing detergent</t>
  </si>
  <si>
    <t>A gépi mosogatószer gyártójának nyilatkozata</t>
  </si>
  <si>
    <t xml:space="preserve">Dishwasher detergent </t>
  </si>
  <si>
    <t>Öblítőszer</t>
  </si>
  <si>
    <t>I declare that this product is marketed and designed to be used exclusively in household dishwashers and in automatic dishwashers for professional use of the same size and usage as that of household dishwashers.</t>
  </si>
  <si>
    <t>The product is a single-function dishwasher detergent.</t>
  </si>
  <si>
    <t>The product is a multi-function dishwasher detergent.</t>
  </si>
  <si>
    <t>Not applicable (the product is a rinse aid, which is exempted from this requirement)</t>
  </si>
  <si>
    <t>g/wash      (limit: 19,0 g/wash)</t>
  </si>
  <si>
    <t>g/wash      (limit: 21,0 g/wash).</t>
  </si>
  <si>
    <t>Sodium hydroxyl methyl glycinate,</t>
  </si>
  <si>
    <t>(only for professional products) Fragrances,</t>
  </si>
  <si>
    <t>I declare that the product contains the following amount of phosphorus (P), calculated as elemental P, which does not exceed the indicated limit.</t>
  </si>
  <si>
    <t>Kijelentem, hogy a termék elemi foszforban kifejezett teljes foszfortartalma nem haladja meg az előírt határértékeket.</t>
  </si>
  <si>
    <t>Limit (g/wash)</t>
  </si>
  <si>
    <t>Határérték (g/mosogatás)</t>
  </si>
  <si>
    <t>The product is not a professional product</t>
  </si>
  <si>
    <t>A termék nem üzleti célra szolgál</t>
  </si>
  <si>
    <t xml:space="preserve"> and does not contain fragrance substances</t>
  </si>
  <si>
    <t>, és nem tartalmaz illatanyagokat.</t>
  </si>
  <si>
    <t>Subtilisin</t>
  </si>
  <si>
    <t>the most updated IKW standard test</t>
  </si>
  <si>
    <t>the most updated standard EN 50242/EN 60436 as modified in “Framework performance test for dishwasher detergents”</t>
  </si>
  <si>
    <t>I declare that the product has achieved at least the minimum wash performance required.</t>
  </si>
  <si>
    <t>I declare that dosage instructions include information on the recommended dosage for a standard load.</t>
  </si>
  <si>
    <t xml:space="preserve">"Tested for wash performance at </t>
  </si>
  <si>
    <t>"Ellenőrzött mosóhatás</t>
  </si>
  <si>
    <t>°C."</t>
  </si>
  <si>
    <t>°C-on."</t>
  </si>
  <si>
    <t>Auswahldaten</t>
  </si>
  <si>
    <t>Produktart</t>
  </si>
  <si>
    <t>Produktform</t>
  </si>
  <si>
    <t>Auswahl janein</t>
  </si>
  <si>
    <t>aerobe Abbaubarkeit</t>
  </si>
  <si>
    <t>anearobe Abbaubarkeit</t>
  </si>
  <si>
    <t xml:space="preserve">Abbauwerte </t>
  </si>
  <si>
    <t>BCF</t>
  </si>
  <si>
    <t>log Kow</t>
  </si>
  <si>
    <t>Nachweis</t>
  </si>
  <si>
    <t>Ausnahme</t>
  </si>
  <si>
    <t>Flasche</t>
  </si>
  <si>
    <t>Etikett</t>
  </si>
  <si>
    <t>Verschluss</t>
  </si>
  <si>
    <t>Beschichtung</t>
  </si>
  <si>
    <t>Ausnahme anNBO</t>
  </si>
  <si>
    <t>Beschluss</t>
  </si>
  <si>
    <t>Produkt</t>
  </si>
  <si>
    <t>KVV</t>
  </si>
  <si>
    <t>GNV</t>
  </si>
  <si>
    <t>Höchstwert Referenzdosierung</t>
  </si>
  <si>
    <t>no limit</t>
  </si>
  <si>
    <t>1,00</t>
  </si>
  <si>
    <t>0,00</t>
  </si>
  <si>
    <t>Privat</t>
  </si>
  <si>
    <t>Einheit</t>
  </si>
  <si>
    <t>Ausnahmen</t>
  </si>
  <si>
    <t>Termékcsoportok</t>
  </si>
  <si>
    <t>Document</t>
  </si>
  <si>
    <t>Version</t>
  </si>
  <si>
    <t>Template</t>
  </si>
  <si>
    <t>Release</t>
  </si>
  <si>
    <t>Changes</t>
  </si>
  <si>
    <t>Testversion 1</t>
  </si>
  <si>
    <t>Template May 2017</t>
  </si>
  <si>
    <t>05/2017 (test)</t>
  </si>
  <si>
    <t>Testversion 2</t>
  </si>
  <si>
    <t>Formel Blatt "Results-2" in Spalte I "P" durch "Q" ersetzt</t>
  </si>
  <si>
    <t>Testversion 3</t>
  </si>
  <si>
    <t>Höchstdosierung für DD auf Blatt "Product" ergänzt, Schriftänderung auf rot für BCF/log Kow wenn überschritten</t>
  </si>
  <si>
    <t>Testversion 4</t>
  </si>
  <si>
    <t>Weitere DID-Nr in Rot, Wasser in Zelle B12 in Formulation, KVV-Zahlen ohne Leerzeichen in Auswahldaten, Aktivgehalt max 200 wg. Reaktion, Form im Produkt in allen Zellen</t>
  </si>
  <si>
    <t>Testversion 5</t>
  </si>
  <si>
    <t>Template June 2017</t>
  </si>
  <si>
    <t>ohne</t>
  </si>
  <si>
    <t>Korrektur in Formel bei Packaging size 2-4 und 6-8 (stand überall C$13) , diverse kleine Änderungen</t>
  </si>
  <si>
    <t xml:space="preserve">Version 1 </t>
  </si>
  <si>
    <t>Template July 2017</t>
  </si>
  <si>
    <t>07/2017</t>
  </si>
  <si>
    <t>Einfügen der Beschlüsse</t>
  </si>
  <si>
    <t>Version 2</t>
  </si>
  <si>
    <t>Template August 2017</t>
  </si>
  <si>
    <t>08/2017</t>
  </si>
  <si>
    <t xml:space="preserve">Änderung der Einheit Blatt Results-1 Zellen H11 bis K11 </t>
  </si>
  <si>
    <t>Version 3</t>
  </si>
  <si>
    <t>Template Nov 2017</t>
  </si>
  <si>
    <t>Änderung der DID-list 2016 auf final</t>
  </si>
  <si>
    <t>Magyar 1.0</t>
  </si>
  <si>
    <t>A Version 3 fordítása, kizárólag kemény felületekre szánt tisztítószerekre</t>
  </si>
  <si>
    <t>Magyar 2.0</t>
  </si>
  <si>
    <t>Kemény felületekre szánt tisztítószerekre, mosószerekre és mosogatószerekre</t>
  </si>
  <si>
    <t>Pályázati_adatlap_HSC_HDD_LD_20191216.xlsm</t>
  </si>
  <si>
    <t>Magyar 2.1</t>
  </si>
  <si>
    <t>Tesztelt változat, a monsun minden észrevételét figyelembe véve.</t>
  </si>
  <si>
    <t>Termék munkalap: A C24-t minden termékcsoportnál ki kell tölteni</t>
  </si>
  <si>
    <t>Alapanyagok_DID munkalap,Eredmények munkalapok eredeti képleteinek javításával (pl. a "not included" kicserélése a képletekben)</t>
  </si>
  <si>
    <t>Nyilatkozatok_3 munkalap: A táblázatokba beilleszti az adatokat, a makrók össze vannak kötve a jelölőnégyzetekkel</t>
  </si>
  <si>
    <t>Javított makrókkal</t>
  </si>
  <si>
    <t>Pályázati_adatlap_HSC_HDD_LD_20200102.xlsm</t>
  </si>
  <si>
    <t>Még mindig csak 3 termékcsoportra, de új jelszó.</t>
  </si>
  <si>
    <t>Pályázati_adatlap_HSC_HDD_DD_LD.xlsm</t>
  </si>
  <si>
    <t>Magyar 4.0</t>
  </si>
  <si>
    <t>Gépi mosogatószerekre is.</t>
  </si>
  <si>
    <t>A HSC makróbna javítottam a Termék adatlap C24 mezőjében a legördülő menü tartalmát (korábban megegyezett a mosószeres legördülő menüvel)</t>
  </si>
  <si>
    <t>Historie</t>
  </si>
  <si>
    <t>Rezeptureingang</t>
  </si>
  <si>
    <t xml:space="preserve">Bemerkungen: </t>
  </si>
  <si>
    <t xml:space="preserve">Kontrolle RAL </t>
  </si>
  <si>
    <t>ggf. zurück an Antragsteller</t>
  </si>
  <si>
    <t>ggf. Eingang geänderte Rezeptur</t>
  </si>
  <si>
    <t xml:space="preserve">ggf. Kontrolle RAL </t>
  </si>
  <si>
    <t>Weiterleitung UBA</t>
  </si>
  <si>
    <t>Zurück vom UBA</t>
  </si>
</sst>
</file>

<file path=xl/styles.xml><?xml version="1.0" encoding="utf-8"?>
<styleSheet xmlns="http://schemas.openxmlformats.org/spreadsheetml/2006/main">
  <numFmts count="9">
    <numFmt numFmtId="0" formatCode="General"/>
    <numFmt numFmtId="59" formatCode="0.000"/>
    <numFmt numFmtId="60" formatCode="0.0#####"/>
    <numFmt numFmtId="61" formatCode="0.0######"/>
    <numFmt numFmtId="62" formatCode="0.0"/>
    <numFmt numFmtId="63" formatCode="0.0########"/>
    <numFmt numFmtId="64" formatCode="0.0000"/>
    <numFmt numFmtId="65" formatCode="0.0##"/>
    <numFmt numFmtId="66" formatCode="0.00000"/>
  </numFmts>
  <fonts count="69">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u val="single"/>
      <sz val="10"/>
      <color indexed="8"/>
      <name val="Arial"/>
    </font>
    <font>
      <sz val="26"/>
      <color indexed="14"/>
      <name val="Arial"/>
    </font>
    <font>
      <b val="1"/>
      <sz val="10"/>
      <color indexed="8"/>
      <name val="Arial"/>
    </font>
    <font>
      <sz val="10"/>
      <color indexed="8"/>
      <name val="Calibri"/>
    </font>
    <font>
      <sz val="22"/>
      <color indexed="12"/>
      <name val="Arial"/>
    </font>
    <font>
      <sz val="16"/>
      <color indexed="16"/>
      <name val="Arial Rounded MT Bold"/>
    </font>
    <font>
      <sz val="10"/>
      <color indexed="12"/>
      <name val="Arial"/>
    </font>
    <font>
      <sz val="12"/>
      <color indexed="12"/>
      <name val="Arial Rounded MT Bold"/>
    </font>
    <font>
      <sz val="10"/>
      <color indexed="8"/>
      <name val="Calibri"/>
    </font>
    <font>
      <sz val="11"/>
      <color indexed="8"/>
      <name val="Calibri"/>
    </font>
    <font>
      <sz val="10"/>
      <color indexed="12"/>
      <name val="Calibri"/>
    </font>
    <font>
      <sz val="11"/>
      <color indexed="12"/>
      <name val="Calibri"/>
    </font>
    <font>
      <sz val="11"/>
      <color indexed="8"/>
      <name val="Times New Roman"/>
    </font>
    <font>
      <sz val="8"/>
      <color indexed="8"/>
      <name val="Calibri"/>
    </font>
    <font>
      <b val="1"/>
      <sz val="10"/>
      <color indexed="12"/>
      <name val="Arial"/>
    </font>
    <font>
      <b val="1"/>
      <sz val="11"/>
      <color indexed="8"/>
      <name val="Calibri"/>
    </font>
    <font>
      <sz val="8"/>
      <color indexed="8"/>
      <name val="Arial"/>
    </font>
    <font>
      <b val="1"/>
      <sz val="14"/>
      <color indexed="8"/>
      <name val="Arial"/>
    </font>
    <font>
      <b val="1"/>
      <u val="single"/>
      <sz val="12"/>
      <color indexed="8"/>
      <name val="Arial"/>
    </font>
    <font>
      <sz val="8"/>
      <color indexed="21"/>
      <name val="Arial"/>
    </font>
    <font>
      <b val="1"/>
      <u val="single"/>
      <sz val="12"/>
      <color indexed="12"/>
      <name val="Arial"/>
    </font>
    <font>
      <sz val="8"/>
      <color indexed="12"/>
      <name val="Arial"/>
    </font>
    <font>
      <b val="1"/>
      <sz val="10"/>
      <color indexed="21"/>
      <name val="Arial"/>
    </font>
    <font>
      <i val="1"/>
      <sz val="10"/>
      <color indexed="8"/>
      <name val="Arial"/>
    </font>
    <font>
      <i val="1"/>
      <vertAlign val="superscript"/>
      <sz val="10"/>
      <color indexed="8"/>
      <name val="Arial"/>
    </font>
    <font>
      <b val="1"/>
      <u val="single"/>
      <sz val="11"/>
      <color indexed="8"/>
      <name val="Arial"/>
    </font>
    <font>
      <sz val="9"/>
      <color indexed="8"/>
      <name val="Arial"/>
    </font>
    <font>
      <b val="1"/>
      <sz val="8"/>
      <color indexed="8"/>
      <name val="Arial"/>
    </font>
    <font>
      <b val="1"/>
      <sz val="12"/>
      <color indexed="8"/>
      <name val="Arial"/>
    </font>
    <font>
      <b val="1"/>
      <u val="single"/>
      <sz val="12"/>
      <color indexed="21"/>
      <name val="Arial"/>
    </font>
    <font>
      <b val="1"/>
      <sz val="9"/>
      <color indexed="8"/>
      <name val="Arial"/>
    </font>
    <font>
      <sz val="11"/>
      <color indexed="8"/>
      <name val="Arial"/>
    </font>
    <font>
      <b val="1"/>
      <sz val="11"/>
      <color indexed="8"/>
      <name val="Arial"/>
    </font>
    <font>
      <b val="1"/>
      <i val="1"/>
      <u val="single"/>
      <sz val="11"/>
      <color indexed="8"/>
      <name val="Arial"/>
    </font>
    <font>
      <b val="1"/>
      <i val="1"/>
      <u val="single"/>
      <sz val="11"/>
      <color indexed="21"/>
      <name val="Arial"/>
    </font>
    <font>
      <sz val="10"/>
      <color indexed="21"/>
      <name val="Arial"/>
    </font>
    <font>
      <b val="1"/>
      <u val="single"/>
      <sz val="8"/>
      <color indexed="21"/>
      <name val="Arial"/>
    </font>
    <font>
      <b val="1"/>
      <u val="single"/>
      <sz val="8"/>
      <color indexed="12"/>
      <name val="Arial"/>
    </font>
    <font>
      <i val="1"/>
      <sz val="10"/>
      <color indexed="21"/>
      <name val="Arial"/>
    </font>
    <font>
      <b val="1"/>
      <i val="1"/>
      <u val="single"/>
      <sz val="10"/>
      <color indexed="8"/>
      <name val="Arial"/>
    </font>
    <font>
      <sz val="11"/>
      <color indexed="21"/>
      <name val="Arial"/>
    </font>
    <font>
      <sz val="16"/>
      <color indexed="16"/>
      <name val="Arial"/>
    </font>
    <font>
      <sz val="14"/>
      <color indexed="21"/>
      <name val="Arial"/>
    </font>
    <font>
      <sz val="22"/>
      <color indexed="8"/>
      <name val="Arial"/>
    </font>
    <font>
      <sz val="22"/>
      <color indexed="21"/>
      <name val="Arial"/>
    </font>
    <font>
      <sz val="16"/>
      <color indexed="21"/>
      <name val="Arial Rounded MT Bold"/>
    </font>
    <font>
      <sz val="10"/>
      <color indexed="21"/>
      <name val="Calibri"/>
    </font>
    <font>
      <sz val="9"/>
      <color indexed="21"/>
      <name val="Arial"/>
    </font>
    <font>
      <b val="1"/>
      <sz val="14"/>
      <color indexed="21"/>
      <name val="Arial"/>
    </font>
    <font>
      <b val="1"/>
      <sz val="9"/>
      <color indexed="8"/>
      <name val="Arial"/>
    </font>
    <font>
      <b val="1"/>
      <sz val="8"/>
      <color indexed="8"/>
      <name val="Arial"/>
    </font>
    <font>
      <sz val="8"/>
      <color indexed="8"/>
      <name val="Arial"/>
    </font>
    <font>
      <vertAlign val="subscript"/>
      <sz val="10"/>
      <color indexed="8"/>
      <name val="Arial"/>
    </font>
    <font>
      <sz val="9"/>
      <color indexed="33"/>
      <name val="Geneva"/>
    </font>
    <font>
      <sz val="12"/>
      <color indexed="8"/>
      <name val="Geneva"/>
    </font>
    <font>
      <b val="1"/>
      <sz val="18"/>
      <color indexed="8"/>
      <name val="Arial"/>
    </font>
    <font>
      <sz val="18"/>
      <color indexed="8"/>
      <name val="Geneva"/>
    </font>
    <font>
      <sz val="9"/>
      <color indexed="8"/>
      <name val="Geneva"/>
    </font>
    <font>
      <sz val="8"/>
      <color indexed="8"/>
      <name val="Arial"/>
    </font>
    <font>
      <sz val="9"/>
      <color indexed="33"/>
      <name val="Arial"/>
    </font>
    <font>
      <sz val="8"/>
      <color indexed="33"/>
      <name val="Arial"/>
    </font>
    <font>
      <sz val="10"/>
      <color indexed="33"/>
      <name val="Arial"/>
    </font>
    <font>
      <vertAlign val="superscript"/>
      <sz val="10"/>
      <color indexed="8"/>
      <name val="Arial"/>
    </font>
  </fonts>
  <fills count="1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2"/>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34"/>
        <bgColor auto="1"/>
      </patternFill>
    </fill>
  </fills>
  <borders count="122">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bottom style="thin">
        <color indexed="8"/>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13"/>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right style="thin">
        <color indexed="13"/>
      </right>
      <top style="thin">
        <color indexed="13"/>
      </top>
      <bottom style="thin">
        <color indexed="13"/>
      </bottom>
      <diagonal/>
    </border>
    <border>
      <left style="thin">
        <color indexed="13"/>
      </left>
      <right/>
      <top style="thin">
        <color indexed="13"/>
      </top>
      <bottom style="thin">
        <color indexed="13"/>
      </bottom>
      <diagonal/>
    </border>
    <border>
      <left style="thin">
        <color indexed="13"/>
      </left>
      <right/>
      <top style="thin">
        <color indexed="8"/>
      </top>
      <bottom/>
      <diagonal/>
    </border>
    <border>
      <left style="thin">
        <color indexed="13"/>
      </left>
      <right style="thin">
        <color indexed="13"/>
      </right>
      <top/>
      <bottom style="thin">
        <color indexed="13"/>
      </bottom>
      <diagonal/>
    </border>
    <border>
      <left/>
      <right/>
      <top style="thin">
        <color indexed="13"/>
      </top>
      <bottom style="thin">
        <color indexed="13"/>
      </bottom>
      <diagonal/>
    </border>
    <border>
      <left/>
      <right style="thin">
        <color indexed="8"/>
      </right>
      <top style="thin">
        <color indexed="13"/>
      </top>
      <bottom/>
      <diagonal/>
    </border>
    <border>
      <left style="thin">
        <color indexed="13"/>
      </left>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3"/>
      </left>
      <right style="thin">
        <color indexed="13"/>
      </right>
      <top/>
      <bottom/>
      <diagonal/>
    </border>
    <border>
      <left style="thin">
        <color indexed="13"/>
      </left>
      <right style="thin">
        <color indexed="8"/>
      </right>
      <top/>
      <bottom/>
      <diagonal/>
    </border>
    <border>
      <left style="thin">
        <color indexed="13"/>
      </left>
      <right style="thin">
        <color indexed="8"/>
      </right>
      <top style="thin">
        <color indexed="8"/>
      </top>
      <bottom style="thin">
        <color indexed="8"/>
      </bottom>
      <diagonal/>
    </border>
    <border>
      <left style="thin">
        <color indexed="13"/>
      </left>
      <right style="thin">
        <color indexed="8"/>
      </right>
      <top style="thin">
        <color indexed="13"/>
      </top>
      <bottom/>
      <diagonal/>
    </border>
    <border>
      <left style="thin">
        <color indexed="13"/>
      </left>
      <right style="thin">
        <color indexed="8"/>
      </right>
      <top style="thin">
        <color indexed="8"/>
      </top>
      <bottom/>
      <diagonal/>
    </border>
    <border>
      <left style="thin">
        <color indexed="13"/>
      </left>
      <right/>
      <top/>
      <bottom style="medium">
        <color indexed="8"/>
      </bottom>
      <diagonal/>
    </border>
    <border>
      <left/>
      <right/>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medium">
        <color indexed="8"/>
      </left>
      <right/>
      <top/>
      <bottom style="thin">
        <color indexed="8"/>
      </bottom>
      <diagonal/>
    </border>
    <border>
      <left/>
      <right style="medium">
        <color indexed="8"/>
      </right>
      <top style="thin">
        <color indexed="8"/>
      </top>
      <bottom/>
      <diagonal/>
    </border>
    <border>
      <left/>
      <right style="medium">
        <color indexed="8"/>
      </right>
      <top/>
      <bottom style="thin">
        <color indexed="8"/>
      </bottom>
      <diagonal/>
    </border>
    <border>
      <left style="thin">
        <color indexed="13"/>
      </left>
      <right/>
      <top style="medium">
        <color indexed="8"/>
      </top>
      <bottom style="medium">
        <color indexed="8"/>
      </bottom>
      <diagonal/>
    </border>
    <border>
      <left/>
      <right/>
      <top style="medium">
        <color indexed="8"/>
      </top>
      <bottom style="medium">
        <color indexed="8"/>
      </bottom>
      <diagonal/>
    </border>
    <border>
      <left style="thin">
        <color indexed="13"/>
      </left>
      <right/>
      <top style="medium">
        <color indexed="8"/>
      </top>
      <bottom style="thin">
        <color indexed="8"/>
      </bottom>
      <diagonal/>
    </border>
    <border>
      <left/>
      <right/>
      <top style="medium">
        <color indexed="8"/>
      </top>
      <bottom style="thin">
        <color indexed="8"/>
      </bottom>
      <diagonal/>
    </border>
    <border>
      <left style="thin">
        <color indexed="13"/>
      </left>
      <right>
        <color indexed="23"/>
      </right>
      <top style="thin">
        <color indexed="13"/>
      </top>
      <bottom style="thin">
        <color indexed="13"/>
      </bottom>
      <diagonal/>
    </border>
    <border>
      <left>
        <color indexed="23"/>
      </left>
      <right>
        <color indexed="23"/>
      </right>
      <top style="thin">
        <color indexed="13"/>
      </top>
      <bottom style="thin">
        <color indexed="13"/>
      </bottom>
      <diagonal/>
    </border>
    <border>
      <left>
        <color indexed="23"/>
      </left>
      <right style="thin">
        <color indexed="13"/>
      </right>
      <top style="thin">
        <color indexed="13"/>
      </top>
      <bottom style="thin">
        <color indexed="13"/>
      </bottom>
      <diagonal/>
    </border>
    <border>
      <left style="thin">
        <color indexed="13"/>
      </left>
      <right style="thin">
        <color indexed="13"/>
      </right>
      <top style="thin">
        <color indexed="13"/>
      </top>
      <bottom>
        <color indexed="23"/>
      </bottom>
      <diagonal/>
    </border>
    <border>
      <left/>
      <right style="thin">
        <color indexed="8"/>
      </right>
      <top style="thin">
        <color indexed="8"/>
      </top>
      <bottom style="thin">
        <color indexed="13"/>
      </bottom>
      <diagonal/>
    </border>
    <border>
      <left style="thin">
        <color indexed="8"/>
      </left>
      <right style="thin">
        <color indexed="13"/>
      </right>
      <top/>
      <bottom style="thin">
        <color indexed="8"/>
      </bottom>
      <diagonal/>
    </border>
    <border>
      <left style="thin">
        <color indexed="13"/>
      </left>
      <right style="thin">
        <color indexed="8"/>
      </right>
      <top style="thin">
        <color indexed="13"/>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color indexed="23"/>
      </top>
      <bottom>
        <color indexed="23"/>
      </bottom>
      <diagonal/>
    </border>
    <border>
      <left style="thin">
        <color indexed="8"/>
      </left>
      <right/>
      <top style="thin">
        <color indexed="8"/>
      </top>
      <bottom style="thin">
        <color indexed="13"/>
      </bottom>
      <diagonal/>
    </border>
    <border>
      <left/>
      <right/>
      <top style="thin">
        <color indexed="8"/>
      </top>
      <bottom style="thin">
        <color indexed="13"/>
      </bottom>
      <diagonal/>
    </border>
    <border>
      <left style="thin">
        <color indexed="8"/>
      </left>
      <right style="thin">
        <color indexed="8"/>
      </right>
      <top style="thin">
        <color indexed="8"/>
      </top>
      <bottom style="thin">
        <color indexed="13"/>
      </bottom>
      <diagonal/>
    </border>
    <border>
      <left/>
      <right/>
      <top style="thin">
        <color indexed="13"/>
      </top>
      <bottom style="thin">
        <color indexed="8"/>
      </bottom>
      <diagonal/>
    </border>
    <border>
      <left/>
      <right style="thin">
        <color indexed="8"/>
      </right>
      <top style="thin">
        <color indexed="13"/>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thin">
        <color indexed="8"/>
      </bottom>
      <diagonal/>
    </border>
    <border>
      <left style="thin">
        <color indexed="8"/>
      </left>
      <right/>
      <top style="thin">
        <color indexed="13"/>
      </top>
      <bottom style="thin">
        <color indexed="13"/>
      </bottom>
      <diagonal/>
    </border>
    <border>
      <left/>
      <right style="thin">
        <color indexed="8"/>
      </right>
      <top style="thin">
        <color indexed="13"/>
      </top>
      <bottom style="thin">
        <color indexed="13"/>
      </bottom>
      <diagonal/>
    </border>
    <border>
      <left style="thin">
        <color indexed="8"/>
      </left>
      <right/>
      <top style="thin">
        <color indexed="13"/>
      </top>
      <bottom style="thin">
        <color indexed="8"/>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13"/>
      </right>
      <top style="thin">
        <color indexed="13"/>
      </top>
      <bottom style="thin">
        <color indexed="13"/>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thin">
        <color indexed="13"/>
      </bottom>
      <diagonal/>
    </border>
    <border>
      <left style="medium">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medium">
        <color indexed="8"/>
      </right>
      <top style="thin">
        <color indexed="13"/>
      </top>
      <bottom/>
      <diagonal/>
    </border>
    <border>
      <left style="thin">
        <color indexed="13"/>
      </left>
      <right/>
      <top style="medium">
        <color indexed="8"/>
      </top>
      <bottom/>
      <diagonal/>
    </border>
    <border>
      <left style="thin">
        <color indexed="13"/>
      </left>
      <right style="thin">
        <color indexed="13"/>
      </right>
      <top/>
      <bottom style="medium">
        <color indexed="8"/>
      </bottom>
      <diagonal/>
    </border>
    <border>
      <left style="thin">
        <color indexed="13"/>
      </left>
      <right style="thin">
        <color indexed="13"/>
      </right>
      <top/>
      <bottom style="thin">
        <color indexed="8"/>
      </bottom>
      <diagonal/>
    </border>
  </borders>
  <cellStyleXfs count="1">
    <xf numFmtId="0" fontId="0" applyNumberFormat="0" applyFont="1" applyFill="0" applyBorder="0" applyAlignment="1" applyProtection="0">
      <alignment vertical="bottom"/>
    </xf>
  </cellStyleXfs>
  <cellXfs count="135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vertical="top" wrapText="1"/>
    </xf>
    <xf numFmtId="49" fontId="6" fillId="4" borderId="2" applyNumberFormat="1" applyFont="1" applyFill="1" applyBorder="1" applyAlignment="1" applyProtection="0">
      <alignment vertical="top" wrapText="1"/>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49" fontId="0" fillId="4" borderId="4" applyNumberFormat="1" applyFont="1" applyFill="1" applyBorder="1" applyAlignment="1" applyProtection="0">
      <alignment vertical="top" wrapText="1"/>
    </xf>
    <xf numFmtId="49" fontId="0" fillId="4" borderId="5" applyNumberFormat="1" applyFont="1" applyFill="1" applyBorder="1" applyAlignment="1" applyProtection="0">
      <alignment vertical="top" wrapText="1"/>
    </xf>
    <xf numFmtId="0" fontId="0" fillId="4" borderId="5" applyNumberFormat="0" applyFont="1" applyFill="1" applyBorder="1" applyAlignment="1" applyProtection="0">
      <alignment vertical="bottom"/>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vertical="bottom" wrapText="1"/>
    </xf>
    <xf numFmtId="0" fontId="0" fillId="4" borderId="8" applyNumberFormat="0" applyFont="1" applyFill="1" applyBorder="1" applyAlignment="1" applyProtection="0">
      <alignment vertical="top" wrapText="1"/>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49" fontId="7" fillId="5" borderId="2" applyNumberFormat="1" applyFont="1" applyFill="1" applyBorder="1" applyAlignment="1" applyProtection="0">
      <alignment horizontal="center" vertical="center" wrapText="1"/>
    </xf>
    <xf numFmtId="0" fontId="7" fillId="5" borderId="2" applyNumberFormat="0" applyFont="1" applyFill="1" applyBorder="1" applyAlignment="1" applyProtection="0">
      <alignment horizontal="center" vertical="center" wrapText="1"/>
    </xf>
    <xf numFmtId="0" fontId="8" fillId="4" borderId="2" applyNumberFormat="0" applyFont="1" applyFill="1" applyBorder="1" applyAlignment="1" applyProtection="0">
      <alignment horizontal="right" vertical="bottom"/>
    </xf>
    <xf numFmtId="49" fontId="0" fillId="4" borderId="2" applyNumberFormat="1" applyFont="1" applyFill="1" applyBorder="1" applyAlignment="1" applyProtection="0">
      <alignment vertical="center" wrapText="1"/>
    </xf>
    <xf numFmtId="0" fontId="9" fillId="4" borderId="2" applyNumberFormat="1" applyFont="1" applyFill="1" applyBorder="1" applyAlignment="1" applyProtection="0">
      <alignment vertical="bottom"/>
    </xf>
    <xf numFmtId="0" fontId="10" fillId="4" borderId="2" applyNumberFormat="0" applyFont="1" applyFill="1" applyBorder="1" applyAlignment="1" applyProtection="0">
      <alignment vertical="bottom"/>
    </xf>
    <xf numFmtId="0" fontId="10" fillId="4" borderId="2" applyNumberFormat="0" applyFont="1" applyFill="1" applyBorder="1" applyAlignment="1" applyProtection="0">
      <alignment vertical="center" wrapText="1"/>
    </xf>
    <xf numFmtId="0" fontId="0" fillId="4" borderId="4" applyNumberFormat="0" applyFont="1" applyFill="1" applyBorder="1" applyAlignment="1" applyProtection="0">
      <alignment vertical="bottom"/>
    </xf>
    <xf numFmtId="0" fontId="0" fillId="4" borderId="5" applyNumberFormat="0" applyFont="1" applyFill="1" applyBorder="1" applyAlignment="1" applyProtection="0">
      <alignment horizontal="center" vertical="bottom"/>
    </xf>
    <xf numFmtId="0" fontId="0" fillId="4" borderId="5" applyNumberFormat="0" applyFont="1" applyFill="1" applyBorder="1" applyAlignment="1" applyProtection="0">
      <alignment vertical="bottom" wrapText="1"/>
    </xf>
    <xf numFmtId="49" fontId="11" fillId="4" borderId="4" applyNumberFormat="1" applyFont="1" applyFill="1" applyBorder="1" applyAlignment="1" applyProtection="0">
      <alignment vertical="bottom"/>
    </xf>
    <xf numFmtId="0" fontId="12" fillId="4" borderId="5" applyNumberFormat="0" applyFont="1" applyFill="1" applyBorder="1" applyAlignment="1" applyProtection="0">
      <alignment vertical="bottom"/>
    </xf>
    <xf numFmtId="49" fontId="0" fillId="4" borderId="5" applyNumberFormat="1" applyFont="1" applyFill="1" applyBorder="1" applyAlignment="1" applyProtection="0">
      <alignment vertical="bottom"/>
    </xf>
    <xf numFmtId="0" fontId="0" fillId="4" borderId="5" applyNumberFormat="1" applyFont="1" applyFill="1" applyBorder="1" applyAlignment="1" applyProtection="0">
      <alignment vertical="bottom"/>
    </xf>
    <xf numFmtId="0" fontId="12" fillId="4" borderId="5" applyNumberFormat="0" applyFont="1" applyFill="1" applyBorder="1" applyAlignment="1" applyProtection="0">
      <alignment vertical="center" wrapText="1"/>
    </xf>
    <xf numFmtId="0" fontId="11" fillId="4" borderId="4" applyNumberFormat="0" applyFont="1" applyFill="1" applyBorder="1" applyAlignment="1" applyProtection="0">
      <alignment vertical="bottom"/>
    </xf>
    <xf numFmtId="49" fontId="13" fillId="6" borderId="4" applyNumberFormat="1" applyFont="1" applyFill="1" applyBorder="1" applyAlignment="1" applyProtection="0">
      <alignment horizontal="center" vertical="center"/>
    </xf>
    <xf numFmtId="0" fontId="13" fillId="6" borderId="5" applyNumberFormat="0" applyFont="1" applyFill="1" applyBorder="1" applyAlignment="1" applyProtection="0">
      <alignment horizontal="center" vertical="center"/>
    </xf>
    <xf numFmtId="0" fontId="0" fillId="4" borderId="10" applyNumberFormat="0" applyFont="1" applyFill="1" applyBorder="1" applyAlignment="1" applyProtection="0">
      <alignment vertical="bottom"/>
    </xf>
    <xf numFmtId="49" fontId="14" fillId="4" borderId="4" applyNumberFormat="1" applyFont="1" applyFill="1" applyBorder="1" applyAlignment="1" applyProtection="0">
      <alignment horizontal="left" vertical="center" wrapText="1"/>
    </xf>
    <xf numFmtId="0" fontId="14" fillId="4" borderId="5" applyNumberFormat="0" applyFont="1" applyFill="1" applyBorder="1" applyAlignment="1" applyProtection="0">
      <alignment horizontal="left" vertical="center" wrapText="1"/>
    </xf>
    <xf numFmtId="0" fontId="14" fillId="4" borderId="11" applyNumberFormat="0" applyFont="1" applyFill="1" applyBorder="1" applyAlignment="1" applyProtection="0">
      <alignment horizontal="left" vertical="center" wrapText="1"/>
    </xf>
    <xf numFmtId="0" fontId="14" fillId="5" borderId="12" applyNumberFormat="0" applyFont="1" applyFill="1" applyBorder="1" applyAlignment="1" applyProtection="0">
      <alignment horizontal="left" vertical="bottom"/>
    </xf>
    <xf numFmtId="0" fontId="14" fillId="5" borderId="13" applyNumberFormat="0" applyFont="1" applyFill="1" applyBorder="1" applyAlignment="1" applyProtection="0">
      <alignment horizontal="left" vertical="bottom"/>
    </xf>
    <xf numFmtId="0" fontId="14" fillId="5" borderId="14" applyNumberFormat="0" applyFont="1" applyFill="1" applyBorder="1" applyAlignment="1" applyProtection="0">
      <alignment horizontal="left" vertical="bottom"/>
    </xf>
    <xf numFmtId="0" fontId="14" fillId="4" borderId="15" applyNumberFormat="0" applyFont="1" applyFill="1" applyBorder="1" applyAlignment="1" applyProtection="0">
      <alignment vertical="bottom"/>
    </xf>
    <xf numFmtId="0" fontId="14" fillId="4" borderId="5" applyNumberFormat="0" applyFont="1" applyFill="1" applyBorder="1" applyAlignment="1" applyProtection="0">
      <alignment vertical="bottom"/>
    </xf>
    <xf numFmtId="49" fontId="0" fillId="4" borderId="5" applyNumberFormat="1" applyFont="1" applyFill="1" applyBorder="1" applyAlignment="1" applyProtection="0">
      <alignment vertical="bottom" wrapText="1"/>
    </xf>
    <xf numFmtId="0" fontId="14" fillId="4" borderId="4" applyNumberFormat="0" applyFont="1" applyFill="1" applyBorder="1" applyAlignment="1" applyProtection="0">
      <alignment horizontal="justify" vertical="center" wrapText="1"/>
    </xf>
    <xf numFmtId="0" fontId="14" fillId="4" borderId="5" applyNumberFormat="0" applyFont="1" applyFill="1" applyBorder="1" applyAlignment="1" applyProtection="0">
      <alignment vertical="center" wrapText="1"/>
    </xf>
    <xf numFmtId="0" fontId="14" fillId="4" borderId="5" applyNumberFormat="0" applyFont="1" applyFill="1" applyBorder="1" applyAlignment="1" applyProtection="0">
      <alignment horizontal="left" vertical="bottom"/>
    </xf>
    <xf numFmtId="0" fontId="15" fillId="4" borderId="16" applyNumberFormat="0" applyFont="1" applyFill="1" applyBorder="1" applyAlignment="1" applyProtection="0">
      <alignment horizontal="left" vertical="bottom"/>
    </xf>
    <xf numFmtId="0" fontId="15" fillId="4" borderId="17" applyNumberFormat="0" applyFont="1" applyFill="1" applyBorder="1" applyAlignment="1" applyProtection="0">
      <alignment horizontal="left" vertical="bottom"/>
    </xf>
    <xf numFmtId="0" fontId="15" fillId="4" borderId="18" applyNumberFormat="0" applyFont="1" applyFill="1" applyBorder="1" applyAlignment="1" applyProtection="0">
      <alignment horizontal="left" vertical="bottom"/>
    </xf>
    <xf numFmtId="0" fontId="14" fillId="4" borderId="4" applyNumberFormat="0" applyFont="1" applyFill="1" applyBorder="1" applyAlignment="1" applyProtection="0">
      <alignment horizontal="justify" vertical="center"/>
    </xf>
    <xf numFmtId="0" fontId="15" fillId="4" borderId="5" applyNumberFormat="0" applyFont="1" applyFill="1" applyBorder="1" applyAlignment="1" applyProtection="0">
      <alignment vertical="bottom"/>
    </xf>
    <xf numFmtId="0" fontId="14" fillId="4" borderId="15" applyNumberFormat="0" applyFont="1" applyFill="1" applyBorder="1" applyAlignment="1" applyProtection="0">
      <alignment horizontal="left" vertical="bottom"/>
    </xf>
    <xf numFmtId="49" fontId="14" fillId="4" borderId="15" applyNumberFormat="1" applyFont="1" applyFill="1" applyBorder="1" applyAlignment="1" applyProtection="0">
      <alignment vertical="bottom"/>
    </xf>
    <xf numFmtId="49" fontId="14" fillId="4" borderId="5" applyNumberFormat="1" applyFont="1" applyFill="1" applyBorder="1" applyAlignment="1" applyProtection="0">
      <alignment horizontal="center" vertical="bottom"/>
    </xf>
    <xf numFmtId="49" fontId="14" fillId="4" borderId="5" applyNumberFormat="1" applyFont="1" applyFill="1" applyBorder="1" applyAlignment="1" applyProtection="0">
      <alignment horizontal="left" vertical="bottom"/>
    </xf>
    <xf numFmtId="49" fontId="14" fillId="5" borderId="12" applyNumberFormat="1" applyFont="1" applyFill="1" applyBorder="1" applyAlignment="1" applyProtection="0">
      <alignment horizontal="left" vertical="bottom"/>
    </xf>
    <xf numFmtId="0" fontId="15" fillId="4" borderId="4" applyNumberFormat="0" applyFont="1" applyFill="1" applyBorder="1" applyAlignment="1" applyProtection="0">
      <alignment vertical="bottom"/>
    </xf>
    <xf numFmtId="0" fontId="0" fillId="4" borderId="5" applyNumberFormat="1" applyFont="1" applyFill="1" applyBorder="1" applyAlignment="1" applyProtection="0">
      <alignment vertical="bottom" wrapText="1"/>
    </xf>
    <xf numFmtId="49" fontId="16" fillId="4" borderId="5" applyNumberFormat="1" applyFont="1" applyFill="1" applyBorder="1" applyAlignment="1" applyProtection="0">
      <alignment vertical="bottom"/>
    </xf>
    <xf numFmtId="0" fontId="16" fillId="4" borderId="5" applyNumberFormat="0" applyFont="1" applyFill="1" applyBorder="1" applyAlignment="1" applyProtection="0">
      <alignment vertical="bottom"/>
    </xf>
    <xf numFmtId="49" fontId="16" fillId="4" borderId="5" applyNumberFormat="1" applyFont="1" applyFill="1" applyBorder="1" applyAlignment="1" applyProtection="0">
      <alignment horizontal="left" vertical="bottom"/>
    </xf>
    <xf numFmtId="0" fontId="16" fillId="4" borderId="5" applyNumberFormat="0" applyFont="1" applyFill="1" applyBorder="1" applyAlignment="1" applyProtection="0">
      <alignment horizontal="left" vertical="bottom"/>
    </xf>
    <xf numFmtId="0" fontId="0" fillId="4" borderId="13"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0" fontId="17" fillId="4" borderId="5" applyNumberFormat="0" applyFont="1" applyFill="1" applyBorder="1" applyAlignment="1" applyProtection="0">
      <alignment vertical="bottom"/>
    </xf>
    <xf numFmtId="0" fontId="0" fillId="5" borderId="20" applyNumberFormat="0" applyFont="1" applyFill="1" applyBorder="1" applyAlignment="1" applyProtection="0">
      <alignment vertical="bottom"/>
    </xf>
    <xf numFmtId="0" fontId="0" fillId="4" borderId="15" applyNumberFormat="0" applyFont="1" applyFill="1" applyBorder="1" applyAlignment="1" applyProtection="0">
      <alignment vertical="bottom"/>
    </xf>
    <xf numFmtId="0" fontId="14" fillId="4" borderId="4" applyNumberFormat="0" applyFont="1" applyFill="1" applyBorder="1" applyAlignment="1" applyProtection="0">
      <alignment horizontal="center" vertical="center"/>
    </xf>
    <xf numFmtId="0" fontId="14" fillId="4" borderId="5" applyNumberFormat="0" applyFont="1" applyFill="1" applyBorder="1" applyAlignment="1" applyProtection="0">
      <alignment horizontal="center" vertical="center"/>
    </xf>
    <xf numFmtId="0" fontId="14" fillId="4" borderId="10" applyNumberFormat="0" applyFont="1" applyFill="1" applyBorder="1" applyAlignment="1" applyProtection="0">
      <alignment horizontal="center" vertical="center"/>
    </xf>
    <xf numFmtId="0" fontId="16" fillId="4" borderId="5" applyNumberFormat="1" applyFont="1" applyFill="1" applyBorder="1" applyAlignment="1" applyProtection="0">
      <alignment vertical="bottom" wrapText="1"/>
    </xf>
    <xf numFmtId="0" fontId="16" fillId="4" borderId="5" applyNumberFormat="0" applyFont="1" applyFill="1" applyBorder="1" applyAlignment="1" applyProtection="0">
      <alignment vertical="bottom" wrapText="1"/>
    </xf>
    <xf numFmtId="0" fontId="0" fillId="5" borderId="12" applyNumberFormat="0" applyFont="1" applyFill="1" applyBorder="1" applyAlignment="1" applyProtection="0">
      <alignment vertical="center" wrapText="1"/>
    </xf>
    <xf numFmtId="0" fontId="0" fillId="5" borderId="13" applyNumberFormat="0" applyFont="1" applyFill="1" applyBorder="1" applyAlignment="1" applyProtection="0">
      <alignment vertical="center" wrapText="1"/>
    </xf>
    <xf numFmtId="0" fontId="0" fillId="5" borderId="14" applyNumberFormat="0" applyFont="1" applyFill="1" applyBorder="1" applyAlignment="1" applyProtection="0">
      <alignment vertical="center" wrapText="1"/>
    </xf>
    <xf numFmtId="49" fontId="12" fillId="4" borderId="5" applyNumberFormat="1" applyFont="1" applyFill="1" applyBorder="1" applyAlignment="1" applyProtection="0">
      <alignment vertical="bottom"/>
    </xf>
    <xf numFmtId="49" fontId="16" fillId="4" borderId="5" applyNumberFormat="1" applyFont="1" applyFill="1" applyBorder="1" applyAlignment="1" applyProtection="0">
      <alignment vertical="bottom" wrapText="1"/>
    </xf>
    <xf numFmtId="0" fontId="0" fillId="4" borderId="13" applyNumberFormat="0" applyFont="1" applyFill="1" applyBorder="1" applyAlignment="1" applyProtection="0">
      <alignment vertical="center"/>
    </xf>
    <xf numFmtId="49" fontId="0" fillId="5" borderId="12" applyNumberFormat="1" applyFont="1" applyFill="1" applyBorder="1" applyAlignment="1" applyProtection="0">
      <alignment vertical="center"/>
    </xf>
    <xf numFmtId="0" fontId="0" fillId="5" borderId="13" applyNumberFormat="0" applyFont="1" applyFill="1" applyBorder="1" applyAlignment="1" applyProtection="0">
      <alignment vertical="center"/>
    </xf>
    <xf numFmtId="0" fontId="0" fillId="5" borderId="14" applyNumberFormat="0" applyFont="1" applyFill="1" applyBorder="1" applyAlignment="1" applyProtection="0">
      <alignment vertical="center"/>
    </xf>
    <xf numFmtId="0" fontId="0" fillId="5" borderId="21" applyNumberFormat="0" applyFont="1" applyFill="1" applyBorder="1" applyAlignment="1" applyProtection="0">
      <alignment vertical="center" wrapText="1"/>
    </xf>
    <xf numFmtId="0" fontId="0" fillId="5" borderId="19" applyNumberFormat="0" applyFont="1" applyFill="1" applyBorder="1" applyAlignment="1" applyProtection="0">
      <alignment vertical="center" wrapText="1"/>
    </xf>
    <xf numFmtId="0" fontId="0" fillId="5" borderId="22" applyNumberFormat="0" applyFont="1" applyFill="1" applyBorder="1" applyAlignment="1" applyProtection="0">
      <alignment vertical="center" wrapText="1"/>
    </xf>
    <xf numFmtId="0" fontId="0" fillId="5" borderId="23" applyNumberFormat="0" applyFont="1" applyFill="1" applyBorder="1" applyAlignment="1" applyProtection="0">
      <alignment vertical="center" wrapText="1"/>
    </xf>
    <xf numFmtId="0" fontId="0" fillId="5" borderId="10" applyNumberFormat="0" applyFont="1" applyFill="1" applyBorder="1" applyAlignment="1" applyProtection="0">
      <alignment vertical="center" wrapText="1"/>
    </xf>
    <xf numFmtId="0" fontId="0" fillId="5" borderId="24" applyNumberFormat="0" applyFont="1" applyFill="1" applyBorder="1" applyAlignment="1" applyProtection="0">
      <alignment vertical="center" wrapText="1"/>
    </xf>
    <xf numFmtId="0" fontId="0" fillId="4" borderId="19" applyNumberFormat="0" applyFont="1" applyFill="1" applyBorder="1" applyAlignment="1" applyProtection="0">
      <alignment vertical="center"/>
    </xf>
    <xf numFmtId="0" fontId="0" fillId="5" borderId="20" applyNumberFormat="0" applyFont="1" applyFill="1" applyBorder="1" applyAlignment="1" applyProtection="0">
      <alignment vertical="center"/>
    </xf>
    <xf numFmtId="49" fontId="0" fillId="4" borderId="4" applyNumberFormat="1" applyFont="1" applyFill="1" applyBorder="1" applyAlignment="1" applyProtection="0">
      <alignment horizontal="left" vertical="top" wrapText="1"/>
    </xf>
    <xf numFmtId="0" fontId="0" fillId="4" borderId="5" applyNumberFormat="0" applyFont="1" applyFill="1" applyBorder="1" applyAlignment="1" applyProtection="0">
      <alignment horizontal="left" vertical="top" wrapText="1"/>
    </xf>
    <xf numFmtId="0" fontId="0" fillId="4" borderId="11" applyNumberFormat="0" applyFont="1" applyFill="1" applyBorder="1" applyAlignment="1" applyProtection="0">
      <alignment horizontal="left" vertical="top" wrapText="1"/>
    </xf>
    <xf numFmtId="0" fontId="0" fillId="5" borderId="15" applyNumberFormat="0" applyFont="1" applyFill="1" applyBorder="1" applyAlignment="1" applyProtection="0">
      <alignment vertical="center" wrapText="1"/>
    </xf>
    <xf numFmtId="0" fontId="0" fillId="5" borderId="5" applyNumberFormat="0" applyFont="1" applyFill="1" applyBorder="1" applyAlignment="1" applyProtection="0">
      <alignment vertical="center" wrapText="1"/>
    </xf>
    <xf numFmtId="0" fontId="0" fillId="5" borderId="11" applyNumberFormat="0" applyFont="1" applyFill="1" applyBorder="1" applyAlignment="1" applyProtection="0">
      <alignment vertical="center" wrapText="1"/>
    </xf>
    <xf numFmtId="0" fontId="0" fillId="4" borderId="11" applyNumberFormat="0" applyFont="1" applyFill="1" applyBorder="1" applyAlignment="1" applyProtection="0">
      <alignment vertical="bottom"/>
    </xf>
    <xf numFmtId="0" fontId="14" fillId="4" borderId="5" applyNumberFormat="0" applyFont="1" applyFill="1" applyBorder="1" applyAlignment="1" applyProtection="0">
      <alignment vertical="top"/>
    </xf>
    <xf numFmtId="0" fontId="13" fillId="4" borderId="4" applyNumberFormat="0" applyFont="1" applyFill="1" applyBorder="1" applyAlignment="1" applyProtection="0">
      <alignment horizontal="center" vertical="center"/>
    </xf>
    <xf numFmtId="0" fontId="13" fillId="4" borderId="5" applyNumberFormat="0" applyFont="1" applyFill="1" applyBorder="1" applyAlignment="1" applyProtection="0">
      <alignment horizontal="center" vertical="center"/>
    </xf>
    <xf numFmtId="49" fontId="0" fillId="4" borderId="4" applyNumberFormat="1" applyFont="1" applyFill="1" applyBorder="1" applyAlignment="1" applyProtection="0">
      <alignment horizontal="justify" vertical="top" wrapText="1"/>
    </xf>
    <xf numFmtId="0" fontId="0" fillId="4" borderId="5" applyNumberFormat="0" applyFont="1" applyFill="1" applyBorder="1" applyAlignment="1" applyProtection="0">
      <alignment horizontal="justify" vertical="top" wrapText="1"/>
    </xf>
    <xf numFmtId="49" fontId="14" fillId="4" borderId="5" applyNumberFormat="1" applyFont="1" applyFill="1" applyBorder="1" applyAlignment="1" applyProtection="0">
      <alignment vertical="bottom"/>
    </xf>
    <xf numFmtId="49" fontId="0" fillId="4" borderId="4" applyNumberFormat="1" applyFont="1" applyFill="1" applyBorder="1" applyAlignment="1" applyProtection="0">
      <alignment horizontal="left" vertical="bottom" wrapText="1"/>
    </xf>
    <xf numFmtId="0" fontId="0" fillId="4" borderId="5" applyNumberFormat="0" applyFont="1" applyFill="1" applyBorder="1" applyAlignment="1" applyProtection="0">
      <alignment horizontal="left" vertical="bottom" wrapText="1"/>
    </xf>
    <xf numFmtId="0" fontId="0" fillId="4" borderId="4" applyNumberFormat="0" applyFont="1" applyFill="1" applyBorder="1" applyAlignment="1" applyProtection="0">
      <alignment horizontal="left" vertical="bottom" wrapText="1"/>
    </xf>
    <xf numFmtId="0" fontId="0" fillId="5" borderId="20" applyNumberFormat="0" applyFont="1" applyFill="1" applyBorder="1" applyAlignment="1" applyProtection="0">
      <alignment horizontal="center" vertical="bottom"/>
    </xf>
    <xf numFmtId="0" fontId="0" fillId="4" borderId="4" applyNumberFormat="0" applyFont="1" applyFill="1" applyBorder="1" applyAlignment="1" applyProtection="0">
      <alignment vertical="top"/>
    </xf>
    <xf numFmtId="0" fontId="18" fillId="4" borderId="5" applyNumberFormat="0" applyFont="1" applyFill="1" applyBorder="1" applyAlignment="1" applyProtection="0">
      <alignment vertical="bottom"/>
    </xf>
    <xf numFmtId="49" fontId="0" fillId="4" borderId="4" applyNumberFormat="1" applyFont="1" applyFill="1" applyBorder="1" applyAlignment="1" applyProtection="0">
      <alignment vertical="bottom"/>
    </xf>
    <xf numFmtId="0" fontId="0" fillId="5" borderId="10" applyNumberFormat="0" applyFont="1" applyFill="1" applyBorder="1" applyAlignment="1" applyProtection="0">
      <alignment horizontal="left" vertical="bottom"/>
    </xf>
    <xf numFmtId="0" fontId="0" fillId="5" borderId="10" applyNumberFormat="0" applyFont="1" applyFill="1" applyBorder="1" applyAlignment="1" applyProtection="0">
      <alignment horizontal="center" vertical="bottom"/>
    </xf>
    <xf numFmtId="49" fontId="19" fillId="4" borderId="19" applyNumberFormat="1" applyFont="1" applyFill="1" applyBorder="1" applyAlignment="1" applyProtection="0">
      <alignment horizontal="center" vertical="bottom"/>
    </xf>
    <xf numFmtId="0" fontId="19" fillId="4" borderId="19" applyNumberFormat="0" applyFont="1" applyFill="1" applyBorder="1" applyAlignment="1" applyProtection="0">
      <alignment horizontal="center" vertical="bottom"/>
    </xf>
    <xf numFmtId="49" fontId="19" fillId="4" borderId="5" applyNumberFormat="1" applyFont="1" applyFill="1" applyBorder="1" applyAlignment="1" applyProtection="0">
      <alignment horizontal="center" vertical="bottom"/>
    </xf>
    <xf numFmtId="0" fontId="19" fillId="4" borderId="5" applyNumberFormat="0" applyFont="1" applyFill="1" applyBorder="1" applyAlignment="1" applyProtection="0">
      <alignment horizontal="center" vertical="bottom"/>
    </xf>
    <xf numFmtId="49" fontId="0" fillId="4" borderId="5" applyNumberFormat="1" applyFont="1" applyFill="1" applyBorder="1" applyAlignment="1" applyProtection="0">
      <alignment horizontal="center" vertical="bottom"/>
    </xf>
    <xf numFmtId="0" fontId="19" fillId="4" borderId="5" applyNumberFormat="0" applyFont="1" applyFill="1" applyBorder="1" applyAlignment="1" applyProtection="0">
      <alignment horizontal="center" vertical="top"/>
    </xf>
    <xf numFmtId="49" fontId="0" fillId="4" borderId="5" applyNumberFormat="1" applyFont="1" applyFill="1" applyBorder="1" applyAlignment="1" applyProtection="0">
      <alignment horizontal="center" vertical="top"/>
    </xf>
    <xf numFmtId="0" fontId="0" fillId="4" borderId="5" applyNumberFormat="0" applyFont="1" applyFill="1" applyBorder="1" applyAlignment="1" applyProtection="0">
      <alignment horizontal="center" vertical="top"/>
    </xf>
    <xf numFmtId="49" fontId="0" fillId="4" borderId="5" applyNumberFormat="1" applyFont="1" applyFill="1" applyBorder="1" applyAlignment="1" applyProtection="0">
      <alignment horizontal="center" vertical="center"/>
    </xf>
    <xf numFmtId="0" fontId="0" fillId="4" borderId="5" applyNumberFormat="0" applyFont="1" applyFill="1" applyBorder="1" applyAlignment="1" applyProtection="0">
      <alignment horizontal="center" vertical="center"/>
    </xf>
    <xf numFmtId="49" fontId="20" fillId="4" borderId="4" applyNumberFormat="1" applyFont="1" applyFill="1" applyBorder="1" applyAlignment="1" applyProtection="0">
      <alignment vertical="bottom"/>
    </xf>
    <xf numFmtId="49" fontId="19" fillId="4" borderId="4" applyNumberFormat="1" applyFont="1" applyFill="1" applyBorder="1" applyAlignment="1" applyProtection="0">
      <alignment horizontal="justify" vertical="bottom" wrapText="1"/>
    </xf>
    <xf numFmtId="0" fontId="19" fillId="4" borderId="5" applyNumberFormat="0" applyFont="1" applyFill="1" applyBorder="1" applyAlignment="1" applyProtection="0">
      <alignment horizontal="justify" vertical="bottom"/>
    </xf>
    <xf numFmtId="0" fontId="0" fillId="4" borderId="7" applyNumberFormat="0" applyFont="1" applyFill="1" applyBorder="1" applyAlignment="1" applyProtection="0">
      <alignment vertical="bottom"/>
    </xf>
    <xf numFmtId="49" fontId="0" fillId="4" borderId="8" applyNumberFormat="1" applyFont="1" applyFill="1" applyBorder="1" applyAlignment="1" applyProtection="0">
      <alignment horizontal="center" vertical="center"/>
    </xf>
    <xf numFmtId="0" fontId="0" fillId="4" borderId="8" applyNumberFormat="0" applyFont="1" applyFill="1" applyBorder="1" applyAlignment="1" applyProtection="0">
      <alignment vertical="bottom" wrapText="1"/>
    </xf>
    <xf numFmtId="0" fontId="0" applyNumberFormat="1" applyFont="1" applyFill="0" applyBorder="0" applyAlignment="1" applyProtection="0">
      <alignment vertical="bottom"/>
    </xf>
    <xf numFmtId="49" fontId="8" fillId="7" borderId="12" applyNumberFormat="1" applyFont="1" applyFill="1" applyBorder="1" applyAlignment="1" applyProtection="0">
      <alignment horizontal="center" vertical="center"/>
    </xf>
    <xf numFmtId="0" fontId="8" fillId="7" borderId="14" applyNumberFormat="0" applyFont="1" applyFill="1" applyBorder="1" applyAlignment="1" applyProtection="0">
      <alignment horizontal="center" vertical="center"/>
    </xf>
    <xf numFmtId="49" fontId="8" fillId="4" borderId="25" applyNumberFormat="1" applyFont="1" applyFill="1" applyBorder="1" applyAlignment="1" applyProtection="0">
      <alignment horizontal="center" vertical="center" wrapText="1"/>
    </xf>
    <xf numFmtId="2" fontId="8" fillId="4" borderId="2" applyNumberFormat="1" applyFont="1" applyFill="1" applyBorder="1" applyAlignment="1" applyProtection="0">
      <alignment horizontal="center" vertical="center" wrapText="1"/>
    </xf>
    <xf numFmtId="49" fontId="22" fillId="4" borderId="2" applyNumberFormat="1" applyFont="1" applyFill="1" applyBorder="1" applyAlignment="1" applyProtection="0">
      <alignment horizontal="right" vertical="center"/>
    </xf>
    <xf numFmtId="49" fontId="23" fillId="8" borderId="2" applyNumberFormat="1" applyFont="1" applyFill="1" applyBorder="1" applyAlignment="1" applyProtection="0">
      <alignment horizontal="center" vertical="top"/>
    </xf>
    <xf numFmtId="0" fontId="23" fillId="8" borderId="2" applyNumberFormat="0" applyFont="1" applyFill="1" applyBorder="1" applyAlignment="1" applyProtection="0">
      <alignment horizontal="center" vertical="top"/>
    </xf>
    <xf numFmtId="0" fontId="0" fillId="4" borderId="3" applyNumberFormat="1" applyFont="1" applyFill="1" applyBorder="1" applyAlignment="1" applyProtection="0">
      <alignment vertical="bottom"/>
    </xf>
    <xf numFmtId="0" fontId="0" fillId="4" borderId="26" applyNumberFormat="0" applyFont="1" applyFill="1" applyBorder="1" applyAlignment="1" applyProtection="0">
      <alignment vertical="bottom"/>
    </xf>
    <xf numFmtId="0" fontId="0" fillId="4" borderId="27"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0" fontId="0" fillId="4" borderId="28" applyNumberFormat="0" applyFont="1" applyFill="1" applyBorder="1" applyAlignment="1" applyProtection="0">
      <alignment vertical="bottom"/>
    </xf>
    <xf numFmtId="0" fontId="0" fillId="4" borderId="29" applyNumberFormat="0" applyFont="1" applyFill="1" applyBorder="1" applyAlignment="1" applyProtection="0">
      <alignment vertical="bottom"/>
    </xf>
    <xf numFmtId="49" fontId="8" fillId="7" borderId="20" applyNumberFormat="1" applyFont="1" applyFill="1" applyBorder="1" applyAlignment="1" applyProtection="0">
      <alignment horizontal="right" vertical="bottom"/>
    </xf>
    <xf numFmtId="0" fontId="24" fillId="9" borderId="20" applyNumberFormat="0" applyFont="1" applyFill="1" applyBorder="1" applyAlignment="1" applyProtection="0">
      <alignment horizontal="center" vertical="bottom"/>
    </xf>
    <xf numFmtId="0" fontId="24" fillId="4" borderId="15" applyNumberFormat="0" applyFont="1" applyFill="1" applyBorder="1" applyAlignment="1" applyProtection="0">
      <alignment vertical="bottom"/>
    </xf>
    <xf numFmtId="0" fontId="24" fillId="4" borderId="5" applyNumberFormat="0" applyFont="1" applyFill="1" applyBorder="1" applyAlignment="1" applyProtection="0">
      <alignment horizontal="right" vertical="bottom"/>
    </xf>
    <xf numFmtId="0" fontId="24" fillId="4" borderId="5" applyNumberFormat="0" applyFont="1" applyFill="1" applyBorder="1" applyAlignment="1" applyProtection="0">
      <alignment vertical="bottom"/>
    </xf>
    <xf numFmtId="0" fontId="8" fillId="4" borderId="5" applyNumberFormat="0" applyFont="1" applyFill="1" applyBorder="1" applyAlignment="1" applyProtection="0">
      <alignment horizontal="center" vertical="center"/>
    </xf>
    <xf numFmtId="0" fontId="0" fillId="4" borderId="5" applyNumberFormat="0" applyFont="1" applyFill="1" applyBorder="1" applyAlignment="1" applyProtection="0">
      <alignment horizontal="left" vertical="center" wrapText="1"/>
    </xf>
    <xf numFmtId="0" fontId="0" fillId="9" borderId="20" applyNumberFormat="0" applyFont="1" applyFill="1" applyBorder="1" applyAlignment="1" applyProtection="0">
      <alignment vertical="bottom"/>
    </xf>
    <xf numFmtId="0" fontId="8" fillId="4" borderId="5" applyNumberFormat="0" applyFont="1" applyFill="1" applyBorder="1" applyAlignment="1" applyProtection="0">
      <alignment vertical="bottom"/>
    </xf>
    <xf numFmtId="0" fontId="22" fillId="4" borderId="5" applyNumberFormat="0" applyFont="1" applyFill="1" applyBorder="1" applyAlignment="1" applyProtection="0">
      <alignment vertical="bottom"/>
    </xf>
    <xf numFmtId="17" fontId="25" fillId="4" borderId="5" applyNumberFormat="1" applyFont="1" applyFill="1" applyBorder="1" applyAlignment="1" applyProtection="0">
      <alignment vertical="center"/>
    </xf>
    <xf numFmtId="0" fontId="24" fillId="4" borderId="18" applyNumberFormat="0" applyFont="1" applyFill="1" applyBorder="1" applyAlignment="1" applyProtection="0">
      <alignment horizontal="right" vertical="bottom"/>
    </xf>
    <xf numFmtId="0" fontId="24" fillId="4" borderId="13" applyNumberFormat="0" applyFont="1" applyFill="1" applyBorder="1" applyAlignment="1" applyProtection="0">
      <alignment horizontal="right" vertical="bottom"/>
    </xf>
    <xf numFmtId="0" fontId="24" fillId="4" borderId="10" applyNumberFormat="0" applyFont="1" applyFill="1" applyBorder="1" applyAlignment="1" applyProtection="0">
      <alignment horizontal="right" vertical="bottom"/>
    </xf>
    <xf numFmtId="49" fontId="8" fillId="7" borderId="12" applyNumberFormat="1" applyFont="1" applyFill="1" applyBorder="1" applyAlignment="1" applyProtection="0">
      <alignment horizontal="right" vertical="bottom"/>
    </xf>
    <xf numFmtId="0" fontId="8" fillId="7" borderId="14" applyNumberFormat="0" applyFont="1" applyFill="1" applyBorder="1" applyAlignment="1" applyProtection="0">
      <alignment horizontal="right" vertical="bottom"/>
    </xf>
    <xf numFmtId="0" fontId="8" fillId="4" borderId="12" applyNumberFormat="0" applyFont="1" applyFill="1" applyBorder="1" applyAlignment="1" applyProtection="0">
      <alignment horizontal="left" vertical="center"/>
    </xf>
    <xf numFmtId="0" fontId="8" fillId="4" borderId="13" applyNumberFormat="0" applyFont="1" applyFill="1" applyBorder="1" applyAlignment="1" applyProtection="0">
      <alignment horizontal="left" vertical="center"/>
    </xf>
    <xf numFmtId="0" fontId="8" fillId="4" borderId="14" applyNumberFormat="0" applyFont="1" applyFill="1" applyBorder="1" applyAlignment="1" applyProtection="0">
      <alignment horizontal="left" vertical="center"/>
    </xf>
    <xf numFmtId="0" fontId="8" fillId="4" borderId="23" applyNumberFormat="0" applyFont="1" applyFill="1" applyBorder="1" applyAlignment="1" applyProtection="0">
      <alignment horizontal="left" vertical="center"/>
    </xf>
    <xf numFmtId="0" fontId="8" fillId="4" borderId="5" applyNumberFormat="0" applyFont="1" applyFill="1" applyBorder="1" applyAlignment="1" applyProtection="0">
      <alignment horizontal="right" vertical="bottom"/>
    </xf>
    <xf numFmtId="14" fontId="0" fillId="4" borderId="5" applyNumberFormat="1" applyFont="1" applyFill="1" applyBorder="1" applyAlignment="1" applyProtection="0">
      <alignment horizontal="left" vertical="center"/>
    </xf>
    <xf numFmtId="49" fontId="8" fillId="7" borderId="12" applyNumberFormat="1" applyFont="1" applyFill="1" applyBorder="1" applyAlignment="1" applyProtection="0">
      <alignment horizontal="right" vertical="center"/>
    </xf>
    <xf numFmtId="0" fontId="8" fillId="7" borderId="14" applyNumberFormat="0" applyFont="1" applyFill="1" applyBorder="1" applyAlignment="1" applyProtection="0">
      <alignment horizontal="right" vertical="center"/>
    </xf>
    <xf numFmtId="49" fontId="8" fillId="4" borderId="12" applyNumberFormat="1" applyFont="1" applyFill="1" applyBorder="1" applyAlignment="1" applyProtection="0">
      <alignment horizontal="left" vertical="center"/>
    </xf>
    <xf numFmtId="49" fontId="8" fillId="7" borderId="20" applyNumberFormat="1" applyFont="1" applyFill="1" applyBorder="1" applyAlignment="1" applyProtection="0">
      <alignment horizontal="center" vertical="bottom" wrapText="1"/>
    </xf>
    <xf numFmtId="0" fontId="8" fillId="4" borderId="15" applyNumberFormat="0" applyFont="1" applyFill="1" applyBorder="1" applyAlignment="1" applyProtection="0">
      <alignment vertical="bottom"/>
    </xf>
    <xf numFmtId="49" fontId="9" fillId="4" borderId="5" applyNumberFormat="1" applyFont="1" applyFill="1" applyBorder="1" applyAlignment="1" applyProtection="0">
      <alignment vertical="bottom"/>
    </xf>
    <xf numFmtId="0" fontId="0" fillId="4" borderId="5" applyNumberFormat="0" applyFont="1" applyFill="1" applyBorder="1" applyAlignment="1" applyProtection="0">
      <alignment horizontal="left" vertical="center"/>
    </xf>
    <xf numFmtId="0" fontId="26" fillId="4" borderId="5" applyNumberFormat="0" applyFont="1" applyFill="1" applyBorder="1" applyAlignment="1" applyProtection="0">
      <alignment vertical="bottom"/>
    </xf>
    <xf numFmtId="0" fontId="8" fillId="9" borderId="12" applyNumberFormat="0" applyFont="1" applyFill="1" applyBorder="1" applyAlignment="1" applyProtection="0">
      <alignment horizontal="left" vertical="center"/>
    </xf>
    <xf numFmtId="0" fontId="8" fillId="9" borderId="13" applyNumberFormat="0" applyFont="1" applyFill="1" applyBorder="1" applyAlignment="1" applyProtection="0">
      <alignment horizontal="left" vertical="center"/>
    </xf>
    <xf numFmtId="0" fontId="8" fillId="9" borderId="14" applyNumberFormat="0" applyFont="1" applyFill="1" applyBorder="1" applyAlignment="1" applyProtection="0">
      <alignment horizontal="left" vertical="center"/>
    </xf>
    <xf numFmtId="0" fontId="8" fillId="9" borderId="20" applyNumberFormat="0" applyFont="1" applyFill="1" applyBorder="1" applyAlignment="1" applyProtection="0">
      <alignment horizontal="center" vertical="center"/>
    </xf>
    <xf numFmtId="0" fontId="9" fillId="4" borderId="5" applyNumberFormat="0" applyFont="1" applyFill="1" applyBorder="1" applyAlignment="1" applyProtection="0">
      <alignment vertical="bottom"/>
    </xf>
    <xf numFmtId="0" fontId="27" fillId="4" borderId="5" applyNumberFormat="1" applyFont="1" applyFill="1" applyBorder="1" applyAlignment="1" applyProtection="0">
      <alignment vertical="bottom"/>
    </xf>
    <xf numFmtId="0" fontId="24" fillId="4" borderId="19" applyNumberFormat="0" applyFont="1" applyFill="1" applyBorder="1" applyAlignment="1" applyProtection="0">
      <alignment horizontal="right" vertical="bottom"/>
    </xf>
    <xf numFmtId="0" fontId="24" fillId="4" borderId="15" applyNumberFormat="0" applyFont="1" applyFill="1" applyBorder="1" applyAlignment="1" applyProtection="0">
      <alignment horizontal="right" vertical="bottom"/>
    </xf>
    <xf numFmtId="0" fontId="8" fillId="4" borderId="5" applyNumberFormat="0" applyFont="1" applyFill="1" applyBorder="1" applyAlignment="1" applyProtection="0">
      <alignment horizontal="left" vertical="bottom"/>
    </xf>
    <xf numFmtId="49" fontId="8" fillId="7" borderId="12" applyNumberFormat="1" applyFont="1" applyFill="1" applyBorder="1" applyAlignment="1" applyProtection="0">
      <alignment horizontal="right" vertical="bottom" wrapText="1"/>
    </xf>
    <xf numFmtId="0" fontId="8" fillId="7" borderId="14" applyNumberFormat="0" applyFont="1" applyFill="1" applyBorder="1" applyAlignment="1" applyProtection="0">
      <alignment horizontal="right" vertical="bottom" wrapText="1"/>
    </xf>
    <xf numFmtId="0" fontId="8" fillId="9" borderId="20" applyNumberFormat="0" applyFont="1" applyFill="1" applyBorder="1" applyAlignment="1" applyProtection="0">
      <alignment horizontal="left" vertical="center"/>
    </xf>
    <xf numFmtId="0" fontId="28" fillId="4" borderId="21" applyNumberFormat="0" applyFont="1" applyFill="1" applyBorder="1" applyAlignment="1" applyProtection="0">
      <alignment vertical="center"/>
    </xf>
    <xf numFmtId="0" fontId="8" fillId="4" borderId="19" applyNumberFormat="0" applyFont="1" applyFill="1" applyBorder="1" applyAlignment="1" applyProtection="0">
      <alignment vertical="center"/>
    </xf>
    <xf numFmtId="49" fontId="8" fillId="7" borderId="12" applyNumberFormat="1" applyFont="1" applyFill="1" applyBorder="1" applyAlignment="1" applyProtection="0">
      <alignment horizontal="right" vertical="center" wrapText="1"/>
    </xf>
    <xf numFmtId="0" fontId="8" fillId="7" borderId="14" applyNumberFormat="0" applyFont="1" applyFill="1" applyBorder="1" applyAlignment="1" applyProtection="0">
      <alignment horizontal="right" vertical="center" wrapText="1"/>
    </xf>
    <xf numFmtId="0" fontId="25" fillId="4" borderId="15" applyNumberFormat="0" applyFont="1" applyFill="1" applyBorder="1" applyAlignment="1" applyProtection="0">
      <alignment horizontal="left" vertical="top" wrapText="1"/>
    </xf>
    <xf numFmtId="0" fontId="25" fillId="4" borderId="5" applyNumberFormat="0" applyFont="1" applyFill="1" applyBorder="1" applyAlignment="1" applyProtection="0">
      <alignment horizontal="left" vertical="top" wrapText="1"/>
    </xf>
    <xf numFmtId="49" fontId="8" fillId="9" borderId="20" applyNumberFormat="1" applyFont="1" applyFill="1" applyBorder="1" applyAlignment="1" applyProtection="0">
      <alignment horizontal="center" vertical="center"/>
    </xf>
    <xf numFmtId="0" fontId="8" fillId="4" borderId="15" applyNumberFormat="0" applyFont="1" applyFill="1" applyBorder="1" applyAlignment="1" applyProtection="0">
      <alignment vertical="center"/>
    </xf>
    <xf numFmtId="0" fontId="8" fillId="4" borderId="5" applyNumberFormat="0" applyFont="1" applyFill="1" applyBorder="1" applyAlignment="1" applyProtection="0">
      <alignment vertical="center"/>
    </xf>
    <xf numFmtId="0" fontId="8" fillId="9" borderId="20" applyNumberFormat="0" applyFont="1" applyFill="1" applyBorder="1" applyAlignment="1" applyProtection="0">
      <alignment horizontal="center" vertical="center" wrapText="1"/>
    </xf>
    <xf numFmtId="49" fontId="25" fillId="4" borderId="15" applyNumberFormat="1" applyFont="1" applyFill="1" applyBorder="1" applyAlignment="1" applyProtection="0">
      <alignment horizontal="left" vertical="center" wrapText="1"/>
    </xf>
    <xf numFmtId="0" fontId="25" fillId="4" borderId="5" applyNumberFormat="0" applyFont="1" applyFill="1" applyBorder="1" applyAlignment="1" applyProtection="0">
      <alignment horizontal="left" vertical="center" wrapText="1"/>
    </xf>
    <xf numFmtId="49" fontId="25" fillId="4" borderId="15" applyNumberFormat="1" applyFont="1" applyFill="1" applyBorder="1" applyAlignment="1" applyProtection="0">
      <alignment vertical="center" wrapText="1"/>
    </xf>
    <xf numFmtId="49" fontId="25" fillId="4" borderId="5" applyNumberFormat="1" applyFont="1" applyFill="1" applyBorder="1" applyAlignment="1" applyProtection="0">
      <alignment horizontal="left" vertical="center" wrapText="1"/>
    </xf>
    <xf numFmtId="0" fontId="25" fillId="4" borderId="5" applyNumberFormat="0" applyFont="1" applyFill="1" applyBorder="1" applyAlignment="1" applyProtection="0">
      <alignment vertical="center" wrapText="1"/>
    </xf>
    <xf numFmtId="49" fontId="27" fillId="4" borderId="5" applyNumberFormat="1" applyFont="1" applyFill="1" applyBorder="1" applyAlignment="1" applyProtection="0">
      <alignment horizontal="right" vertical="bottom"/>
    </xf>
    <xf numFmtId="49" fontId="8" fillId="4" borderId="20" applyNumberFormat="1" applyFont="1" applyFill="1" applyBorder="1" applyAlignment="1" applyProtection="0">
      <alignment horizontal="center" vertical="center"/>
    </xf>
    <xf numFmtId="1" fontId="8" fillId="10" borderId="20" applyNumberFormat="1" applyFont="1" applyFill="1" applyBorder="1" applyAlignment="1" applyProtection="0">
      <alignment horizontal="center" vertical="bottom"/>
    </xf>
    <xf numFmtId="0" fontId="8" fillId="10" borderId="20" applyNumberFormat="0" applyFont="1" applyFill="1" applyBorder="1" applyAlignment="1" applyProtection="0">
      <alignment horizontal="center" vertical="center"/>
    </xf>
    <xf numFmtId="0" fontId="24" fillId="4" borderId="30" applyNumberFormat="0" applyFont="1" applyFill="1" applyBorder="1" applyAlignment="1" applyProtection="0">
      <alignment horizontal="right" vertical="bottom"/>
    </xf>
    <xf numFmtId="0" fontId="24" fillId="4" borderId="19" applyNumberFormat="0" applyFont="1" applyFill="1" applyBorder="1" applyAlignment="1" applyProtection="0">
      <alignment horizontal="center" vertical="bottom"/>
    </xf>
    <xf numFmtId="0" fontId="24" fillId="4" borderId="4" applyNumberFormat="0" applyFont="1" applyFill="1" applyBorder="1" applyAlignment="1" applyProtection="0">
      <alignment horizontal="right" vertical="bottom"/>
    </xf>
    <xf numFmtId="49" fontId="29" fillId="4" borderId="5" applyNumberFormat="1" applyFont="1" applyFill="1" applyBorder="1" applyAlignment="1" applyProtection="0">
      <alignment horizontal="left" vertical="top" wrapText="1"/>
    </xf>
    <xf numFmtId="0" fontId="29" fillId="4" borderId="5" applyNumberFormat="0" applyFont="1" applyFill="1" applyBorder="1" applyAlignment="1" applyProtection="0">
      <alignment horizontal="left" vertical="top" wrapText="1"/>
    </xf>
    <xf numFmtId="0" fontId="30" fillId="4" borderId="5" applyNumberFormat="0" applyFont="1" applyFill="1" applyBorder="1" applyAlignment="1" applyProtection="0">
      <alignment vertical="top" wrapText="1"/>
    </xf>
    <xf numFmtId="0" fontId="27" fillId="4" borderId="5" applyNumberFormat="0" applyFont="1" applyFill="1" applyBorder="1" applyAlignment="1" applyProtection="0">
      <alignment vertical="bottom"/>
    </xf>
    <xf numFmtId="0" fontId="24" fillId="4" borderId="31" applyNumberFormat="0" applyFont="1" applyFill="1" applyBorder="1" applyAlignment="1" applyProtection="0">
      <alignment horizontal="right" vertical="bottom"/>
    </xf>
    <xf numFmtId="0" fontId="24" fillId="4" borderId="31" applyNumberFormat="0" applyFont="1" applyFill="1" applyBorder="1" applyAlignment="1" applyProtection="0">
      <alignment vertical="bottom"/>
    </xf>
    <xf numFmtId="0" fontId="27" fillId="4" borderId="31" applyNumberFormat="0" applyFont="1" applyFill="1" applyBorder="1" applyAlignment="1" applyProtection="0">
      <alignment vertical="bottom"/>
    </xf>
    <xf numFmtId="0" fontId="24" fillId="4" borderId="7" applyNumberFormat="0" applyFont="1" applyFill="1" applyBorder="1" applyAlignment="1" applyProtection="0">
      <alignment vertical="bottom"/>
    </xf>
    <xf numFmtId="0" fontId="24" fillId="4" borderId="26" applyNumberFormat="0" applyFont="1" applyFill="1" applyBorder="1" applyAlignment="1" applyProtection="0">
      <alignment horizontal="right" vertical="bottom"/>
    </xf>
    <xf numFmtId="0" fontId="24" fillId="4" borderId="26" applyNumberFormat="0" applyFont="1" applyFill="1" applyBorder="1" applyAlignment="1" applyProtection="0">
      <alignment vertical="bottom"/>
    </xf>
    <xf numFmtId="0" fontId="26" fillId="4" borderId="26" applyNumberFormat="0" applyFont="1" applyFill="1" applyBorder="1" applyAlignment="1" applyProtection="0">
      <alignment vertical="bottom"/>
    </xf>
    <xf numFmtId="0" fontId="24" fillId="4" borderId="29" applyNumberFormat="0" applyFont="1" applyFill="1" applyBorder="1" applyAlignment="1" applyProtection="0">
      <alignment vertical="bottom"/>
    </xf>
    <xf numFmtId="0" fontId="24" fillId="4" borderId="27" applyNumberFormat="0" applyFont="1" applyFill="1" applyBorder="1" applyAlignment="1" applyProtection="0">
      <alignment vertical="bottom"/>
    </xf>
    <xf numFmtId="0" fontId="26" fillId="4" borderId="27" applyNumberFormat="0" applyFont="1" applyFill="1" applyBorder="1" applyAlignment="1" applyProtection="0">
      <alignment vertical="bottom"/>
    </xf>
    <xf numFmtId="0" fontId="24" fillId="4" borderId="1" applyNumberFormat="0" applyFont="1" applyFill="1" applyBorder="1" applyAlignment="1" applyProtection="0">
      <alignment vertical="bottom"/>
    </xf>
    <xf numFmtId="0" fontId="0" fillId="4" borderId="32" applyNumberFormat="0" applyFont="1" applyFill="1" applyBorder="1" applyAlignment="1" applyProtection="0">
      <alignment vertical="bottom"/>
    </xf>
    <xf numFmtId="0" fontId="0" fillId="4" borderId="31" applyNumberFormat="0" applyFont="1" applyFill="1" applyBorder="1" applyAlignment="1" applyProtection="0">
      <alignment vertical="bottom"/>
    </xf>
    <xf numFmtId="0" fontId="0" applyNumberFormat="1" applyFont="1" applyFill="0" applyBorder="0" applyAlignment="1" applyProtection="0">
      <alignment vertical="bottom"/>
    </xf>
    <xf numFmtId="0" fontId="24" borderId="1" applyNumberFormat="0" applyFont="1" applyFill="0" applyBorder="1" applyAlignment="1" applyProtection="0">
      <alignment horizontal="right" vertical="bottom"/>
    </xf>
    <xf numFmtId="0" fontId="31" fillId="4" borderId="2" applyNumberFormat="0" applyFont="1" applyFill="1" applyBorder="1" applyAlignment="1" applyProtection="0">
      <alignment vertical="center"/>
    </xf>
    <xf numFmtId="0" fontId="24" borderId="2" applyNumberFormat="0" applyFont="1" applyFill="0" applyBorder="1" applyAlignment="1" applyProtection="0">
      <alignment vertical="bottom"/>
    </xf>
    <xf numFmtId="0" fontId="24" borderId="33" applyNumberFormat="0" applyFont="1" applyFill="0" applyBorder="1" applyAlignment="1" applyProtection="0">
      <alignment horizontal="right" vertical="bottom"/>
    </xf>
    <xf numFmtId="49" fontId="0" fillId="4" borderId="12" applyNumberFormat="1" applyFont="1" applyFill="1" applyBorder="1" applyAlignment="1" applyProtection="0">
      <alignment horizontal="left" vertical="center" wrapText="1"/>
    </xf>
    <xf numFmtId="0" fontId="0" fillId="4" borderId="14" applyNumberFormat="0" applyFont="1" applyFill="1" applyBorder="1" applyAlignment="1" applyProtection="0">
      <alignment horizontal="left" vertical="center" wrapText="1"/>
    </xf>
    <xf numFmtId="0" fontId="24" borderId="25"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0" borderId="26" applyNumberFormat="0" applyFont="1" applyFill="0" applyBorder="1" applyAlignment="1" applyProtection="0">
      <alignment vertical="bottom"/>
    </xf>
    <xf numFmtId="0" fontId="0" borderId="29" applyNumberFormat="0" applyFont="1" applyFill="0" applyBorder="1" applyAlignment="1" applyProtection="0">
      <alignment vertical="bottom"/>
    </xf>
    <xf numFmtId="0" fontId="24" borderId="4" applyNumberFormat="0" applyFont="1" applyFill="0" applyBorder="1" applyAlignment="1" applyProtection="0">
      <alignment horizontal="right" vertical="bottom"/>
    </xf>
    <xf numFmtId="0" fontId="31" fillId="4" borderId="5" applyNumberFormat="0" applyFont="1" applyFill="1" applyBorder="1" applyAlignment="1" applyProtection="0">
      <alignment vertical="center"/>
    </xf>
    <xf numFmtId="59" fontId="0" fillId="4" borderId="5" applyNumberFormat="1" applyFont="1" applyFill="1" applyBorder="1" applyAlignment="1" applyProtection="0">
      <alignment vertical="center"/>
    </xf>
    <xf numFmtId="0" fontId="24" borderId="5" applyNumberFormat="0" applyFont="1" applyFill="0" applyBorder="1" applyAlignment="1" applyProtection="0">
      <alignment horizontal="right" vertical="bottom"/>
    </xf>
    <xf numFmtId="0" fontId="8" borderId="19" applyNumberFormat="0" applyFont="1" applyFill="0" applyBorder="1" applyAlignment="1" applyProtection="0">
      <alignment vertical="bottom"/>
    </xf>
    <xf numFmtId="0" fontId="22" borderId="19" applyNumberFormat="0" applyFont="1" applyFill="0" applyBorder="1" applyAlignment="1" applyProtection="0">
      <alignment vertical="bottom"/>
    </xf>
    <xf numFmtId="0" fontId="24" borderId="13" applyNumberFormat="0" applyFont="1" applyFill="0" applyBorder="1" applyAlignment="1" applyProtection="0">
      <alignment vertical="bottom"/>
    </xf>
    <xf numFmtId="17" fontId="22" fillId="4" borderId="13" applyNumberFormat="1" applyFont="1" applyFill="1" applyBorder="1" applyAlignment="1" applyProtection="0">
      <alignment vertical="center"/>
    </xf>
    <xf numFmtId="0" fontId="24" borderId="5" applyNumberFormat="0" applyFont="1" applyFill="0" applyBorder="1" applyAlignment="1" applyProtection="0">
      <alignment vertical="bottom"/>
    </xf>
    <xf numFmtId="0" fontId="24" borderId="34" applyNumberFormat="0" applyFont="1" applyFill="0" applyBorder="1" applyAlignment="1" applyProtection="0">
      <alignment horizontal="right" vertical="bottom"/>
    </xf>
    <xf numFmtId="0" fontId="31" fillId="4" borderId="10" applyNumberFormat="0" applyFont="1" applyFill="1" applyBorder="1" applyAlignment="1" applyProtection="0">
      <alignment vertical="center"/>
    </xf>
    <xf numFmtId="0" fontId="8" borderId="11" applyNumberFormat="0" applyFont="1" applyFill="0" applyBorder="1" applyAlignment="1" applyProtection="0">
      <alignment vertical="bottom"/>
    </xf>
    <xf numFmtId="49" fontId="1" fillId="4" borderId="20" applyNumberFormat="1" applyFont="1" applyFill="1" applyBorder="1" applyAlignment="1" applyProtection="0">
      <alignment horizontal="left" vertical="center"/>
    </xf>
    <xf numFmtId="0" fontId="24" borderId="15" applyNumberFormat="0" applyFont="1" applyFill="0" applyBorder="1" applyAlignment="1" applyProtection="0">
      <alignment vertical="bottom"/>
    </xf>
    <xf numFmtId="0" fontId="8" fillId="4" borderId="12" applyNumberFormat="1" applyFont="1" applyFill="1" applyBorder="1" applyAlignment="1" applyProtection="0">
      <alignment horizontal="left" vertical="center"/>
    </xf>
    <xf numFmtId="0" fontId="8" borderId="35"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0" borderId="19" applyNumberFormat="0" applyFont="1" applyFill="0" applyBorder="1" applyAlignment="1" applyProtection="0">
      <alignment vertical="bottom"/>
    </xf>
    <xf numFmtId="0" fontId="24" borderId="19" applyNumberFormat="0" applyFont="1" applyFill="0" applyBorder="1" applyAlignment="1" applyProtection="0">
      <alignment vertical="bottom"/>
    </xf>
    <xf numFmtId="0" fontId="8" borderId="15" applyNumberFormat="0" applyFont="1" applyFill="0" applyBorder="1" applyAlignment="1" applyProtection="0">
      <alignment horizontal="center" vertical="bottom"/>
    </xf>
    <xf numFmtId="0" fontId="8" borderId="5" applyNumberFormat="0" applyFont="1" applyFill="0" applyBorder="1" applyAlignment="1" applyProtection="0">
      <alignment horizontal="center" vertical="bottom"/>
    </xf>
    <xf numFmtId="0" fontId="8" borderId="15" applyNumberFormat="0" applyFont="1" applyFill="0" applyBorder="1" applyAlignment="1" applyProtection="0">
      <alignment horizontal="left" vertical="bottom"/>
    </xf>
    <xf numFmtId="0" fontId="8" borderId="5" applyNumberFormat="0" applyFont="1" applyFill="0" applyBorder="1" applyAlignment="1" applyProtection="0">
      <alignment horizontal="left" vertical="bottom"/>
    </xf>
    <xf numFmtId="0" fontId="0" borderId="5" applyNumberFormat="0" applyFont="1" applyFill="0" applyBorder="1" applyAlignment="1" applyProtection="0">
      <alignment vertical="bottom"/>
    </xf>
    <xf numFmtId="0" fontId="24" borderId="18" applyNumberFormat="0" applyFont="1" applyFill="0" applyBorder="1" applyAlignment="1" applyProtection="0">
      <alignment horizontal="right" vertical="bottom"/>
    </xf>
    <xf numFmtId="0" fontId="28" borderId="13" applyNumberFormat="0" applyFont="1" applyFill="0" applyBorder="1" applyAlignment="1" applyProtection="0">
      <alignment vertical="bottom"/>
    </xf>
    <xf numFmtId="0" fontId="24" borderId="13" applyNumberFormat="0" applyFont="1" applyFill="0" applyBorder="1" applyAlignment="1" applyProtection="0">
      <alignment horizontal="right" vertical="bottom"/>
    </xf>
    <xf numFmtId="0" fontId="8" borderId="13" applyNumberFormat="0" applyFont="1" applyFill="0" applyBorder="1" applyAlignment="1" applyProtection="0">
      <alignment horizontal="right" vertical="bottom"/>
    </xf>
    <xf numFmtId="0" fontId="24" borderId="10" applyNumberFormat="0" applyFont="1" applyFill="0" applyBorder="1" applyAlignment="1" applyProtection="0">
      <alignment vertical="bottom"/>
    </xf>
    <xf numFmtId="0" fontId="0" borderId="10" applyNumberFormat="0" applyFont="1" applyFill="0" applyBorder="1" applyAlignment="1" applyProtection="0">
      <alignment horizontal="right" vertical="bottom"/>
    </xf>
    <xf numFmtId="49" fontId="0" fillId="7" borderId="36" applyNumberFormat="1" applyFont="1" applyFill="1" applyBorder="1" applyAlignment="1" applyProtection="0">
      <alignment horizontal="center" vertical="bottom"/>
    </xf>
    <xf numFmtId="49" fontId="0" fillId="7" borderId="36" applyNumberFormat="1" applyFont="1" applyFill="1" applyBorder="1" applyAlignment="1" applyProtection="0">
      <alignment horizontal="center" vertical="center" wrapText="1"/>
    </xf>
    <xf numFmtId="49" fontId="0" fillId="7" borderId="36" applyNumberFormat="1" applyFont="1" applyFill="1" applyBorder="1" applyAlignment="1" applyProtection="0">
      <alignment horizontal="center" vertical="center"/>
    </xf>
    <xf numFmtId="49" fontId="22" fillId="7" borderId="36" applyNumberFormat="1" applyFont="1" applyFill="1" applyBorder="1" applyAlignment="1" applyProtection="0">
      <alignment horizontal="center" vertical="bottom" wrapText="1"/>
    </xf>
    <xf numFmtId="49" fontId="32" fillId="7" borderId="36" applyNumberFormat="1" applyFont="1" applyFill="1" applyBorder="1" applyAlignment="1" applyProtection="0">
      <alignment horizontal="center" vertical="bottom" wrapText="1"/>
    </xf>
    <xf numFmtId="49" fontId="0" fillId="7" borderId="36" applyNumberFormat="1" applyFont="1" applyFill="1" applyBorder="1" applyAlignment="1" applyProtection="0">
      <alignment horizontal="center" vertical="bottom" wrapText="1"/>
    </xf>
    <xf numFmtId="49" fontId="0" borderId="26" applyNumberFormat="1" applyFont="1" applyFill="0" applyBorder="1" applyAlignment="1" applyProtection="0">
      <alignment vertical="bottom"/>
    </xf>
    <xf numFmtId="49" fontId="0" fillId="7" borderId="37" applyNumberFormat="1" applyFont="1" applyFill="1" applyBorder="1" applyAlignment="1" applyProtection="0">
      <alignment horizontal="center" vertical="bottom"/>
    </xf>
    <xf numFmtId="0" fontId="0" fillId="7" borderId="37" applyNumberFormat="0" applyFont="1" applyFill="1" applyBorder="1" applyAlignment="1" applyProtection="0">
      <alignment horizontal="center" vertical="center" wrapText="1"/>
    </xf>
    <xf numFmtId="0" fontId="0" fillId="7" borderId="37" applyNumberFormat="0" applyFont="1" applyFill="1" applyBorder="1" applyAlignment="1" applyProtection="0">
      <alignment horizontal="center" vertical="center"/>
    </xf>
    <xf numFmtId="49" fontId="22" fillId="7" borderId="37" applyNumberFormat="1" applyFont="1" applyFill="1" applyBorder="1" applyAlignment="1" applyProtection="0">
      <alignment horizontal="center" vertical="bottom" wrapText="1"/>
    </xf>
    <xf numFmtId="49" fontId="32" fillId="7" borderId="37" applyNumberFormat="1" applyFont="1" applyFill="1" applyBorder="1" applyAlignment="1" applyProtection="0">
      <alignment horizontal="center" vertical="top"/>
    </xf>
    <xf numFmtId="49" fontId="6" fillId="4" borderId="5" applyNumberFormat="1" applyFont="1" applyFill="1" applyBorder="1" applyAlignment="1" applyProtection="0">
      <alignment horizontal="center" vertical="center"/>
    </xf>
    <xf numFmtId="49" fontId="6" fillId="4" borderId="5" applyNumberFormat="1" applyFont="1" applyFill="1" applyBorder="1" applyAlignment="1" applyProtection="0">
      <alignment horizontal="center" vertical="bottom" wrapText="1"/>
    </xf>
    <xf numFmtId="49" fontId="8" fillId="4" borderId="28" applyNumberFormat="1" applyFont="1" applyFill="1" applyBorder="1" applyAlignment="1" applyProtection="0">
      <alignment horizontal="center" vertical="bottom" wrapText="1"/>
    </xf>
    <xf numFmtId="0" fontId="0" borderId="20" applyNumberFormat="1" applyFont="1" applyFill="0" applyBorder="1" applyAlignment="1" applyProtection="0">
      <alignment horizontal="center" vertical="bottom"/>
    </xf>
    <xf numFmtId="49" fontId="33" fillId="4" borderId="20" applyNumberFormat="1" applyFont="1" applyFill="1" applyBorder="1" applyAlignment="1" applyProtection="0">
      <alignment vertical="center"/>
    </xf>
    <xf numFmtId="0" fontId="0" fillId="4" borderId="20" applyNumberFormat="0" applyFont="1" applyFill="1" applyBorder="1" applyAlignment="1" applyProtection="0">
      <alignment horizontal="center" vertical="center"/>
    </xf>
    <xf numFmtId="0" fontId="33" fillId="4" borderId="20" applyNumberFormat="0" applyFont="1" applyFill="1" applyBorder="1" applyAlignment="1" applyProtection="0">
      <alignment vertical="center"/>
    </xf>
    <xf numFmtId="60" fontId="22" fillId="9" borderId="20" applyNumberFormat="1" applyFont="1" applyFill="1" applyBorder="1" applyAlignment="1" applyProtection="0">
      <alignment horizontal="center" vertical="center"/>
    </xf>
    <xf numFmtId="49" fontId="0" fillId="4" borderId="20" applyNumberFormat="1" applyFont="1" applyFill="1" applyBorder="1" applyAlignment="1" applyProtection="0">
      <alignment horizontal="center" vertical="center"/>
    </xf>
    <xf numFmtId="0" fontId="6" fillId="4" borderId="5" applyNumberFormat="0" applyFont="1" applyFill="1" applyBorder="1" applyAlignment="1" applyProtection="0">
      <alignment horizontal="center" vertical="center"/>
    </xf>
    <xf numFmtId="0" fontId="6" fillId="4" borderId="5" applyNumberFormat="0" applyFont="1" applyFill="1" applyBorder="1" applyAlignment="1" applyProtection="0">
      <alignment horizontal="center" vertical="bottom" wrapText="1"/>
    </xf>
    <xf numFmtId="0" fontId="8" fillId="4" borderId="28" applyNumberFormat="0" applyFont="1" applyFill="1" applyBorder="1" applyAlignment="1" applyProtection="0">
      <alignment horizontal="center" vertical="bottom" wrapText="1"/>
    </xf>
    <xf numFmtId="49" fontId="22" fillId="9" borderId="20" applyNumberFormat="1" applyFont="1" applyFill="1" applyBorder="1" applyAlignment="1" applyProtection="0">
      <alignment horizontal="left" vertical="center" wrapText="1"/>
    </xf>
    <xf numFmtId="0" fontId="22" fillId="9" borderId="20" applyNumberFormat="0" applyFont="1" applyFill="1" applyBorder="1" applyAlignment="1" applyProtection="0">
      <alignment horizontal="left" vertical="center" wrapText="1"/>
    </xf>
    <xf numFmtId="0" fontId="22" fillId="9" borderId="20" applyNumberFormat="0" applyFont="1" applyFill="1" applyBorder="1" applyAlignment="1" applyProtection="0">
      <alignment horizontal="center" vertical="center"/>
    </xf>
    <xf numFmtId="0" fontId="1" borderId="5" applyNumberFormat="1" applyFont="1" applyFill="0" applyBorder="1" applyAlignment="1" applyProtection="0">
      <alignment vertical="bottom"/>
    </xf>
    <xf numFmtId="0" fontId="0" borderId="28" applyNumberFormat="1" applyFont="1" applyFill="0" applyBorder="1" applyAlignment="1" applyProtection="0">
      <alignment vertical="bottom"/>
    </xf>
    <xf numFmtId="0" fontId="0" borderId="26" applyNumberFormat="1" applyFont="1" applyFill="0" applyBorder="1" applyAlignment="1" applyProtection="0">
      <alignment vertical="bottom"/>
    </xf>
    <xf numFmtId="0" fontId="24" borderId="30" applyNumberFormat="0" applyFont="1" applyFill="0" applyBorder="1" applyAlignment="1" applyProtection="0">
      <alignment horizontal="right" vertical="bottom"/>
    </xf>
    <xf numFmtId="49" fontId="34" borderId="19" applyNumberFormat="1" applyFont="1" applyFill="0" applyBorder="1" applyAlignment="1" applyProtection="0">
      <alignment horizontal="right" vertical="bottom"/>
    </xf>
    <xf numFmtId="0" fontId="24" borderId="19" applyNumberFormat="0" applyFont="1" applyFill="0" applyBorder="1" applyAlignment="1" applyProtection="0">
      <alignment horizontal="right" vertical="bottom"/>
    </xf>
    <xf numFmtId="0" fontId="34" borderId="19" applyNumberFormat="0" applyFont="1" applyFill="0" applyBorder="1" applyAlignment="1" applyProtection="0">
      <alignment horizontal="right" vertical="bottom"/>
    </xf>
    <xf numFmtId="60" fontId="34" fillId="10" borderId="13" applyNumberFormat="1" applyFont="1" applyFill="1" applyBorder="1" applyAlignment="1" applyProtection="0">
      <alignment horizontal="right" vertical="bottom"/>
    </xf>
    <xf numFmtId="49" fontId="6" borderId="5" applyNumberFormat="1" applyFont="1" applyFill="0" applyBorder="1" applyAlignment="1" applyProtection="0">
      <alignment vertical="bottom"/>
    </xf>
    <xf numFmtId="0" fontId="0" borderId="6" applyNumberFormat="0" applyFont="1" applyFill="0" applyBorder="1" applyAlignment="1" applyProtection="0">
      <alignment vertical="bottom"/>
    </xf>
    <xf numFmtId="0" fontId="34" borderId="5" applyNumberFormat="0" applyFont="1" applyFill="0" applyBorder="1" applyAlignment="1" applyProtection="0">
      <alignment horizontal="right" vertical="bottom"/>
    </xf>
    <xf numFmtId="49" fontId="8" borderId="19" applyNumberFormat="1" applyFont="1" applyFill="0" applyBorder="1" applyAlignment="1" applyProtection="0">
      <alignment horizontal="right" vertical="bottom"/>
    </xf>
    <xf numFmtId="0" fontId="8" borderId="5" applyNumberFormat="0" applyFont="1" applyFill="0" applyBorder="1" applyAlignment="1" applyProtection="0">
      <alignment horizontal="right" vertical="bottom"/>
    </xf>
    <xf numFmtId="0" fontId="0" borderId="38"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24" borderId="10" applyNumberFormat="0" applyFont="1" applyFill="0" applyBorder="1" applyAlignment="1" applyProtection="0">
      <alignment horizontal="right" vertical="bottom"/>
    </xf>
    <xf numFmtId="0" fontId="24" borderId="39" applyNumberFormat="0" applyFont="1" applyFill="0" applyBorder="1" applyAlignment="1" applyProtection="0">
      <alignment horizontal="right" vertical="bottom"/>
    </xf>
    <xf numFmtId="49" fontId="22" fillId="11" borderId="12" applyNumberFormat="1" applyFont="1" applyFill="1" applyBorder="1" applyAlignment="1" applyProtection="0">
      <alignment horizontal="left" vertical="top" wrapText="1"/>
    </xf>
    <xf numFmtId="0" fontId="0" borderId="16" applyNumberFormat="0" applyFont="1" applyFill="0" applyBorder="1" applyAlignment="1" applyProtection="0">
      <alignment vertical="bottom"/>
    </xf>
    <xf numFmtId="0" fontId="0" borderId="17" applyNumberFormat="0" applyFont="1" applyFill="0" applyBorder="1" applyAlignment="1" applyProtection="0">
      <alignment vertical="bottom"/>
    </xf>
    <xf numFmtId="0" fontId="0" borderId="40" applyNumberFormat="0" applyFont="1" applyFill="0" applyBorder="1" applyAlignment="1" applyProtection="0">
      <alignment vertical="bottom"/>
    </xf>
    <xf numFmtId="0" fontId="0" borderId="31" applyNumberFormat="0" applyFont="1" applyFill="0" applyBorder="1" applyAlignment="1" applyProtection="0">
      <alignment vertical="bottom"/>
    </xf>
    <xf numFmtId="0" fontId="0" borderId="7" applyNumberFormat="0" applyFont="1" applyFill="0" applyBorder="1" applyAlignment="1" applyProtection="0">
      <alignment vertical="bottom"/>
    </xf>
    <xf numFmtId="0" fontId="24" borderId="8" applyNumberFormat="0" applyFont="1" applyFill="0" applyBorder="1" applyAlignment="1" applyProtection="0">
      <alignment vertical="bottom"/>
    </xf>
    <xf numFmtId="0" fontId="0" applyNumberFormat="1" applyFont="1" applyFill="0" applyBorder="0" applyAlignment="1" applyProtection="0">
      <alignment vertical="bottom"/>
    </xf>
    <xf numFmtId="0" fontId="24" fillId="4" borderId="1" applyNumberFormat="0" applyFont="1" applyFill="1" applyBorder="1" applyAlignment="1" applyProtection="0">
      <alignment horizontal="right" vertical="bottom"/>
    </xf>
    <xf numFmtId="0" fontId="31" borderId="2" applyNumberFormat="0" applyFont="1" applyFill="0" applyBorder="1" applyAlignment="1" applyProtection="0">
      <alignment vertical="bottom"/>
    </xf>
    <xf numFmtId="0" fontId="24" fillId="4" borderId="2" applyNumberFormat="0" applyFont="1" applyFill="1" applyBorder="1" applyAlignment="1" applyProtection="0">
      <alignment vertical="bottom"/>
    </xf>
    <xf numFmtId="0" fontId="24" borderId="2" applyNumberFormat="0" applyFont="1" applyFill="0" applyBorder="1" applyAlignment="1" applyProtection="0">
      <alignment horizontal="right" vertical="bottom"/>
    </xf>
    <xf numFmtId="0" fontId="24" borderId="33" applyNumberFormat="0" applyFont="1" applyFill="0" applyBorder="1" applyAlignment="1" applyProtection="0">
      <alignment vertical="bottom"/>
    </xf>
    <xf numFmtId="49" fontId="0" fillId="4" borderId="12" applyNumberFormat="1" applyFont="1" applyFill="1" applyBorder="1" applyAlignment="1" applyProtection="0">
      <alignment horizontal="center" vertical="center" wrapText="1"/>
    </xf>
    <xf numFmtId="0" fontId="0" fillId="4" borderId="13" applyNumberFormat="0" applyFont="1" applyFill="1" applyBorder="1" applyAlignment="1" applyProtection="0">
      <alignment vertical="center" wrapText="1"/>
    </xf>
    <xf numFmtId="0" fontId="0" fillId="4" borderId="14" applyNumberFormat="0" applyFont="1" applyFill="1" applyBorder="1" applyAlignment="1" applyProtection="0">
      <alignment vertical="center" wrapText="1"/>
    </xf>
    <xf numFmtId="0" fontId="24" fillId="4" borderId="25" applyNumberFormat="0" applyFont="1" applyFill="1" applyBorder="1" applyAlignment="1" applyProtection="0">
      <alignment vertical="bottom"/>
    </xf>
    <xf numFmtId="0" fontId="35" fillId="4" borderId="2" applyNumberFormat="0" applyFont="1" applyFill="1" applyBorder="1" applyAlignment="1" applyProtection="0">
      <alignment vertical="bottom"/>
    </xf>
    <xf numFmtId="0" fontId="26" fillId="4" borderId="2" applyNumberFormat="0" applyFont="1" applyFill="1" applyBorder="1" applyAlignment="1" applyProtection="0">
      <alignment vertical="bottom"/>
    </xf>
    <xf numFmtId="0" fontId="24" fillId="4" borderId="13" applyNumberFormat="0" applyFont="1" applyFill="1" applyBorder="1" applyAlignment="1" applyProtection="0">
      <alignment vertical="bottom"/>
    </xf>
    <xf numFmtId="0" fontId="35" fillId="4" borderId="5" applyNumberFormat="0" applyFont="1" applyFill="1" applyBorder="1" applyAlignment="1" applyProtection="0">
      <alignment vertical="bottom"/>
    </xf>
    <xf numFmtId="0" fontId="8" fillId="4" borderId="34" applyNumberFormat="0" applyFont="1" applyFill="1" applyBorder="1" applyAlignment="1" applyProtection="0">
      <alignment horizontal="right" vertical="bottom"/>
    </xf>
    <xf numFmtId="0" fontId="8" borderId="10" applyNumberFormat="0" applyFont="1" applyFill="0" applyBorder="1" applyAlignment="1" applyProtection="0">
      <alignment horizontal="right" vertical="bottom"/>
    </xf>
    <xf numFmtId="0" fontId="8" fillId="4" borderId="10" applyNumberFormat="0" applyFont="1" applyFill="1" applyBorder="1" applyAlignment="1" applyProtection="0">
      <alignment horizontal="left" vertical="center"/>
    </xf>
    <xf numFmtId="0" fontId="8" borderId="5" applyNumberFormat="0" applyFont="1" applyFill="0" applyBorder="1" applyAlignment="1" applyProtection="0">
      <alignment vertical="bottom"/>
    </xf>
    <xf numFmtId="49" fontId="0" fillId="4" borderId="20" applyNumberFormat="1" applyFont="1" applyFill="1" applyBorder="1" applyAlignment="1" applyProtection="0">
      <alignment vertical="bottom"/>
    </xf>
    <xf numFmtId="0" fontId="8" borderId="15" applyNumberFormat="0" applyFont="1" applyFill="0" applyBorder="1" applyAlignment="1" applyProtection="0">
      <alignment vertical="bottom"/>
    </xf>
    <xf numFmtId="0" fontId="24" fillId="4" borderId="19" applyNumberFormat="0" applyFont="1" applyFill="1" applyBorder="1" applyAlignment="1" applyProtection="0">
      <alignment vertical="bottom"/>
    </xf>
    <xf numFmtId="1" fontId="26" fillId="4" borderId="5" applyNumberFormat="1" applyFont="1" applyFill="1" applyBorder="1" applyAlignment="1" applyProtection="0">
      <alignment vertical="bottom"/>
    </xf>
    <xf numFmtId="0" fontId="8" fillId="4" borderId="5" applyNumberFormat="0" applyFont="1" applyFill="1" applyBorder="1" applyAlignment="1" applyProtection="0">
      <alignment horizontal="center" vertical="bottom"/>
    </xf>
    <xf numFmtId="0" fontId="28" fillId="4" borderId="5" applyNumberFormat="0" applyFont="1" applyFill="1" applyBorder="1" applyAlignment="1" applyProtection="0">
      <alignment horizontal="center" vertical="bottom"/>
    </xf>
    <xf numFmtId="0" fontId="8" fillId="4" borderId="18" applyNumberFormat="0" applyFont="1" applyFill="1" applyBorder="1" applyAlignment="1" applyProtection="0">
      <alignment horizontal="right" vertical="bottom"/>
    </xf>
    <xf numFmtId="0" fontId="8" borderId="13" applyNumberFormat="0" applyFont="1" applyFill="0" applyBorder="1" applyAlignment="1" applyProtection="0">
      <alignment horizontal="center" vertical="bottom"/>
    </xf>
    <xf numFmtId="0" fontId="8" fillId="4" borderId="13" applyNumberFormat="0" applyFont="1" applyFill="1" applyBorder="1" applyAlignment="1" applyProtection="0">
      <alignment horizontal="center" vertical="bottom"/>
    </xf>
    <xf numFmtId="0" fontId="8" borderId="10" applyNumberFormat="0" applyFont="1" applyFill="0" applyBorder="1" applyAlignment="1" applyProtection="0">
      <alignment horizontal="center" vertical="bottom"/>
    </xf>
    <xf numFmtId="0" fontId="8" fillId="4" borderId="10" applyNumberFormat="0" applyFont="1" applyFill="1" applyBorder="1" applyAlignment="1" applyProtection="0">
      <alignment horizontal="center" vertical="bottom"/>
    </xf>
    <xf numFmtId="0" fontId="28" fillId="4" borderId="10" applyNumberFormat="0" applyFont="1" applyFill="1" applyBorder="1" applyAlignment="1" applyProtection="0">
      <alignment horizontal="center" vertical="bottom"/>
    </xf>
    <xf numFmtId="49" fontId="22" fillId="7" borderId="36" applyNumberFormat="1" applyFont="1" applyFill="1" applyBorder="1" applyAlignment="1" applyProtection="0">
      <alignment horizontal="center" vertical="bottom"/>
    </xf>
    <xf numFmtId="49" fontId="36" fillId="7" borderId="36" applyNumberFormat="1" applyFont="1" applyFill="1" applyBorder="1" applyAlignment="1" applyProtection="0">
      <alignment horizontal="center" vertical="bottom"/>
    </xf>
    <xf numFmtId="49" fontId="33" fillId="7" borderId="36" applyNumberFormat="1" applyFont="1" applyFill="1" applyBorder="1" applyAlignment="1" applyProtection="0">
      <alignment horizontal="center" vertical="bottom" wrapText="1"/>
    </xf>
    <xf numFmtId="49" fontId="25" fillId="7" borderId="36" applyNumberFormat="1" applyFont="1" applyFill="1" applyBorder="1" applyAlignment="1" applyProtection="0">
      <alignment horizontal="center" vertical="bottom" wrapText="1"/>
    </xf>
    <xf numFmtId="49" fontId="33" fillId="7" borderId="36" applyNumberFormat="1" applyFont="1" applyFill="1" applyBorder="1" applyAlignment="1" applyProtection="0">
      <alignment horizontal="center" vertical="bottom"/>
    </xf>
    <xf numFmtId="0" fontId="26" fillId="4" borderId="15" applyNumberFormat="0" applyFont="1" applyFill="1" applyBorder="1" applyAlignment="1" applyProtection="0">
      <alignment vertical="bottom"/>
    </xf>
    <xf numFmtId="49" fontId="0" fillId="4" borderId="26" applyNumberFormat="1" applyFont="1" applyFill="1" applyBorder="1" applyAlignment="1" applyProtection="0">
      <alignment horizontal="center" vertical="bottom"/>
    </xf>
    <xf numFmtId="0" fontId="0" fillId="4" borderId="26" applyNumberFormat="0" applyFont="1" applyFill="1" applyBorder="1" applyAlignment="1" applyProtection="0">
      <alignment horizontal="center" vertical="bottom"/>
    </xf>
    <xf numFmtId="0" fontId="0" fillId="4" borderId="29" applyNumberFormat="0" applyFont="1" applyFill="1" applyBorder="1" applyAlignment="1" applyProtection="0">
      <alignment horizontal="center" vertical="bottom"/>
    </xf>
    <xf numFmtId="49" fontId="22" fillId="7" borderId="37" applyNumberFormat="1" applyFont="1" applyFill="1" applyBorder="1" applyAlignment="1" applyProtection="0">
      <alignment horizontal="center" vertical="bottom"/>
    </xf>
    <xf numFmtId="49" fontId="36" fillId="7" borderId="37" applyNumberFormat="1" applyFont="1" applyFill="1" applyBorder="1" applyAlignment="1" applyProtection="0">
      <alignment horizontal="center" vertical="top"/>
    </xf>
    <xf numFmtId="49" fontId="22" fillId="7" borderId="37" applyNumberFormat="1" applyFont="1" applyFill="1" applyBorder="1" applyAlignment="1" applyProtection="0">
      <alignment horizontal="center" vertical="top" wrapText="1"/>
    </xf>
    <xf numFmtId="49" fontId="25" fillId="7" borderId="37" applyNumberFormat="1" applyFont="1" applyFill="1" applyBorder="1" applyAlignment="1" applyProtection="0">
      <alignment horizontal="center" vertical="top" wrapText="1"/>
    </xf>
    <xf numFmtId="49" fontId="33" fillId="7" borderId="37" applyNumberFormat="1" applyFont="1" applyFill="1" applyBorder="1" applyAlignment="1" applyProtection="0">
      <alignment horizontal="center" vertical="top" wrapText="1"/>
    </xf>
    <xf numFmtId="0" fontId="22" fillId="7" borderId="37" applyNumberFormat="0" applyFont="1" applyFill="1" applyBorder="1" applyAlignment="1" applyProtection="0">
      <alignment horizontal="center" vertical="top" wrapText="1"/>
    </xf>
    <xf numFmtId="49" fontId="0" borderId="28" applyNumberFormat="1" applyFont="1" applyFill="0" applyBorder="1" applyAlignment="1" applyProtection="0">
      <alignment vertical="bottom"/>
    </xf>
    <xf numFmtId="49" fontId="0" fillId="4" borderId="28" applyNumberFormat="1" applyFont="1" applyFill="1" applyBorder="1" applyAlignment="1" applyProtection="0">
      <alignment vertical="bottom" wrapText="1"/>
    </xf>
    <xf numFmtId="49" fontId="0" fillId="4" borderId="26" applyNumberFormat="1" applyFont="1" applyFill="1" applyBorder="1" applyAlignment="1" applyProtection="0">
      <alignment vertical="bottom" wrapText="1"/>
    </xf>
    <xf numFmtId="49" fontId="0" fillId="4" borderId="26" applyNumberFormat="1" applyFont="1" applyFill="1" applyBorder="1" applyAlignment="1" applyProtection="0">
      <alignment horizontal="center" vertical="bottom" wrapText="1"/>
    </xf>
    <xf numFmtId="49" fontId="0" fillId="4" borderId="29" applyNumberFormat="1" applyFont="1" applyFill="1" applyBorder="1" applyAlignment="1" applyProtection="0">
      <alignment horizontal="center" vertical="bottom" wrapText="1"/>
    </xf>
    <xf numFmtId="49" fontId="0" fillId="4" borderId="29" applyNumberFormat="1" applyFont="1" applyFill="1" applyBorder="1" applyAlignment="1" applyProtection="0">
      <alignment vertical="bottom" wrapText="1"/>
    </xf>
    <xf numFmtId="0" fontId="0" fillId="4" borderId="20" applyNumberFormat="1" applyFont="1" applyFill="1" applyBorder="1" applyAlignment="1" applyProtection="0">
      <alignment vertical="bottom"/>
    </xf>
    <xf numFmtId="49" fontId="22" fillId="4" borderId="20" applyNumberFormat="1" applyFont="1" applyFill="1" applyBorder="1" applyAlignment="1" applyProtection="0">
      <alignment horizontal="center" vertical="center"/>
    </xf>
    <xf numFmtId="0" fontId="22" fillId="4" borderId="20" applyNumberFormat="0" applyFont="1" applyFill="1" applyBorder="1" applyAlignment="1" applyProtection="0">
      <alignment horizontal="center" vertical="center"/>
    </xf>
    <xf numFmtId="2" fontId="22" fillId="4" borderId="20" applyNumberFormat="1" applyFont="1" applyFill="1" applyBorder="1" applyAlignment="1" applyProtection="0">
      <alignment horizontal="center" vertical="center"/>
    </xf>
    <xf numFmtId="49" fontId="25" fillId="4" borderId="20" applyNumberFormat="1" applyFont="1" applyFill="1" applyBorder="1" applyAlignment="1" applyProtection="0">
      <alignment horizontal="center" vertical="center"/>
    </xf>
    <xf numFmtId="0" fontId="25" fillId="4" borderId="20" applyNumberFormat="0" applyFont="1" applyFill="1" applyBorder="1" applyAlignment="1" applyProtection="0">
      <alignment horizontal="center" vertical="center"/>
    </xf>
    <xf numFmtId="0" fontId="0" fillId="4" borderId="26" applyNumberFormat="1" applyFont="1" applyFill="1" applyBorder="1" applyAlignment="1" applyProtection="0">
      <alignment vertical="bottom"/>
    </xf>
    <xf numFmtId="49" fontId="22" fillId="9" borderId="20" applyNumberFormat="1" applyFont="1" applyFill="1" applyBorder="1" applyAlignment="1" applyProtection="0">
      <alignment horizontal="center" vertical="center"/>
    </xf>
    <xf numFmtId="0" fontId="22" fillId="9" borderId="20" applyNumberFormat="0" applyFont="1" applyFill="1" applyBorder="1" applyAlignment="1" applyProtection="0">
      <alignment horizontal="center" vertical="center" wrapText="1"/>
    </xf>
    <xf numFmtId="2" fontId="22" fillId="9" borderId="20" applyNumberFormat="1" applyFont="1" applyFill="1" applyBorder="1" applyAlignment="1" applyProtection="0">
      <alignment horizontal="center" vertical="center" wrapText="1"/>
    </xf>
    <xf numFmtId="49" fontId="0" fillId="4" borderId="20" applyNumberFormat="1" applyFont="1" applyFill="1" applyBorder="1" applyAlignment="1" applyProtection="0">
      <alignment horizontal="center" vertical="center" wrapText="1"/>
    </xf>
    <xf numFmtId="61" fontId="22" fillId="9" borderId="20" applyNumberFormat="1" applyFont="1" applyFill="1" applyBorder="1" applyAlignment="1" applyProtection="0">
      <alignment horizontal="center" vertical="center"/>
    </xf>
    <xf numFmtId="0" fontId="27" fillId="4" borderId="15" applyNumberFormat="1" applyFont="1" applyFill="1" applyBorder="1" applyAlignment="1" applyProtection="0">
      <alignment vertical="bottom"/>
    </xf>
    <xf numFmtId="0" fontId="0" fillId="4" borderId="28" applyNumberFormat="1" applyFont="1" applyFill="1" applyBorder="1" applyAlignment="1" applyProtection="0">
      <alignment vertical="bottom"/>
    </xf>
    <xf numFmtId="0" fontId="0" fillId="4" borderId="29" applyNumberFormat="1" applyFont="1" applyFill="1" applyBorder="1" applyAlignment="1" applyProtection="0">
      <alignment vertical="bottom"/>
    </xf>
    <xf numFmtId="49" fontId="0" fillId="4" borderId="26" applyNumberFormat="1" applyFont="1" applyFill="1" applyBorder="1" applyAlignment="1" applyProtection="0">
      <alignment vertical="bottom"/>
    </xf>
    <xf numFmtId="1" fontId="0" fillId="4" borderId="26" applyNumberFormat="1" applyFont="1" applyFill="1" applyBorder="1" applyAlignment="1" applyProtection="0">
      <alignment vertical="bottom"/>
    </xf>
    <xf numFmtId="2" fontId="0" fillId="4" borderId="26" applyNumberFormat="1" applyFont="1" applyFill="1" applyBorder="1" applyAlignment="1" applyProtection="0">
      <alignment vertical="bottom"/>
    </xf>
    <xf numFmtId="49" fontId="27" fillId="4" borderId="15" applyNumberFormat="1" applyFont="1" applyFill="1" applyBorder="1" applyAlignment="1" applyProtection="0">
      <alignment horizontal="right" vertical="bottom"/>
    </xf>
    <xf numFmtId="0" fontId="27" fillId="4" borderId="15" applyNumberFormat="0" applyFont="1" applyFill="1" applyBorder="1" applyAlignment="1" applyProtection="0">
      <alignment vertical="bottom"/>
    </xf>
    <xf numFmtId="0" fontId="37" fillId="4" borderId="30" applyNumberFormat="0" applyFont="1" applyFill="1" applyBorder="1" applyAlignment="1" applyProtection="0">
      <alignment horizontal="right" vertical="bottom"/>
    </xf>
    <xf numFmtId="49" fontId="34" borderId="19" applyNumberFormat="1" applyFont="1" applyFill="0" applyBorder="1" applyAlignment="1" applyProtection="0">
      <alignment vertical="bottom"/>
    </xf>
    <xf numFmtId="0" fontId="38" fillId="4" borderId="19" applyNumberFormat="0" applyFont="1" applyFill="1" applyBorder="1" applyAlignment="1" applyProtection="0">
      <alignment vertical="bottom"/>
    </xf>
    <xf numFmtId="0" fontId="37" borderId="19" applyNumberFormat="0" applyFont="1" applyFill="0" applyBorder="1" applyAlignment="1" applyProtection="0">
      <alignment horizontal="right" vertical="bottom"/>
    </xf>
    <xf numFmtId="0" fontId="38" fillId="4" borderId="19" applyNumberFormat="0" applyFont="1" applyFill="1" applyBorder="1" applyAlignment="1" applyProtection="0">
      <alignment horizontal="right" vertical="center"/>
    </xf>
    <xf numFmtId="0" fontId="34" fillId="10" borderId="13" applyNumberFormat="1" applyFont="1" applyFill="1" applyBorder="1" applyAlignment="1" applyProtection="0">
      <alignment horizontal="right" vertical="bottom"/>
    </xf>
    <xf numFmtId="2" fontId="39" borderId="19" applyNumberFormat="1" applyFont="1" applyFill="0" applyBorder="1" applyAlignment="1" applyProtection="0">
      <alignment vertical="bottom"/>
    </xf>
    <xf numFmtId="2" fontId="39" fillId="4" borderId="19" applyNumberFormat="1" applyFont="1" applyFill="1" applyBorder="1" applyAlignment="1" applyProtection="0">
      <alignment vertical="bottom"/>
    </xf>
    <xf numFmtId="2" fontId="40" fillId="4" borderId="19" applyNumberFormat="1" applyFont="1" applyFill="1" applyBorder="1" applyAlignment="1" applyProtection="0">
      <alignment vertical="bottom"/>
    </xf>
    <xf numFmtId="0" fontId="0" borderId="5" applyNumberFormat="0" applyFont="1" applyFill="0" applyBorder="1" applyAlignment="1" applyProtection="0">
      <alignment horizontal="right" vertical="bottom"/>
    </xf>
    <xf numFmtId="0" fontId="0" borderId="5" applyNumberFormat="0" applyFont="1" applyFill="0" applyBorder="1" applyAlignment="1" applyProtection="0">
      <alignment horizontal="center" vertical="bottom"/>
    </xf>
    <xf numFmtId="0" fontId="30" fillId="4" borderId="5" applyNumberFormat="0" applyFont="1" applyFill="1" applyBorder="1" applyAlignment="1" applyProtection="0">
      <alignment horizontal="left" vertical="top" wrapText="1"/>
    </xf>
    <xf numFmtId="49" fontId="29" fillId="4" borderId="5" applyNumberFormat="1" applyFont="1" applyFill="1" applyBorder="1" applyAlignment="1" applyProtection="0">
      <alignment horizontal="left" vertical="bottom" wrapText="1"/>
    </xf>
    <xf numFmtId="0" fontId="29" fillId="4" borderId="5" applyNumberFormat="0" applyFont="1" applyFill="1" applyBorder="1" applyAlignment="1" applyProtection="0">
      <alignment horizontal="left" vertical="bottom" wrapText="1"/>
    </xf>
    <xf numFmtId="0" fontId="0" borderId="10" applyNumberFormat="0" applyFont="1" applyFill="0" applyBorder="1" applyAlignment="1" applyProtection="0">
      <alignment vertical="bottom"/>
    </xf>
    <xf numFmtId="0" fontId="24" fillId="4" borderId="39" applyNumberFormat="0" applyFont="1" applyFill="1" applyBorder="1" applyAlignment="1" applyProtection="0">
      <alignment horizontal="right" vertical="bottom"/>
    </xf>
    <xf numFmtId="0" fontId="22" fillId="11" borderId="14" applyNumberFormat="0" applyFont="1" applyFill="1" applyBorder="1" applyAlignment="1" applyProtection="0">
      <alignment horizontal="left" vertical="top" wrapText="1"/>
    </xf>
    <xf numFmtId="0" fontId="22" fillId="11" borderId="35" applyNumberFormat="0" applyFont="1" applyFill="1" applyBorder="1" applyAlignment="1" applyProtection="0">
      <alignment horizontal="left" vertical="top" wrapText="1"/>
    </xf>
    <xf numFmtId="0" fontId="22" fillId="11" borderId="20" applyNumberFormat="0" applyFont="1" applyFill="1" applyBorder="1" applyAlignment="1" applyProtection="0">
      <alignment horizontal="left" vertical="top" wrapText="1"/>
    </xf>
    <xf numFmtId="0" fontId="22" fillId="11" borderId="12" applyNumberFormat="0" applyFont="1" applyFill="1" applyBorder="1" applyAlignment="1" applyProtection="0">
      <alignment horizontal="left" vertical="top" wrapText="1"/>
    </xf>
    <xf numFmtId="0" fontId="22" fillId="11" borderId="13" applyNumberFormat="0" applyFont="1" applyFill="1" applyBorder="1" applyAlignment="1" applyProtection="0">
      <alignment horizontal="left" vertical="top" wrapText="1"/>
    </xf>
    <xf numFmtId="0" fontId="22" fillId="11" borderId="15" applyNumberFormat="0" applyFont="1" applyFill="1" applyBorder="1" applyAlignment="1" applyProtection="0">
      <alignment horizontal="left" vertical="top" wrapText="1"/>
    </xf>
    <xf numFmtId="0" fontId="22" fillId="11" borderId="5" applyNumberFormat="0" applyFont="1" applyFill="1" applyBorder="1" applyAlignment="1" applyProtection="0">
      <alignment horizontal="left" vertical="top" wrapText="1"/>
    </xf>
    <xf numFmtId="0" fontId="22" fillId="11" borderId="11" applyNumberFormat="0" applyFont="1" applyFill="1" applyBorder="1" applyAlignment="1" applyProtection="0">
      <alignment horizontal="left" vertical="top" wrapText="1"/>
    </xf>
    <xf numFmtId="0" fontId="0" borderId="26" applyNumberFormat="1" applyFont="1" applyFill="0" applyBorder="1" applyAlignment="1" applyProtection="0">
      <alignment horizontal="right" vertical="bottom"/>
    </xf>
    <xf numFmtId="0" fontId="0" fillId="4" borderId="26" applyNumberFormat="1" applyFont="1" applyFill="1" applyBorder="1" applyAlignment="1" applyProtection="0">
      <alignment horizontal="right" vertical="bottom"/>
    </xf>
    <xf numFmtId="0" fontId="0" fillId="4" borderId="29" applyNumberFormat="1" applyFont="1" applyFill="1" applyBorder="1" applyAlignment="1" applyProtection="0">
      <alignment horizontal="right" vertical="bottom"/>
    </xf>
    <xf numFmtId="0" fontId="0" fillId="4" borderId="8" applyNumberFormat="1" applyFont="1" applyFill="1" applyBorder="1" applyAlignment="1" applyProtection="0">
      <alignment horizontal="right" vertical="bottom"/>
    </xf>
    <xf numFmtId="0" fontId="0" fillId="4" borderId="8" applyNumberFormat="1" applyFont="1" applyFill="1" applyBorder="1" applyAlignment="1" applyProtection="0">
      <alignment vertical="bottom"/>
    </xf>
    <xf numFmtId="0" fontId="0" fillId="4" borderId="9" applyNumberFormat="1" applyFont="1" applyFill="1" applyBorder="1" applyAlignment="1" applyProtection="0">
      <alignment horizontal="right" vertical="bottom"/>
    </xf>
    <xf numFmtId="0" fontId="0" applyNumberFormat="1" applyFont="1" applyFill="0" applyBorder="0" applyAlignment="1" applyProtection="0">
      <alignment vertical="bottom"/>
    </xf>
    <xf numFmtId="0" fontId="31" borderId="3" applyNumberFormat="0" applyFont="1" applyFill="0" applyBorder="1" applyAlignment="1" applyProtection="0">
      <alignment vertical="bottom"/>
    </xf>
    <xf numFmtId="0" fontId="24" fillId="4" borderId="2" applyNumberFormat="0" applyFont="1" applyFill="1" applyBorder="1" applyAlignment="1" applyProtection="0">
      <alignment horizontal="center" vertical="bottom"/>
    </xf>
    <xf numFmtId="0" fontId="0" fillId="4" borderId="33" applyNumberFormat="0" applyFont="1" applyFill="1" applyBorder="1" applyAlignment="1" applyProtection="0">
      <alignment vertical="bottom"/>
    </xf>
    <xf numFmtId="0" fontId="8" fillId="7" borderId="13" applyNumberFormat="0" applyFont="1" applyFill="1" applyBorder="1" applyAlignment="1" applyProtection="0">
      <alignment horizontal="center" vertical="center"/>
    </xf>
    <xf numFmtId="49" fontId="0" fillId="4" borderId="25" applyNumberFormat="1" applyFont="1" applyFill="1" applyBorder="1" applyAlignment="1" applyProtection="0">
      <alignment horizontal="left" vertical="center"/>
    </xf>
    <xf numFmtId="0" fontId="0" fillId="4" borderId="2" applyNumberFormat="0" applyFont="1" applyFill="1" applyBorder="1" applyAlignment="1" applyProtection="0">
      <alignment horizontal="left" vertical="center"/>
    </xf>
    <xf numFmtId="0" fontId="0" fillId="4" borderId="34" applyNumberFormat="0" applyFont="1" applyFill="1" applyBorder="1" applyAlignment="1" applyProtection="0">
      <alignment vertical="bottom"/>
    </xf>
    <xf numFmtId="17" fontId="22" borderId="5" applyNumberFormat="1" applyFont="1" applyFill="0" applyBorder="1" applyAlignment="1" applyProtection="0">
      <alignment horizontal="left" vertical="bottom"/>
    </xf>
    <xf numFmtId="0" fontId="8" fillId="4" borderId="12" applyNumberFormat="1" applyFont="1" applyFill="1" applyBorder="1" applyAlignment="1" applyProtection="0">
      <alignment horizontal="center" vertical="bottom"/>
    </xf>
    <xf numFmtId="0" fontId="8" borderId="14" applyNumberFormat="0" applyFont="1" applyFill="0" applyBorder="1" applyAlignment="1" applyProtection="0">
      <alignment horizontal="center" vertical="bottom"/>
    </xf>
    <xf numFmtId="0" fontId="8" fillId="4" borderId="15" applyNumberFormat="0" applyFont="1" applyFill="1" applyBorder="1" applyAlignment="1" applyProtection="0">
      <alignment horizontal="center" vertical="bottom"/>
    </xf>
    <xf numFmtId="0" fontId="8" borderId="10" applyNumberFormat="0" applyFont="1" applyFill="0" applyBorder="1" applyAlignment="1" applyProtection="0">
      <alignment horizontal="left" vertical="bottom"/>
    </xf>
    <xf numFmtId="49" fontId="8" fillId="4" borderId="12" applyNumberFormat="1" applyFont="1" applyFill="1" applyBorder="1" applyAlignment="1" applyProtection="0">
      <alignment horizontal="center" vertical="bottom"/>
    </xf>
    <xf numFmtId="0" fontId="8" fillId="4" borderId="35" applyNumberFormat="0" applyFont="1" applyFill="1" applyBorder="1" applyAlignment="1" applyProtection="0">
      <alignment horizontal="center" vertical="bottom"/>
    </xf>
    <xf numFmtId="49" fontId="1" fillId="4" borderId="12" applyNumberFormat="1" applyFont="1" applyFill="1" applyBorder="1" applyAlignment="1" applyProtection="0">
      <alignment horizontal="right" vertical="bottom"/>
    </xf>
    <xf numFmtId="14" fontId="1" borderId="14" applyNumberFormat="1" applyFont="1" applyFill="0" applyBorder="1" applyAlignment="1" applyProtection="0">
      <alignment horizontal="right" vertical="bottom"/>
    </xf>
    <xf numFmtId="0" fontId="8" borderId="19" applyNumberFormat="0" applyFont="1" applyFill="0" applyBorder="1" applyAlignment="1" applyProtection="0">
      <alignment horizontal="left" vertical="bottom"/>
    </xf>
    <xf numFmtId="0" fontId="8" fillId="4" borderId="21" applyNumberFormat="0" applyFont="1" applyFill="1" applyBorder="1" applyAlignment="1" applyProtection="0">
      <alignment horizontal="right" vertical="bottom"/>
    </xf>
    <xf numFmtId="0" fontId="8" borderId="19" applyNumberFormat="0" applyFont="1" applyFill="0" applyBorder="1" applyAlignment="1" applyProtection="0">
      <alignment horizontal="center" vertical="bottom"/>
    </xf>
    <xf numFmtId="0" fontId="8" fillId="4" borderId="19" applyNumberFormat="0" applyFont="1" applyFill="1" applyBorder="1" applyAlignment="1" applyProtection="0">
      <alignment horizontal="center" vertical="bottom"/>
    </xf>
    <xf numFmtId="0" fontId="8" fillId="4" borderId="23" applyNumberFormat="0" applyFont="1" applyFill="1" applyBorder="1" applyAlignment="1" applyProtection="0">
      <alignment horizontal="right" vertical="bottom"/>
    </xf>
    <xf numFmtId="49" fontId="22" fillId="7" borderId="36" applyNumberFormat="1" applyFont="1" applyFill="1" applyBorder="1" applyAlignment="1" applyProtection="0">
      <alignment horizontal="center" vertical="center" wrapText="1"/>
    </xf>
    <xf numFmtId="49" fontId="22" fillId="7" borderId="12" applyNumberFormat="1" applyFont="1" applyFill="1" applyBorder="1" applyAlignment="1" applyProtection="0">
      <alignment horizontal="center" vertical="bottom" wrapText="1"/>
    </xf>
    <xf numFmtId="0" fontId="0" fillId="4" borderId="16" applyNumberFormat="0" applyFont="1" applyFill="1" applyBorder="1" applyAlignment="1" applyProtection="0">
      <alignment vertical="bottom"/>
    </xf>
    <xf numFmtId="49" fontId="22" fillId="7" borderId="12" applyNumberFormat="1" applyFont="1" applyFill="1" applyBorder="1" applyAlignment="1" applyProtection="0">
      <alignment horizontal="center" vertical="bottom"/>
    </xf>
    <xf numFmtId="0" fontId="22" fillId="7" borderId="13" applyNumberFormat="0" applyFont="1" applyFill="1" applyBorder="1" applyAlignment="1" applyProtection="0">
      <alignment horizontal="center" vertical="bottom"/>
    </xf>
    <xf numFmtId="0" fontId="22" fillId="7" borderId="14" applyNumberFormat="0" applyFont="1" applyFill="1" applyBorder="1" applyAlignment="1" applyProtection="0">
      <alignment horizontal="center" vertical="bottom"/>
    </xf>
    <xf numFmtId="0" fontId="35" fillId="4" borderId="15" applyNumberFormat="0" applyFont="1" applyFill="1" applyBorder="1" applyAlignment="1" applyProtection="0">
      <alignment vertical="bottom"/>
    </xf>
    <xf numFmtId="49" fontId="22" fillId="7" borderId="37" applyNumberFormat="1" applyFont="1" applyFill="1" applyBorder="1" applyAlignment="1" applyProtection="0">
      <alignment horizontal="center" vertical="top"/>
    </xf>
    <xf numFmtId="0" fontId="22" fillId="7" borderId="37" applyNumberFormat="0" applyFont="1" applyFill="1" applyBorder="1" applyAlignment="1" applyProtection="0">
      <alignment horizontal="center" vertical="center" wrapText="1"/>
    </xf>
    <xf numFmtId="49" fontId="22" fillId="7" borderId="20" applyNumberFormat="1" applyFont="1" applyFill="1" applyBorder="1" applyAlignment="1" applyProtection="0">
      <alignment horizontal="center" vertical="top" wrapText="1"/>
    </xf>
    <xf numFmtId="0" fontId="22" fillId="7" borderId="37" applyNumberFormat="0" applyFont="1" applyFill="1" applyBorder="1" applyAlignment="1" applyProtection="0">
      <alignment horizontal="center" vertical="top"/>
    </xf>
    <xf numFmtId="49" fontId="22" fillId="7" borderId="20" applyNumberFormat="1" applyFont="1" applyFill="1" applyBorder="1" applyAlignment="1" applyProtection="0">
      <alignment horizontal="center" vertical="top"/>
    </xf>
    <xf numFmtId="49" fontId="22" fillId="7" borderId="20" applyNumberFormat="1" applyFont="1" applyFill="1" applyBorder="1" applyAlignment="1" applyProtection="0">
      <alignment horizontal="center" vertical="center" wrapText="1"/>
    </xf>
    <xf numFmtId="0" fontId="41" fillId="4" borderId="28" applyNumberFormat="0" applyFont="1" applyFill="1" applyBorder="1" applyAlignment="1" applyProtection="0">
      <alignment vertical="bottom"/>
    </xf>
    <xf numFmtId="0" fontId="41" fillId="4" borderId="26" applyNumberFormat="0" applyFont="1" applyFill="1" applyBorder="1" applyAlignment="1" applyProtection="0">
      <alignment vertical="bottom"/>
    </xf>
    <xf numFmtId="0" fontId="33" fillId="4" borderId="20" applyNumberFormat="0" applyFont="1" applyFill="1" applyBorder="1" applyAlignment="1" applyProtection="0">
      <alignment horizontal="center" vertical="center"/>
    </xf>
    <xf numFmtId="0" fontId="22" fillId="4" borderId="20" applyNumberFormat="0" applyFont="1" applyFill="1" applyBorder="1" applyAlignment="1" applyProtection="0">
      <alignment vertical="center"/>
    </xf>
    <xf numFmtId="0" fontId="22" fillId="4" borderId="20" applyNumberFormat="1" applyFont="1" applyFill="1" applyBorder="1" applyAlignment="1" applyProtection="0">
      <alignment horizontal="right" vertical="bottom"/>
    </xf>
    <xf numFmtId="49" fontId="0" fillId="4" borderId="20" applyNumberFormat="1" applyFont="1" applyFill="1" applyBorder="1" applyAlignment="1" applyProtection="0">
      <alignment vertical="center" wrapText="1"/>
    </xf>
    <xf numFmtId="49" fontId="22" fillId="4" borderId="20" applyNumberFormat="1" applyFont="1" applyFill="1" applyBorder="1" applyAlignment="1" applyProtection="0">
      <alignment horizontal="center" vertical="center" wrapText="1"/>
    </xf>
    <xf numFmtId="0" fontId="22" fillId="12" borderId="20" applyNumberFormat="0" applyFont="1" applyFill="1" applyBorder="1" applyAlignment="1" applyProtection="0">
      <alignment horizontal="center" vertical="center"/>
    </xf>
    <xf numFmtId="0" fontId="22" fillId="4" borderId="20" applyNumberFormat="0" applyFont="1" applyFill="1" applyBorder="1" applyAlignment="1" applyProtection="0">
      <alignment horizontal="center" vertical="center" wrapText="1"/>
    </xf>
    <xf numFmtId="0" fontId="42" fillId="4" borderId="15" applyNumberFormat="0" applyFont="1" applyFill="1" applyBorder="1" applyAlignment="1" applyProtection="0">
      <alignment vertical="bottom"/>
    </xf>
    <xf numFmtId="0" fontId="42" fillId="4" borderId="5" applyNumberFormat="0" applyFont="1" applyFill="1" applyBorder="1" applyAlignment="1" applyProtection="0">
      <alignment vertical="bottom"/>
    </xf>
    <xf numFmtId="0" fontId="25" fillId="4" borderId="28" applyNumberFormat="0" applyFont="1" applyFill="1" applyBorder="1" applyAlignment="1" applyProtection="0">
      <alignment vertical="bottom"/>
    </xf>
    <xf numFmtId="0" fontId="25" fillId="4" borderId="26" applyNumberFormat="0" applyFont="1" applyFill="1" applyBorder="1" applyAlignment="1" applyProtection="0">
      <alignment vertical="bottom"/>
    </xf>
    <xf numFmtId="0" fontId="43" fillId="4" borderId="5" applyNumberFormat="0" applyFont="1" applyFill="1" applyBorder="1" applyAlignment="1" applyProtection="0">
      <alignment vertical="bottom"/>
    </xf>
    <xf numFmtId="49" fontId="38" borderId="19" applyNumberFormat="1" applyFont="1" applyFill="0" applyBorder="1" applyAlignment="1" applyProtection="0">
      <alignment vertical="bottom"/>
    </xf>
    <xf numFmtId="0" fontId="37" fillId="4" borderId="19" applyNumberFormat="0" applyFont="1" applyFill="1" applyBorder="1" applyAlignment="1" applyProtection="0">
      <alignment horizontal="center" vertical="bottom"/>
    </xf>
    <xf numFmtId="0" fontId="37" borderId="19" applyNumberFormat="0" applyFont="1" applyFill="0" applyBorder="1" applyAlignment="1" applyProtection="0">
      <alignment vertical="bottom"/>
    </xf>
    <xf numFmtId="0" fontId="8" fillId="4" borderId="19" applyNumberFormat="0" applyFont="1" applyFill="1" applyBorder="1" applyAlignment="1" applyProtection="0">
      <alignment horizontal="center" vertical="center"/>
    </xf>
    <xf numFmtId="62" fontId="39" fillId="10" borderId="19" applyNumberFormat="1" applyFont="1" applyFill="1" applyBorder="1" applyAlignment="1" applyProtection="0">
      <alignment vertical="bottom"/>
    </xf>
    <xf numFmtId="62" fontId="39" fillId="4" borderId="19" applyNumberFormat="1" applyFont="1" applyFill="1" applyBorder="1" applyAlignment="1" applyProtection="0">
      <alignment vertical="top" wrapText="1"/>
    </xf>
    <xf numFmtId="62" fontId="39" fillId="4" borderId="19" applyNumberFormat="1" applyFont="1" applyFill="1" applyBorder="1" applyAlignment="1" applyProtection="0">
      <alignment horizontal="center" vertical="top" wrapText="1"/>
    </xf>
    <xf numFmtId="0" fontId="37" borderId="19" applyNumberFormat="0" applyFont="1" applyFill="0" applyBorder="1" applyAlignment="1" applyProtection="0">
      <alignment horizontal="center" vertical="bottom"/>
    </xf>
    <xf numFmtId="49" fontId="8" borderId="5" applyNumberFormat="1" applyFont="1" applyFill="0" applyBorder="1" applyAlignment="1" applyProtection="0">
      <alignment horizontal="right" vertical="bottom"/>
    </xf>
    <xf numFmtId="0" fontId="44" fillId="4" borderId="5" applyNumberFormat="0" applyFont="1" applyFill="1" applyBorder="1" applyAlignment="1" applyProtection="0">
      <alignment vertical="bottom"/>
    </xf>
    <xf numFmtId="0" fontId="29" borderId="5" applyNumberFormat="0" applyFont="1" applyFill="0" applyBorder="1" applyAlignment="1" applyProtection="0">
      <alignment vertical="bottom"/>
    </xf>
    <xf numFmtId="0" fontId="33" borderId="5" applyNumberFormat="0" applyFont="1" applyFill="0" applyBorder="1" applyAlignment="1" applyProtection="0">
      <alignment vertical="bottom"/>
    </xf>
    <xf numFmtId="49" fontId="29" fillId="4" borderId="5" applyNumberFormat="1" applyFont="1" applyFill="1" applyBorder="1" applyAlignment="1" applyProtection="0">
      <alignment vertical="top" wrapText="1"/>
    </xf>
    <xf numFmtId="0" fontId="0" fillId="4" borderId="38" applyNumberFormat="0" applyFont="1" applyFill="1" applyBorder="1" applyAlignment="1" applyProtection="0">
      <alignment vertical="bottom"/>
    </xf>
    <xf numFmtId="0" fontId="29" fillId="4" borderId="5" applyNumberFormat="0" applyFont="1" applyFill="1" applyBorder="1" applyAlignment="1" applyProtection="0">
      <alignment vertical="top" wrapText="1"/>
    </xf>
    <xf numFmtId="49" fontId="29" borderId="5" applyNumberFormat="1" applyFont="1" applyFill="0" applyBorder="1" applyAlignment="1" applyProtection="0">
      <alignment vertical="bottom"/>
    </xf>
    <xf numFmtId="0" fontId="29" fillId="4" borderId="5" applyNumberFormat="0" applyFont="1" applyFill="1" applyBorder="1" applyAlignment="1" applyProtection="0">
      <alignment horizontal="right" vertical="bottom"/>
    </xf>
    <xf numFmtId="0" fontId="29" fillId="4" borderId="5" applyNumberFormat="0" applyFont="1" applyFill="1" applyBorder="1" applyAlignment="1" applyProtection="0">
      <alignment horizontal="center" vertical="bottom"/>
    </xf>
    <xf numFmtId="0" fontId="44" fillId="4" borderId="5" applyNumberFormat="0" applyFont="1" applyFill="1" applyBorder="1" applyAlignment="1" applyProtection="0">
      <alignment vertical="top" wrapText="1"/>
    </xf>
    <xf numFmtId="49" fontId="22" fillId="11" borderId="20" applyNumberFormat="1" applyFont="1" applyFill="1" applyBorder="1" applyAlignment="1" applyProtection="0">
      <alignment horizontal="left" vertical="top" wrapText="1"/>
    </xf>
    <xf numFmtId="49" fontId="0" fillId="4" borderId="5" applyNumberFormat="1" applyFont="1" applyFill="1" applyBorder="1" applyAlignment="1" applyProtection="0">
      <alignment horizontal="right" vertical="center"/>
    </xf>
    <xf numFmtId="49" fontId="0" fillId="4" borderId="5" applyNumberFormat="1" applyFont="1" applyFill="1" applyBorder="1" applyAlignment="1" applyProtection="0">
      <alignment horizontal="left" vertical="center"/>
    </xf>
    <xf numFmtId="0" fontId="41" fillId="4" borderId="5" applyNumberFormat="0" applyFont="1" applyFill="1" applyBorder="1" applyAlignment="1" applyProtection="0">
      <alignment horizontal="center" vertical="bottom"/>
    </xf>
    <xf numFmtId="0" fontId="12" fillId="4" borderId="5" applyNumberFormat="0" applyFont="1" applyFill="1" applyBorder="1" applyAlignment="1" applyProtection="0">
      <alignment horizontal="center" vertical="bottom"/>
    </xf>
    <xf numFmtId="0" fontId="0" fillId="4" borderId="5" applyNumberFormat="0" applyFont="1" applyFill="1" applyBorder="1" applyAlignment="1" applyProtection="0">
      <alignment vertical="center"/>
    </xf>
    <xf numFmtId="0" fontId="0" fillId="4" borderId="4" applyNumberFormat="0" applyFont="1" applyFill="1" applyBorder="1" applyAlignment="1" applyProtection="0">
      <alignment horizontal="right" vertical="bottom"/>
    </xf>
    <xf numFmtId="0" fontId="0" fillId="4" borderId="5" applyNumberFormat="0" applyFont="1" applyFill="1" applyBorder="1" applyAlignment="1" applyProtection="0">
      <alignment horizontal="right" vertical="bottom"/>
    </xf>
    <xf numFmtId="0" fontId="41" fillId="4" borderId="5" applyNumberFormat="0" applyFont="1" applyFill="1" applyBorder="1" applyAlignment="1" applyProtection="0">
      <alignment vertical="bottom"/>
    </xf>
    <xf numFmtId="0" fontId="41" fillId="4" borderId="6" applyNumberFormat="0" applyFont="1" applyFill="1" applyBorder="1" applyAlignment="1" applyProtection="0">
      <alignment vertical="bottom"/>
    </xf>
    <xf numFmtId="0" fontId="0" fillId="4" borderId="7" applyNumberFormat="0" applyFont="1" applyFill="1" applyBorder="1" applyAlignment="1" applyProtection="0">
      <alignment horizontal="right" vertical="bottom"/>
    </xf>
    <xf numFmtId="0" fontId="0" borderId="8" applyNumberFormat="0" applyFont="1" applyFill="0" applyBorder="1" applyAlignment="1" applyProtection="0">
      <alignment vertical="bottom"/>
    </xf>
    <xf numFmtId="0" fontId="0" fillId="4" borderId="8" applyNumberFormat="0" applyFont="1" applyFill="1" applyBorder="1" applyAlignment="1" applyProtection="0">
      <alignment horizontal="right" vertical="bottom"/>
    </xf>
    <xf numFmtId="0" fontId="0" fillId="4" borderId="8" applyNumberFormat="0" applyFont="1" applyFill="1" applyBorder="1" applyAlignment="1" applyProtection="0">
      <alignment horizontal="center" vertical="bottom"/>
    </xf>
    <xf numFmtId="0" fontId="41" fillId="4" borderId="8" applyNumberFormat="0" applyFont="1" applyFill="1" applyBorder="1" applyAlignment="1" applyProtection="0">
      <alignment vertical="bottom"/>
    </xf>
    <xf numFmtId="0" fontId="12" fillId="4" borderId="8" applyNumberFormat="0" applyFont="1" applyFill="1" applyBorder="1" applyAlignment="1" applyProtection="0">
      <alignment vertical="bottom"/>
    </xf>
    <xf numFmtId="0" fontId="41" fillId="4" borderId="9" applyNumberFormat="0" applyFont="1" applyFill="1" applyBorder="1" applyAlignment="1" applyProtection="0">
      <alignment vertical="bottom"/>
    </xf>
    <xf numFmtId="0" fontId="0" applyNumberFormat="1" applyFont="1" applyFill="0" applyBorder="0" applyAlignment="1" applyProtection="0">
      <alignment vertical="bottom"/>
    </xf>
    <xf numFmtId="0" fontId="31" fillId="4" borderId="3" applyNumberFormat="0" applyFont="1" applyFill="1" applyBorder="1" applyAlignment="1" applyProtection="0">
      <alignment vertical="bottom"/>
    </xf>
    <xf numFmtId="0" fontId="24" fillId="4" borderId="41" applyNumberFormat="0" applyFont="1" applyFill="1" applyBorder="1" applyAlignment="1" applyProtection="0">
      <alignment vertical="bottom"/>
    </xf>
    <xf numFmtId="49" fontId="0" fillId="4" borderId="25" applyNumberFormat="1" applyFont="1" applyFill="1" applyBorder="1" applyAlignment="1" applyProtection="0">
      <alignment horizontal="center" vertical="center"/>
    </xf>
    <xf numFmtId="0" fontId="0" fillId="4" borderId="2" applyNumberFormat="0" applyFont="1" applyFill="1" applyBorder="1" applyAlignment="1" applyProtection="0">
      <alignment horizontal="center" vertical="center"/>
    </xf>
    <xf numFmtId="0" fontId="0" fillId="4" borderId="19" applyNumberFormat="0" applyFont="1" applyFill="1" applyBorder="1" applyAlignment="1" applyProtection="0">
      <alignment horizontal="right" vertical="bottom"/>
    </xf>
    <xf numFmtId="0" fontId="8" fillId="4" borderId="19" applyNumberFormat="0" applyFont="1" applyFill="1" applyBorder="1" applyAlignment="1" applyProtection="0">
      <alignment horizontal="left" vertical="bottom"/>
    </xf>
    <xf numFmtId="0" fontId="0" fillId="4" borderId="19" applyNumberFormat="0" applyFont="1" applyFill="1" applyBorder="1" applyAlignment="1" applyProtection="0">
      <alignment horizontal="center" vertical="bottom"/>
    </xf>
    <xf numFmtId="17" fontId="22" fillId="4" borderId="10" applyNumberFormat="1" applyFont="1" applyFill="1" applyBorder="1" applyAlignment="1" applyProtection="0">
      <alignment vertical="center"/>
    </xf>
    <xf numFmtId="0" fontId="0" fillId="4" borderId="34" applyNumberFormat="0" applyFont="1" applyFill="1" applyBorder="1" applyAlignment="1" applyProtection="0">
      <alignment horizontal="right" vertical="bottom"/>
    </xf>
    <xf numFmtId="0" fontId="0" fillId="4" borderId="10" applyNumberFormat="0" applyFont="1" applyFill="1" applyBorder="1" applyAlignment="1" applyProtection="0">
      <alignment horizontal="right" vertical="bottom"/>
    </xf>
    <xf numFmtId="0" fontId="8" fillId="4" borderId="10" applyNumberFormat="0" applyFont="1" applyFill="1" applyBorder="1" applyAlignment="1" applyProtection="0">
      <alignment horizontal="left" vertical="bottom"/>
    </xf>
    <xf numFmtId="0" fontId="0" fillId="4" borderId="10" applyNumberFormat="0" applyFont="1" applyFill="1" applyBorder="1" applyAlignment="1" applyProtection="0">
      <alignment horizontal="center" vertical="bottom"/>
    </xf>
    <xf numFmtId="0" fontId="8" fillId="4" borderId="11" applyNumberFormat="0" applyFont="1" applyFill="1" applyBorder="1" applyAlignment="1" applyProtection="0">
      <alignment vertical="center"/>
    </xf>
    <xf numFmtId="0" fontId="8" fillId="4" borderId="20" applyNumberFormat="1" applyFont="1" applyFill="1" applyBorder="1" applyAlignment="1" applyProtection="0">
      <alignment horizontal="left" vertical="center"/>
    </xf>
    <xf numFmtId="0" fontId="8" fillId="4" borderId="20" applyNumberFormat="0" applyFont="1" applyFill="1" applyBorder="1" applyAlignment="1" applyProtection="0">
      <alignment horizontal="left" vertical="center"/>
    </xf>
    <xf numFmtId="0" fontId="8" fillId="4" borderId="35" applyNumberFormat="0" applyFont="1" applyFill="1" applyBorder="1" applyAlignment="1" applyProtection="0">
      <alignment vertical="center"/>
    </xf>
    <xf numFmtId="49" fontId="8" fillId="4" borderId="20" applyNumberFormat="1" applyFont="1" applyFill="1" applyBorder="1" applyAlignment="1" applyProtection="0">
      <alignment horizontal="left" vertical="center"/>
    </xf>
    <xf numFmtId="0" fontId="0" fillId="4" borderId="15" applyNumberFormat="0" applyFont="1" applyFill="1" applyBorder="1" applyAlignment="1" applyProtection="0">
      <alignment horizontal="center" vertical="bottom"/>
    </xf>
    <xf numFmtId="0" fontId="24" fillId="4" borderId="15" applyNumberFormat="0" applyFont="1" applyFill="1" applyBorder="1" applyAlignment="1" applyProtection="0">
      <alignment horizontal="center" vertical="bottom"/>
    </xf>
    <xf numFmtId="0" fontId="8" fillId="4" borderId="15" applyNumberFormat="0" applyFont="1" applyFill="1" applyBorder="1" applyAlignment="1" applyProtection="0">
      <alignment vertical="bottom" wrapText="1"/>
    </xf>
    <xf numFmtId="0" fontId="8" fillId="4" borderId="5" applyNumberFormat="0" applyFont="1" applyFill="1" applyBorder="1" applyAlignment="1" applyProtection="0">
      <alignment vertical="bottom" wrapText="1"/>
    </xf>
    <xf numFmtId="49" fontId="22" fillId="7" borderId="37" applyNumberFormat="1" applyFont="1" applyFill="1" applyBorder="1" applyAlignment="1" applyProtection="0">
      <alignment horizontal="center" vertical="center" wrapText="1"/>
    </xf>
    <xf numFmtId="49" fontId="33" fillId="4" borderId="20" applyNumberFormat="1" applyFont="1" applyFill="1" applyBorder="1" applyAlignment="1" applyProtection="0">
      <alignment vertical="bottom"/>
    </xf>
    <xf numFmtId="49" fontId="22" fillId="4" borderId="20" applyNumberFormat="1" applyFont="1" applyFill="1" applyBorder="1" applyAlignment="1" applyProtection="0">
      <alignment horizontal="center" vertical="bottom"/>
    </xf>
    <xf numFmtId="49" fontId="22" fillId="4" borderId="20" applyNumberFormat="1" applyFont="1" applyFill="1" applyBorder="1" applyAlignment="1" applyProtection="0">
      <alignment vertical="top" wrapText="1"/>
    </xf>
    <xf numFmtId="0" fontId="22" fillId="4" borderId="20" applyNumberFormat="0" applyFont="1" applyFill="1" applyBorder="1" applyAlignment="1" applyProtection="0">
      <alignment vertical="top" wrapText="1"/>
    </xf>
    <xf numFmtId="63" fontId="22" fillId="4" borderId="20" applyNumberFormat="1" applyFont="1" applyFill="1" applyBorder="1" applyAlignment="1" applyProtection="0">
      <alignment horizontal="center" vertical="center"/>
    </xf>
    <xf numFmtId="1" fontId="22" fillId="4" borderId="20" applyNumberFormat="1" applyFont="1" applyFill="1" applyBorder="1" applyAlignment="1" applyProtection="0">
      <alignment horizontal="center" vertical="bottom"/>
    </xf>
    <xf numFmtId="62" fontId="22" fillId="4" borderId="20" applyNumberFormat="1" applyFont="1" applyFill="1" applyBorder="1" applyAlignment="1" applyProtection="0">
      <alignment horizontal="center" vertical="center"/>
    </xf>
    <xf numFmtId="0" fontId="37" fillId="4" borderId="42" applyNumberFormat="0" applyFont="1" applyFill="1" applyBorder="1" applyAlignment="1" applyProtection="0">
      <alignment horizontal="right" vertical="bottom"/>
    </xf>
    <xf numFmtId="49" fontId="8" fillId="10" borderId="20" applyNumberFormat="1" applyFont="1" applyFill="1" applyBorder="1" applyAlignment="1" applyProtection="0">
      <alignment horizontal="center" vertical="center" wrapText="1"/>
    </xf>
    <xf numFmtId="0" fontId="8" fillId="4" borderId="21" applyNumberFormat="0" applyFont="1" applyFill="1" applyBorder="1" applyAlignment="1" applyProtection="0">
      <alignment vertical="bottom"/>
    </xf>
    <xf numFmtId="0" fontId="8" fillId="4" borderId="22" applyNumberFormat="0" applyFont="1" applyFill="1" applyBorder="1" applyAlignment="1" applyProtection="0">
      <alignment vertical="bottom"/>
    </xf>
    <xf numFmtId="1" fontId="45" fillId="8" borderId="20" applyNumberFormat="1" applyFont="1" applyFill="1" applyBorder="1" applyAlignment="1" applyProtection="0">
      <alignment horizontal="center" vertical="center"/>
    </xf>
    <xf numFmtId="62" fontId="45" fillId="8" borderId="20" applyNumberFormat="1" applyFont="1" applyFill="1" applyBorder="1" applyAlignment="1" applyProtection="0">
      <alignment horizontal="center" vertical="center"/>
    </xf>
    <xf numFmtId="62" fontId="45" fillId="8" borderId="20" applyNumberFormat="1" applyFont="1" applyFill="1" applyBorder="1" applyAlignment="1" applyProtection="0">
      <alignment horizontal="center" vertical="bottom"/>
    </xf>
    <xf numFmtId="64" fontId="45" fillId="8" borderId="20" applyNumberFormat="1" applyFont="1" applyFill="1" applyBorder="1" applyAlignment="1" applyProtection="0">
      <alignment horizontal="center" vertical="center"/>
    </xf>
    <xf numFmtId="2" fontId="45" fillId="8" borderId="20" applyNumberFormat="1" applyFont="1" applyFill="1" applyBorder="1" applyAlignment="1" applyProtection="0">
      <alignment horizontal="center" vertical="center"/>
    </xf>
    <xf numFmtId="49" fontId="20" fillId="4" borderId="19" applyNumberFormat="1" applyFont="1" applyFill="1" applyBorder="1" applyAlignment="1" applyProtection="0">
      <alignment vertical="bottom"/>
    </xf>
    <xf numFmtId="0" fontId="0" fillId="4" borderId="24" applyNumberFormat="0" applyFont="1" applyFill="1" applyBorder="1" applyAlignment="1" applyProtection="0">
      <alignment horizontal="right" vertical="bottom"/>
    </xf>
    <xf numFmtId="49" fontId="22" fillId="10" borderId="20" applyNumberFormat="1" applyFont="1" applyFill="1" applyBorder="1" applyAlignment="1" applyProtection="0">
      <alignment horizontal="center" vertical="center" wrapText="1"/>
    </xf>
    <xf numFmtId="49" fontId="20" fillId="4" borderId="5" applyNumberFormat="1" applyFont="1" applyFill="1" applyBorder="1" applyAlignment="1" applyProtection="0">
      <alignment vertical="bottom"/>
    </xf>
    <xf numFmtId="49" fontId="8" fillId="10" borderId="20" applyNumberFormat="1" applyFont="1" applyFill="1" applyBorder="1" applyAlignment="1" applyProtection="0">
      <alignment horizontal="right" vertical="bottom"/>
    </xf>
    <xf numFmtId="0" fontId="8" fillId="10" borderId="20" applyNumberFormat="0" applyFont="1" applyFill="1" applyBorder="1" applyAlignment="1" applyProtection="0">
      <alignment horizontal="center" vertical="center" wrapText="1"/>
    </xf>
    <xf numFmtId="0" fontId="8" fillId="10" borderId="20" applyNumberFormat="1" applyFont="1" applyFill="1" applyBorder="1" applyAlignment="1" applyProtection="0">
      <alignment horizontal="center" vertical="center" wrapText="1"/>
    </xf>
    <xf numFmtId="49" fontId="8" fillId="10" borderId="20" applyNumberFormat="1" applyFont="1" applyFill="1" applyBorder="1" applyAlignment="1" applyProtection="0">
      <alignment horizontal="center" vertical="center"/>
    </xf>
    <xf numFmtId="0" fontId="8" fillId="10" borderId="20"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31" borderId="33" applyNumberFormat="0" applyFont="1" applyFill="0" applyBorder="1" applyAlignment="1" applyProtection="0">
      <alignment vertical="bottom"/>
    </xf>
    <xf numFmtId="49" fontId="32" fillId="4" borderId="12" applyNumberFormat="1" applyFont="1" applyFill="1" applyBorder="1" applyAlignment="1" applyProtection="0">
      <alignment horizontal="left" vertical="center"/>
    </xf>
    <xf numFmtId="0" fontId="32" fillId="4" borderId="13" applyNumberFormat="0" applyFont="1" applyFill="1" applyBorder="1" applyAlignment="1" applyProtection="0">
      <alignment horizontal="left" vertical="center"/>
    </xf>
    <xf numFmtId="0" fontId="32" fillId="4" borderId="14" applyNumberFormat="0" applyFont="1" applyFill="1" applyBorder="1" applyAlignment="1" applyProtection="0">
      <alignment horizontal="left" vertical="center"/>
    </xf>
    <xf numFmtId="0" fontId="0" borderId="13" applyNumberFormat="0" applyFont="1" applyFill="0" applyBorder="1" applyAlignment="1" applyProtection="0">
      <alignment horizontal="right" vertical="bottom"/>
    </xf>
    <xf numFmtId="0" fontId="0" borderId="13" applyNumberFormat="0" applyFont="1" applyFill="0" applyBorder="1" applyAlignment="1" applyProtection="0">
      <alignment horizontal="center" vertical="bottom"/>
    </xf>
    <xf numFmtId="17" fontId="22" fillId="4" borderId="13" applyNumberFormat="1" applyFont="1" applyFill="1" applyBorder="1" applyAlignment="1" applyProtection="0">
      <alignment horizontal="center" vertical="center"/>
    </xf>
    <xf numFmtId="0" fontId="0" fillId="4" borderId="13" applyNumberFormat="0" applyFont="1" applyFill="1" applyBorder="1" applyAlignment="1" applyProtection="0">
      <alignment horizontal="center" vertical="bottom"/>
    </xf>
    <xf numFmtId="49" fontId="1" fillId="4" borderId="20" applyNumberFormat="1" applyFont="1" applyFill="1" applyBorder="1" applyAlignment="1" applyProtection="0">
      <alignment vertical="bottom"/>
    </xf>
    <xf numFmtId="0" fontId="8" fillId="4" borderId="13" applyNumberFormat="0" applyFont="1" applyFill="1" applyBorder="1" applyAlignment="1" applyProtection="0">
      <alignment vertical="center"/>
    </xf>
    <xf numFmtId="49" fontId="33" fillId="7" borderId="36" applyNumberFormat="1" applyFont="1" applyFill="1" applyBorder="1" applyAlignment="1" applyProtection="0">
      <alignment horizontal="center" vertical="center" wrapText="1"/>
    </xf>
    <xf numFmtId="0" fontId="33" fillId="7" borderId="36" applyNumberFormat="0" applyFont="1" applyFill="1" applyBorder="1" applyAlignment="1" applyProtection="0">
      <alignment horizontal="center" vertical="center" wrapText="1"/>
    </xf>
    <xf numFmtId="14" fontId="8" fillId="9" borderId="20" applyNumberFormat="1" applyFont="1" applyFill="1" applyBorder="1" applyAlignment="1" applyProtection="0">
      <alignment horizontal="center" vertical="center" wrapText="1"/>
    </xf>
    <xf numFmtId="49" fontId="8" fillId="7" borderId="12" applyNumberFormat="1" applyFont="1" applyFill="1" applyBorder="1" applyAlignment="1" applyProtection="0">
      <alignment horizontal="center" vertical="center" wrapText="1"/>
    </xf>
    <xf numFmtId="0" fontId="0" borderId="14" applyNumberFormat="0" applyFont="1" applyFill="0" applyBorder="1" applyAlignment="1" applyProtection="0">
      <alignment vertical="bottom"/>
    </xf>
    <xf numFmtId="62" fontId="8" fillId="9" borderId="20" applyNumberFormat="1" applyFont="1" applyFill="1" applyBorder="1" applyAlignment="1" applyProtection="0">
      <alignment horizontal="center" vertical="center" wrapText="1"/>
    </xf>
    <xf numFmtId="0" fontId="24" borderId="20" applyNumberFormat="0" applyFont="1" applyFill="0" applyBorder="1" applyAlignment="1" applyProtection="0">
      <alignment vertical="bottom"/>
    </xf>
    <xf numFmtId="49" fontId="33" fillId="7" borderId="37" applyNumberFormat="1" applyFont="1" applyFill="1" applyBorder="1" applyAlignment="1" applyProtection="0">
      <alignment horizontal="center" vertical="center" wrapText="1"/>
    </xf>
    <xf numFmtId="0" fontId="33" fillId="7" borderId="37" applyNumberFormat="0" applyFont="1" applyFill="1" applyBorder="1" applyAlignment="1" applyProtection="0">
      <alignment horizontal="center" vertical="center" wrapText="1"/>
    </xf>
    <xf numFmtId="0" fontId="22" fillId="4" borderId="20" applyNumberFormat="0" applyFont="1" applyFill="1" applyBorder="1" applyAlignment="1" applyProtection="0">
      <alignment vertical="center" wrapText="1"/>
    </xf>
    <xf numFmtId="60" fontId="0" fillId="4" borderId="20" applyNumberFormat="1" applyFont="1" applyFill="1" applyBorder="1" applyAlignment="1" applyProtection="0">
      <alignment horizontal="center" vertical="center"/>
    </xf>
    <xf numFmtId="0" fontId="22" fillId="4" borderId="20" applyNumberFormat="0" applyFont="1" applyFill="1" applyBorder="1" applyAlignment="1" applyProtection="0">
      <alignment horizontal="center" vertical="bottom"/>
    </xf>
    <xf numFmtId="49" fontId="22" fillId="4" borderId="20" applyNumberFormat="1" applyFont="1" applyFill="1" applyBorder="1" applyAlignment="1" applyProtection="0">
      <alignment vertical="center" wrapText="1"/>
    </xf>
    <xf numFmtId="0" fontId="0" fillId="4" borderId="20" applyNumberFormat="0" applyFont="1" applyFill="1" applyBorder="1" applyAlignment="1" applyProtection="0">
      <alignment horizontal="center" vertical="center" wrapText="1"/>
    </xf>
    <xf numFmtId="62" fontId="0" fillId="13" borderId="20" applyNumberFormat="1" applyFont="1" applyFill="1" applyBorder="1" applyAlignment="1" applyProtection="0">
      <alignment horizontal="center" vertical="center" wrapText="1"/>
    </xf>
    <xf numFmtId="62" fontId="22" fillId="4" borderId="20" applyNumberFormat="1" applyFont="1" applyFill="1" applyBorder="1" applyAlignment="1" applyProtection="0">
      <alignment horizontal="center" vertical="center" wrapText="1"/>
    </xf>
    <xf numFmtId="0" fontId="46" fillId="4" borderId="42" applyNumberFormat="0" applyFont="1" applyFill="1" applyBorder="1" applyAlignment="1" applyProtection="0">
      <alignment horizontal="right" vertical="bottom"/>
    </xf>
    <xf numFmtId="0" fontId="0" borderId="21" applyNumberFormat="0" applyFont="1" applyFill="0" applyBorder="1" applyAlignment="1" applyProtection="0">
      <alignment vertical="bottom"/>
    </xf>
    <xf numFmtId="0" fontId="41" borderId="19" applyNumberFormat="0" applyFont="1" applyFill="0" applyBorder="1" applyAlignment="1" applyProtection="0">
      <alignment horizontal="right" vertical="bottom"/>
    </xf>
    <xf numFmtId="0" fontId="41" fillId="4" borderId="19" applyNumberFormat="0" applyFont="1" applyFill="1" applyBorder="1" applyAlignment="1" applyProtection="0">
      <alignment horizontal="right" vertical="bottom"/>
    </xf>
    <xf numFmtId="0" fontId="35" borderId="5" applyNumberFormat="0" applyFont="1" applyFill="0" applyBorder="1" applyAlignment="1" applyProtection="0">
      <alignment vertical="bottom"/>
    </xf>
    <xf numFmtId="0" fontId="41" fillId="4" borderId="4" applyNumberFormat="0" applyFont="1" applyFill="1" applyBorder="1" applyAlignment="1" applyProtection="0">
      <alignment horizontal="right" vertical="bottom"/>
    </xf>
    <xf numFmtId="49" fontId="29" borderId="19" applyNumberFormat="1" applyFont="1" applyFill="0" applyBorder="1" applyAlignment="1" applyProtection="0">
      <alignment vertical="bottom"/>
    </xf>
    <xf numFmtId="0" fontId="41" fillId="4" borderId="5" applyNumberFormat="0" applyFont="1" applyFill="1" applyBorder="1" applyAlignment="1" applyProtection="0">
      <alignment horizontal="right" vertical="bottom"/>
    </xf>
    <xf numFmtId="0" fontId="41" fillId="4" borderId="10" applyNumberFormat="0" applyFont="1" applyFill="1" applyBorder="1" applyAlignment="1" applyProtection="0">
      <alignment horizontal="right" vertical="bottom"/>
    </xf>
    <xf numFmtId="0" fontId="35" fillId="4" borderId="39" applyNumberFormat="0" applyFont="1" applyFill="1" applyBorder="1" applyAlignment="1" applyProtection="0">
      <alignment horizontal="right" vertical="bottom"/>
    </xf>
    <xf numFmtId="0" fontId="0" borderId="9" applyNumberFormat="0" applyFont="1" applyFill="0" applyBorder="1" applyAlignment="1" applyProtection="0">
      <alignment vertical="bottom"/>
    </xf>
    <xf numFmtId="0" fontId="0" applyNumberFormat="1" applyFont="1" applyFill="0" applyBorder="0" applyAlignment="1" applyProtection="0">
      <alignment vertical="bottom"/>
    </xf>
    <xf numFmtId="0" fontId="24" fillId="4" borderId="2" applyNumberFormat="0" applyFont="1" applyFill="1" applyBorder="1" applyAlignment="1" applyProtection="0">
      <alignment horizontal="right" vertical="bottom"/>
    </xf>
    <xf numFmtId="0" fontId="8" fillId="4" borderId="2" applyNumberFormat="0" applyFont="1" applyFill="1" applyBorder="1" applyAlignment="1" applyProtection="0">
      <alignment horizontal="left" vertical="bottom"/>
    </xf>
    <xf numFmtId="0" fontId="8" fillId="4" borderId="33" applyNumberFormat="0" applyFont="1" applyFill="1" applyBorder="1" applyAlignment="1" applyProtection="0">
      <alignment horizontal="left" vertical="bottom"/>
    </xf>
    <xf numFmtId="49" fontId="0" fillId="4" borderId="12" applyNumberFormat="1" applyFont="1" applyFill="1" applyBorder="1" applyAlignment="1" applyProtection="0">
      <alignment horizontal="left" vertical="center"/>
    </xf>
    <xf numFmtId="0" fontId="0" fillId="4" borderId="13" applyNumberFormat="0" applyFont="1" applyFill="1" applyBorder="1" applyAlignment="1" applyProtection="0">
      <alignment horizontal="left" vertical="center"/>
    </xf>
    <xf numFmtId="0" fontId="0" fillId="4" borderId="14" applyNumberFormat="0" applyFont="1" applyFill="1" applyBorder="1" applyAlignment="1" applyProtection="0">
      <alignment horizontal="left" vertical="center"/>
    </xf>
    <xf numFmtId="0" fontId="24" fillId="4" borderId="11" applyNumberFormat="0" applyFont="1" applyFill="1" applyBorder="1" applyAlignment="1" applyProtection="0">
      <alignment vertical="bottom"/>
    </xf>
    <xf numFmtId="0" fontId="8" fillId="4" borderId="23" applyNumberFormat="0" applyFont="1" applyFill="1" applyBorder="1" applyAlignment="1" applyProtection="0">
      <alignment vertical="center"/>
    </xf>
    <xf numFmtId="0" fontId="8" fillId="4" borderId="10" applyNumberFormat="0" applyFont="1" applyFill="1" applyBorder="1" applyAlignment="1" applyProtection="0">
      <alignment vertical="center"/>
    </xf>
    <xf numFmtId="49" fontId="8" fillId="7" borderId="20" applyNumberFormat="1" applyFont="1" applyFill="1" applyBorder="1" applyAlignment="1" applyProtection="0">
      <alignment horizontal="right" vertical="center"/>
    </xf>
    <xf numFmtId="0" fontId="8" fillId="7" borderId="20" applyNumberFormat="0" applyFont="1" applyFill="1" applyBorder="1" applyAlignment="1" applyProtection="0">
      <alignment horizontal="right" vertical="center"/>
    </xf>
    <xf numFmtId="0" fontId="8" fillId="8" borderId="20" applyNumberFormat="1" applyFont="1" applyFill="1" applyBorder="1" applyAlignment="1" applyProtection="0">
      <alignment horizontal="left" vertical="center"/>
    </xf>
    <xf numFmtId="0" fontId="8" fillId="8" borderId="20" applyNumberFormat="0" applyFont="1" applyFill="1" applyBorder="1" applyAlignment="1" applyProtection="0">
      <alignment horizontal="left" vertical="center"/>
    </xf>
    <xf numFmtId="0" fontId="8" fillId="4" borderId="30" applyNumberFormat="0" applyFont="1" applyFill="1" applyBorder="1" applyAlignment="1" applyProtection="0">
      <alignment horizontal="left" vertical="bottom"/>
    </xf>
    <xf numFmtId="0" fontId="8" fillId="4" borderId="43" applyNumberFormat="0" applyFont="1" applyFill="1" applyBorder="1" applyAlignment="1" applyProtection="0">
      <alignment horizontal="left" vertical="bottom"/>
    </xf>
    <xf numFmtId="0" fontId="8" fillId="4" borderId="44" applyNumberFormat="0" applyFont="1" applyFill="1" applyBorder="1" applyAlignment="1" applyProtection="0">
      <alignment horizontal="left" vertical="bottom"/>
    </xf>
    <xf numFmtId="0" fontId="24" fillId="4" borderId="44"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0" fontId="0" fillId="4" borderId="45" applyNumberFormat="0" applyFont="1" applyFill="1" applyBorder="1" applyAlignment="1" applyProtection="0">
      <alignment vertical="center"/>
    </xf>
    <xf numFmtId="0" fontId="0" fillId="4" borderId="46" applyNumberFormat="0" applyFont="1" applyFill="1" applyBorder="1" applyAlignment="1" applyProtection="0">
      <alignment vertical="center"/>
    </xf>
    <xf numFmtId="49" fontId="28" fillId="7" borderId="47" applyNumberFormat="1" applyFont="1" applyFill="1" applyBorder="1" applyAlignment="1" applyProtection="0">
      <alignment horizontal="center" vertical="center"/>
    </xf>
    <xf numFmtId="0" fontId="0" fillId="4" borderId="48" applyNumberFormat="0" applyFont="1" applyFill="1" applyBorder="1" applyAlignment="1" applyProtection="0">
      <alignment vertical="bottom"/>
    </xf>
    <xf numFmtId="0" fontId="0" fillId="4" borderId="49" applyNumberFormat="0" applyFont="1" applyFill="1" applyBorder="1" applyAlignment="1" applyProtection="0">
      <alignment vertical="bottom"/>
    </xf>
    <xf numFmtId="0" fontId="0" fillId="4" borderId="50" applyNumberFormat="0" applyFont="1" applyFill="1" applyBorder="1" applyAlignment="1" applyProtection="0">
      <alignment vertical="bottom"/>
    </xf>
    <xf numFmtId="0" fontId="8" fillId="4" borderId="51" applyNumberFormat="0" applyFont="1" applyFill="1" applyBorder="1" applyAlignment="1" applyProtection="0">
      <alignment horizontal="left" vertical="center"/>
    </xf>
    <xf numFmtId="0" fontId="0" fillId="4" borderId="52" applyNumberFormat="0" applyFont="1" applyFill="1" applyBorder="1" applyAlignment="1" applyProtection="0">
      <alignment vertical="bottom"/>
    </xf>
    <xf numFmtId="49" fontId="8" fillId="7" borderId="53" applyNumberFormat="1" applyFont="1" applyFill="1" applyBorder="1" applyAlignment="1" applyProtection="0">
      <alignment horizontal="right" vertical="center"/>
    </xf>
    <xf numFmtId="0" fontId="8" fillId="12" borderId="12" applyNumberFormat="0" applyFont="1" applyFill="1" applyBorder="1" applyAlignment="1" applyProtection="0">
      <alignment horizontal="center" vertical="center"/>
    </xf>
    <xf numFmtId="0" fontId="8" fillId="12" borderId="13" applyNumberFormat="0" applyFont="1" applyFill="1" applyBorder="1" applyAlignment="1" applyProtection="0">
      <alignment horizontal="center" vertical="center"/>
    </xf>
    <xf numFmtId="0" fontId="8" fillId="12" borderId="54" applyNumberFormat="0" applyFont="1" applyFill="1" applyBorder="1" applyAlignment="1" applyProtection="0">
      <alignment horizontal="center" vertical="center"/>
    </xf>
    <xf numFmtId="49" fontId="8" fillId="7" borderId="55" applyNumberFormat="1" applyFont="1" applyFill="1" applyBorder="1" applyAlignment="1" applyProtection="0">
      <alignment horizontal="right" vertical="center"/>
    </xf>
    <xf numFmtId="49" fontId="8" fillId="7" borderId="53" applyNumberFormat="1" applyFont="1" applyFill="1" applyBorder="1" applyAlignment="1" applyProtection="0">
      <alignment horizontal="right" vertical="center" wrapText="1"/>
    </xf>
    <xf numFmtId="0" fontId="8" fillId="7" borderId="20" applyNumberFormat="0" applyFont="1" applyFill="1" applyBorder="1" applyAlignment="1" applyProtection="0">
      <alignment horizontal="right" vertical="center" wrapText="1"/>
    </xf>
    <xf numFmtId="0" fontId="8" fillId="12" borderId="12" applyNumberFormat="0" applyFont="1" applyFill="1" applyBorder="1" applyAlignment="1" applyProtection="0">
      <alignment horizontal="center" vertical="center" wrapText="1"/>
    </xf>
    <xf numFmtId="0" fontId="8" fillId="12" borderId="13" applyNumberFormat="0" applyFont="1" applyFill="1" applyBorder="1" applyAlignment="1" applyProtection="0">
      <alignment horizontal="center" vertical="center" wrapText="1"/>
    </xf>
    <xf numFmtId="0" fontId="8" fillId="12" borderId="54" applyNumberFormat="0" applyFont="1" applyFill="1" applyBorder="1" applyAlignment="1" applyProtection="0">
      <alignment horizontal="center" vertical="center" wrapText="1"/>
    </xf>
    <xf numFmtId="49" fontId="8" fillId="7" borderId="55" applyNumberFormat="1" applyFont="1" applyFill="1" applyBorder="1" applyAlignment="1" applyProtection="0">
      <alignment horizontal="right" vertical="center" wrapText="1"/>
    </xf>
    <xf numFmtId="0" fontId="0" fillId="4" borderId="56" applyNumberFormat="0" applyFont="1" applyFill="1" applyBorder="1" applyAlignment="1" applyProtection="0">
      <alignment vertical="bottom"/>
    </xf>
    <xf numFmtId="0" fontId="0" fillId="4" borderId="57" applyNumberFormat="0" applyFont="1" applyFill="1" applyBorder="1" applyAlignment="1" applyProtection="0">
      <alignment vertical="bottom"/>
    </xf>
    <xf numFmtId="0" fontId="0" fillId="4" borderId="58" applyNumberFormat="0" applyFont="1" applyFill="1" applyBorder="1" applyAlignment="1" applyProtection="0">
      <alignment vertical="bottom"/>
    </xf>
    <xf numFmtId="0" fontId="8" fillId="4" borderId="51" applyNumberFormat="0" applyFont="1" applyFill="1" applyBorder="1" applyAlignment="1" applyProtection="0">
      <alignment horizontal="left" vertical="bottom"/>
    </xf>
    <xf numFmtId="49" fontId="8" fillId="7" borderId="59" applyNumberFormat="1" applyFont="1" applyFill="1" applyBorder="1" applyAlignment="1" applyProtection="0">
      <alignment horizontal="center" vertical="center" wrapText="1"/>
    </xf>
    <xf numFmtId="49" fontId="8" fillId="7" borderId="60" applyNumberFormat="1" applyFont="1" applyFill="1" applyBorder="1" applyAlignment="1" applyProtection="0">
      <alignment horizontal="center" vertical="center" wrapText="1"/>
    </xf>
    <xf numFmtId="49" fontId="8" fillId="7" borderId="61" applyNumberFormat="1" applyFont="1" applyFill="1" applyBorder="1" applyAlignment="1" applyProtection="0">
      <alignment horizontal="center" vertical="center" wrapText="1"/>
    </xf>
    <xf numFmtId="0" fontId="0" fillId="12" borderId="53" applyNumberFormat="0" applyFont="1" applyFill="1" applyBorder="1" applyAlignment="1" applyProtection="0">
      <alignment horizontal="center" vertical="center"/>
    </xf>
    <xf numFmtId="2" fontId="0" fillId="13" borderId="20" applyNumberFormat="1" applyFont="1" applyFill="1" applyBorder="1" applyAlignment="1" applyProtection="0">
      <alignment horizontal="center" vertical="center"/>
    </xf>
    <xf numFmtId="65" fontId="0" fillId="13" borderId="20" applyNumberFormat="1" applyFont="1" applyFill="1" applyBorder="1" applyAlignment="1" applyProtection="0">
      <alignment horizontal="center" vertical="center"/>
    </xf>
    <xf numFmtId="49" fontId="0" fillId="4" borderId="62" applyNumberFormat="1" applyFont="1" applyFill="1" applyBorder="1" applyAlignment="1" applyProtection="0">
      <alignment horizontal="center" vertical="bottom"/>
    </xf>
    <xf numFmtId="0" fontId="0" fillId="12" borderId="53" applyNumberFormat="0" applyFont="1" applyFill="1" applyBorder="1" applyAlignment="1" applyProtection="0">
      <alignment horizontal="center" vertical="bottom"/>
    </xf>
    <xf numFmtId="0" fontId="0" fillId="12" borderId="63" applyNumberFormat="0" applyFont="1" applyFill="1" applyBorder="1" applyAlignment="1" applyProtection="0">
      <alignment horizontal="center" vertical="bottom"/>
    </xf>
    <xf numFmtId="2" fontId="0" fillId="13" borderId="64" applyNumberFormat="1" applyFont="1" applyFill="1" applyBorder="1" applyAlignment="1" applyProtection="0">
      <alignment horizontal="center" vertical="center"/>
    </xf>
    <xf numFmtId="65" fontId="0" fillId="13" borderId="64" applyNumberFormat="1" applyFont="1" applyFill="1" applyBorder="1" applyAlignment="1" applyProtection="0">
      <alignment horizontal="center" vertical="center"/>
    </xf>
    <xf numFmtId="49" fontId="0" fillId="4" borderId="64" applyNumberFormat="1" applyFont="1" applyFill="1" applyBorder="1" applyAlignment="1" applyProtection="0">
      <alignment horizontal="center" vertical="center" wrapText="1"/>
    </xf>
    <xf numFmtId="49" fontId="0" fillId="4" borderId="65" applyNumberFormat="1" applyFont="1" applyFill="1" applyBorder="1" applyAlignment="1" applyProtection="0">
      <alignment horizontal="center" vertical="bottom"/>
    </xf>
    <xf numFmtId="0" fontId="0" fillId="4" borderId="66" applyNumberFormat="0" applyFont="1" applyFill="1" applyBorder="1" applyAlignment="1" applyProtection="0">
      <alignment vertical="bottom"/>
    </xf>
    <xf numFmtId="0" fontId="0" fillId="4" borderId="67" applyNumberFormat="0" applyFont="1" applyFill="1" applyBorder="1" applyAlignment="1" applyProtection="0">
      <alignment vertical="bottom"/>
    </xf>
    <xf numFmtId="0" fontId="0" fillId="4" borderId="68" applyNumberFormat="0" applyFont="1" applyFill="1" applyBorder="1" applyAlignment="1" applyProtection="0">
      <alignment vertical="bottom"/>
    </xf>
    <xf numFmtId="49" fontId="8" fillId="10" borderId="60" applyNumberFormat="1" applyFont="1" applyFill="1" applyBorder="1" applyAlignment="1" applyProtection="0">
      <alignment horizontal="right" vertical="center"/>
    </xf>
    <xf numFmtId="49" fontId="8" fillId="10" borderId="60" applyNumberFormat="1" applyFont="1" applyFill="1" applyBorder="1" applyAlignment="1" applyProtection="0">
      <alignment horizontal="center" vertical="center"/>
    </xf>
    <xf numFmtId="62" fontId="8" fillId="10" borderId="61" applyNumberFormat="1" applyFont="1" applyFill="1" applyBorder="1" applyAlignment="1" applyProtection="0">
      <alignment horizontal="center" vertical="bottom"/>
    </xf>
    <xf numFmtId="0" fontId="0" fillId="4" borderId="69" applyNumberFormat="0" applyFont="1" applyFill="1" applyBorder="1" applyAlignment="1" applyProtection="0">
      <alignment horizontal="left" vertical="bottom" wrapText="1"/>
    </xf>
    <xf numFmtId="0" fontId="0" fillId="4" borderId="10" applyNumberFormat="0" applyFont="1" applyFill="1" applyBorder="1" applyAlignment="1" applyProtection="0">
      <alignment horizontal="left" vertical="bottom" wrapText="1"/>
    </xf>
    <xf numFmtId="0" fontId="0" fillId="4" borderId="22" applyNumberFormat="0" applyFont="1" applyFill="1" applyBorder="1" applyAlignment="1" applyProtection="0">
      <alignment horizontal="left" vertical="bottom" wrapText="1"/>
    </xf>
    <xf numFmtId="62" fontId="0" fillId="10" borderId="62" applyNumberFormat="1" applyFont="1" applyFill="1" applyBorder="1" applyAlignment="1" applyProtection="0">
      <alignment horizontal="center" vertical="center"/>
    </xf>
    <xf numFmtId="49" fontId="0" fillId="10" borderId="20" applyNumberFormat="1" applyFont="1" applyFill="1" applyBorder="1" applyAlignment="1" applyProtection="0">
      <alignment horizontal="center" vertical="center"/>
    </xf>
    <xf numFmtId="0" fontId="0" fillId="4" borderId="35" applyNumberFormat="0" applyFont="1" applyFill="1" applyBorder="1" applyAlignment="1" applyProtection="0">
      <alignment vertical="bottom"/>
    </xf>
    <xf numFmtId="49" fontId="8" fillId="10" borderId="20" applyNumberFormat="1" applyFont="1" applyFill="1" applyBorder="1" applyAlignment="1" applyProtection="0">
      <alignment horizontal="center" vertical="bottom"/>
    </xf>
    <xf numFmtId="0" fontId="8" fillId="10" borderId="62" applyNumberFormat="0" applyFont="1" applyFill="1" applyBorder="1" applyAlignment="1" applyProtection="0">
      <alignment horizontal="center" vertical="center"/>
    </xf>
    <xf numFmtId="0" fontId="0" fillId="4" borderId="55" applyNumberFormat="0" applyFont="1" applyFill="1" applyBorder="1" applyAlignment="1" applyProtection="0">
      <alignment vertical="bottom" wrapText="1"/>
    </xf>
    <xf numFmtId="0" fontId="8" fillId="4" borderId="13" applyNumberFormat="0" applyFont="1" applyFill="1" applyBorder="1" applyAlignment="1" applyProtection="0">
      <alignment horizontal="left" vertical="top"/>
    </xf>
    <xf numFmtId="0" fontId="8" fillId="4" borderId="5" applyNumberFormat="0" applyFont="1" applyFill="1" applyBorder="1" applyAlignment="1" applyProtection="0">
      <alignment horizontal="left" vertical="top"/>
    </xf>
    <xf numFmtId="0" fontId="0" fillId="4" borderId="19" applyNumberFormat="0" applyFont="1" applyFill="1" applyBorder="1" applyAlignment="1" applyProtection="0">
      <alignment horizontal="left" vertical="top" wrapText="1"/>
    </xf>
    <xf numFmtId="0" fontId="0" fillId="4" borderId="70" applyNumberFormat="0" applyFont="1" applyFill="1" applyBorder="1" applyAlignment="1" applyProtection="0">
      <alignment horizontal="left" vertical="top"/>
    </xf>
    <xf numFmtId="49" fontId="8" fillId="7" borderId="53" applyNumberFormat="1" applyFont="1" applyFill="1" applyBorder="1" applyAlignment="1" applyProtection="0">
      <alignment horizontal="center" vertical="bottom" wrapText="1"/>
    </xf>
    <xf numFmtId="0" fontId="8" fillId="7" borderId="20" applyNumberFormat="0" applyFont="1" applyFill="1" applyBorder="1" applyAlignment="1" applyProtection="0">
      <alignment horizontal="center" vertical="bottom" wrapText="1"/>
    </xf>
    <xf numFmtId="0" fontId="24" fillId="4" borderId="23" applyNumberFormat="0" applyFont="1" applyFill="1" applyBorder="1" applyAlignment="1" applyProtection="0">
      <alignment vertical="bottom"/>
    </xf>
    <xf numFmtId="0" fontId="24" fillId="4" borderId="10" applyNumberFormat="0" applyFont="1" applyFill="1" applyBorder="1" applyAlignment="1" applyProtection="0">
      <alignment vertical="bottom"/>
    </xf>
    <xf numFmtId="0" fontId="24" fillId="4" borderId="71" applyNumberFormat="0" applyFont="1" applyFill="1" applyBorder="1" applyAlignment="1" applyProtection="0">
      <alignment vertical="bottom"/>
    </xf>
    <xf numFmtId="0" fontId="24" fillId="4" borderId="51" applyNumberFormat="0" applyFont="1" applyFill="1" applyBorder="1" applyAlignment="1" applyProtection="0">
      <alignment vertical="bottom"/>
    </xf>
    <xf numFmtId="0" fontId="22" fillId="9" borderId="62" applyNumberFormat="0" applyFont="1" applyFill="1" applyBorder="1" applyAlignment="1" applyProtection="0">
      <alignment horizontal="center" vertical="center" wrapText="1"/>
    </xf>
    <xf numFmtId="49" fontId="8" fillId="7" borderId="63" applyNumberFormat="1" applyFont="1" applyFill="1" applyBorder="1" applyAlignment="1" applyProtection="0">
      <alignment horizontal="center" vertical="bottom" wrapText="1"/>
    </xf>
    <xf numFmtId="0" fontId="8" fillId="7" borderId="64" applyNumberFormat="0" applyFont="1" applyFill="1" applyBorder="1" applyAlignment="1" applyProtection="0">
      <alignment horizontal="center" vertical="bottom" wrapText="1"/>
    </xf>
    <xf numFmtId="0" fontId="22" fillId="9" borderId="64" applyNumberFormat="0" applyFont="1" applyFill="1" applyBorder="1" applyAlignment="1" applyProtection="0">
      <alignment horizontal="center" vertical="center" wrapText="1"/>
    </xf>
    <xf numFmtId="0" fontId="22" fillId="9" borderId="65" applyNumberFormat="0" applyFont="1" applyFill="1" applyBorder="1" applyAlignment="1" applyProtection="0">
      <alignment horizontal="center" vertical="center" wrapText="1"/>
    </xf>
    <xf numFmtId="0" fontId="0" fillId="4" borderId="72" applyNumberFormat="0" applyFont="1" applyFill="1" applyBorder="1" applyAlignment="1" applyProtection="0">
      <alignment vertical="bottom" wrapText="1"/>
    </xf>
    <xf numFmtId="0" fontId="0" fillId="4" borderId="73" applyNumberFormat="0" applyFont="1" applyFill="1" applyBorder="1" applyAlignment="1" applyProtection="0">
      <alignment vertical="bottom"/>
    </xf>
    <xf numFmtId="0" fontId="8" fillId="4" borderId="73" applyNumberFormat="0" applyFont="1" applyFill="1" applyBorder="1" applyAlignment="1" applyProtection="0">
      <alignment horizontal="left" vertical="top"/>
    </xf>
    <xf numFmtId="0" fontId="0" fillId="4" borderId="73" applyNumberFormat="0" applyFont="1" applyFill="1" applyBorder="1" applyAlignment="1" applyProtection="0">
      <alignment horizontal="left" vertical="top" wrapText="1"/>
    </xf>
    <xf numFmtId="0" fontId="0" fillId="4" borderId="73" applyNumberFormat="0" applyFont="1" applyFill="1" applyBorder="1" applyAlignment="1" applyProtection="0">
      <alignment horizontal="left" vertical="top"/>
    </xf>
    <xf numFmtId="0" fontId="0" fillId="4" borderId="73" applyNumberFormat="0" applyFont="1" applyFill="1" applyBorder="1" applyAlignment="1" applyProtection="0">
      <alignment vertical="bottom" wrapText="1"/>
    </xf>
    <xf numFmtId="0" fontId="0" fillId="4" borderId="45" applyNumberFormat="0" applyFont="1" applyFill="1" applyBorder="1" applyAlignment="1" applyProtection="0">
      <alignment vertical="bottom"/>
    </xf>
    <xf numFmtId="0" fontId="0" fillId="4" borderId="46" applyNumberFormat="0" applyFont="1" applyFill="1" applyBorder="1" applyAlignment="1" applyProtection="0">
      <alignment vertical="bottom"/>
    </xf>
    <xf numFmtId="62" fontId="0" fillId="10" borderId="61" applyNumberFormat="1" applyFont="1" applyFill="1" applyBorder="1" applyAlignment="1" applyProtection="0">
      <alignment horizontal="center" vertical="bottom"/>
    </xf>
    <xf numFmtId="0" fontId="24" fillId="4" borderId="55" applyNumberFormat="0" applyFont="1" applyFill="1" applyBorder="1" applyAlignment="1" applyProtection="0">
      <alignment vertical="bottom"/>
    </xf>
    <xf numFmtId="0" fontId="24" fillId="4" borderId="70" applyNumberFormat="0" applyFont="1" applyFill="1" applyBorder="1" applyAlignment="1" applyProtection="0">
      <alignment vertical="bottom"/>
    </xf>
    <xf numFmtId="0" fontId="24" fillId="4" borderId="52" applyNumberFormat="0" applyFont="1" applyFill="1" applyBorder="1" applyAlignment="1" applyProtection="0">
      <alignment vertical="bottom"/>
    </xf>
    <xf numFmtId="0" fontId="24" fillId="4" borderId="74" applyNumberFormat="0" applyFont="1" applyFill="1" applyBorder="1" applyAlignment="1" applyProtection="0">
      <alignment vertical="bottom"/>
    </xf>
    <xf numFmtId="0" fontId="24" fillId="4" borderId="75" applyNumberFormat="0" applyFont="1" applyFill="1" applyBorder="1" applyAlignment="1" applyProtection="0">
      <alignment vertical="bottom"/>
    </xf>
    <xf numFmtId="0" fontId="24" fillId="4" borderId="30" applyNumberFormat="0" applyFont="1" applyFill="1" applyBorder="1" applyAlignment="1" applyProtection="0">
      <alignment vertical="bottom"/>
    </xf>
    <xf numFmtId="0" fontId="24" fillId="4" borderId="4" applyNumberFormat="0" applyFont="1" applyFill="1" applyBorder="1" applyAlignment="1" applyProtection="0">
      <alignment vertical="bottom"/>
    </xf>
    <xf numFmtId="0" fontId="0" applyNumberFormat="1" applyFont="1" applyFill="0" applyBorder="0" applyAlignment="1" applyProtection="0">
      <alignment vertical="bottom"/>
    </xf>
    <xf numFmtId="49" fontId="0" fillId="4" borderId="12" applyNumberFormat="1" applyFont="1" applyFill="1" applyBorder="1" applyAlignment="1" applyProtection="0">
      <alignment horizontal="center" vertical="center"/>
    </xf>
    <xf numFmtId="0" fontId="0" fillId="4" borderId="13" applyNumberFormat="0" applyFont="1" applyFill="1" applyBorder="1" applyAlignment="1" applyProtection="0">
      <alignment horizontal="center" vertical="center"/>
    </xf>
    <xf numFmtId="0" fontId="0" fillId="4" borderId="14" applyNumberFormat="0" applyFont="1" applyFill="1" applyBorder="1" applyAlignment="1" applyProtection="0">
      <alignment horizontal="center" vertical="center"/>
    </xf>
    <xf numFmtId="0" fontId="41" fillId="4" borderId="2" applyNumberFormat="0" applyFont="1" applyFill="1" applyBorder="1" applyAlignment="1" applyProtection="0">
      <alignment vertical="bottom"/>
    </xf>
    <xf numFmtId="49" fontId="41" fillId="4" borderId="5" applyNumberFormat="1" applyFont="1" applyFill="1" applyBorder="1" applyAlignment="1" applyProtection="0">
      <alignment vertical="bottom"/>
    </xf>
    <xf numFmtId="0" fontId="41" fillId="4" borderId="5" applyNumberFormat="1" applyFont="1" applyFill="1" applyBorder="1" applyAlignment="1" applyProtection="0">
      <alignment vertical="bottom"/>
    </xf>
    <xf numFmtId="49" fontId="8" fillId="12" borderId="12" applyNumberFormat="1" applyFont="1" applyFill="1" applyBorder="1" applyAlignment="1" applyProtection="0">
      <alignment horizontal="center" vertical="center"/>
    </xf>
    <xf numFmtId="49" fontId="8" fillId="7" borderId="55" applyNumberFormat="1" applyFont="1" applyFill="1" applyBorder="1" applyAlignment="1" applyProtection="0">
      <alignment horizontal="right" vertical="bottom" wrapText="1"/>
    </xf>
    <xf numFmtId="0" fontId="0" applyNumberFormat="1" applyFont="1" applyFill="0" applyBorder="0" applyAlignment="1" applyProtection="0">
      <alignment vertical="bottom"/>
    </xf>
    <xf numFmtId="49" fontId="47" fillId="4" borderId="4" applyNumberFormat="1" applyFont="1" applyFill="1" applyBorder="1" applyAlignment="1" applyProtection="0">
      <alignment horizontal="left" vertical="center" wrapText="1"/>
    </xf>
    <xf numFmtId="0" fontId="47" fillId="4" borderId="5" applyNumberFormat="0" applyFont="1" applyFill="1" applyBorder="1" applyAlignment="1" applyProtection="0">
      <alignment horizontal="left" vertical="center" wrapText="1"/>
    </xf>
    <xf numFmtId="49" fontId="0" fillId="4" borderId="4" applyNumberFormat="1" applyFont="1" applyFill="1" applyBorder="1" applyAlignment="1" applyProtection="0">
      <alignment vertical="center"/>
    </xf>
    <xf numFmtId="0" fontId="0" fillId="4" borderId="11" applyNumberFormat="0" applyFont="1" applyFill="1" applyBorder="1" applyAlignment="1" applyProtection="0">
      <alignment vertical="center"/>
    </xf>
    <xf numFmtId="49" fontId="0" fillId="4" borderId="4" applyNumberFormat="1" applyFont="1" applyFill="1" applyBorder="1" applyAlignment="1" applyProtection="0">
      <alignment horizontal="left" vertical="bottom"/>
    </xf>
    <xf numFmtId="0" fontId="0" fillId="4" borderId="5" applyNumberFormat="0" applyFont="1" applyFill="1" applyBorder="1" applyAlignment="1" applyProtection="0">
      <alignment horizontal="left" vertical="bottom"/>
    </xf>
    <xf numFmtId="49" fontId="22" fillId="4" borderId="4" applyNumberFormat="1" applyFont="1" applyFill="1" applyBorder="1" applyAlignment="1" applyProtection="0">
      <alignment vertical="bottom"/>
    </xf>
    <xf numFmtId="49" fontId="0" fillId="4" borderId="5" applyNumberFormat="1" applyFont="1" applyFill="1" applyBorder="1" applyAlignment="1" applyProtection="0">
      <alignment horizontal="left" vertical="top" wrapText="1"/>
    </xf>
    <xf numFmtId="0" fontId="22" fillId="4" borderId="4" applyNumberFormat="0" applyFont="1" applyFill="1" applyBorder="1" applyAlignment="1" applyProtection="0">
      <alignment vertical="bottom"/>
    </xf>
    <xf numFmtId="49" fontId="22" fillId="4" borderId="4" applyNumberFormat="1" applyFont="1" applyFill="1" applyBorder="1" applyAlignment="1" applyProtection="0">
      <alignment horizontal="center" vertical="bottom"/>
    </xf>
    <xf numFmtId="0" fontId="22" fillId="4" borderId="4" applyNumberFormat="0" applyFont="1" applyFill="1" applyBorder="1" applyAlignment="1" applyProtection="0">
      <alignment horizontal="center" vertical="bottom"/>
    </xf>
    <xf numFmtId="0" fontId="0" fillId="4" borderId="5" applyNumberFormat="0" applyFont="1" applyFill="1" applyBorder="1" applyAlignment="1" applyProtection="0">
      <alignment horizontal="left" vertical="top"/>
    </xf>
    <xf numFmtId="49" fontId="0" fillId="4" borderId="5" applyNumberFormat="1" applyFont="1" applyFill="1" applyBorder="1" applyAlignment="1" applyProtection="0">
      <alignment horizontal="left" vertical="bottom" wrapText="1"/>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7" fillId="4" borderId="2" applyNumberFormat="0" applyFont="1" applyFill="1" applyBorder="1" applyAlignment="1" applyProtection="0">
      <alignment vertical="center" wrapText="1"/>
    </xf>
    <xf numFmtId="49" fontId="24" borderId="4" applyNumberFormat="1" applyFont="1" applyFill="0" applyBorder="1" applyAlignment="1" applyProtection="0">
      <alignment vertical="bottom"/>
    </xf>
    <xf numFmtId="0" fontId="41" borderId="5" applyNumberFormat="0" applyFont="1" applyFill="0" applyBorder="1" applyAlignment="1" applyProtection="0">
      <alignment vertical="bottom"/>
    </xf>
    <xf numFmtId="1" fontId="0" fillId="4" borderId="5" applyNumberFormat="1" applyFont="1" applyFill="1" applyBorder="1" applyAlignment="1" applyProtection="0">
      <alignment vertical="bottom"/>
    </xf>
    <xf numFmtId="0" fontId="0" borderId="32" applyNumberFormat="0" applyFont="1" applyFill="0" applyBorder="1" applyAlignment="1" applyProtection="0">
      <alignment vertical="bottom"/>
    </xf>
    <xf numFmtId="49" fontId="22" borderId="5" applyNumberFormat="1" applyFont="1" applyFill="0" applyBorder="1" applyAlignment="1" applyProtection="0">
      <alignment horizontal="center" vertical="bottom"/>
    </xf>
    <xf numFmtId="0" fontId="22" borderId="4" applyNumberFormat="0" applyFont="1" applyFill="0" applyBorder="1" applyAlignment="1" applyProtection="0">
      <alignment vertical="bottom"/>
    </xf>
    <xf numFmtId="0" fontId="22" borderId="5" applyNumberFormat="0" applyFont="1" applyFill="0" applyBorder="1" applyAlignment="1" applyProtection="0">
      <alignment horizontal="center" vertical="bottom"/>
    </xf>
    <xf numFmtId="0" fontId="0" borderId="34" applyNumberFormat="0" applyFont="1" applyFill="0" applyBorder="1" applyAlignment="1" applyProtection="0">
      <alignment vertical="bottom"/>
    </xf>
    <xf numFmtId="49" fontId="0" fillId="4" borderId="12" applyNumberFormat="1" applyFont="1" applyFill="1" applyBorder="1" applyAlignment="1" applyProtection="0">
      <alignment vertical="center"/>
    </xf>
    <xf numFmtId="0" fontId="0" borderId="13" applyNumberFormat="0" applyFont="1" applyFill="0" applyBorder="1" applyAlignment="1" applyProtection="0">
      <alignment vertical="bottom"/>
    </xf>
    <xf numFmtId="0" fontId="0" fillId="4" borderId="14" applyNumberFormat="0" applyFont="1" applyFill="1" applyBorder="1" applyAlignment="1" applyProtection="0">
      <alignment vertical="bottom"/>
    </xf>
    <xf numFmtId="49" fontId="0" borderId="20" applyNumberFormat="1" applyFont="1" applyFill="0" applyBorder="1" applyAlignment="1" applyProtection="0">
      <alignment horizontal="center" vertical="bottom"/>
    </xf>
    <xf numFmtId="0" fontId="0" borderId="20" applyNumberFormat="0" applyFont="1" applyFill="0" applyBorder="1" applyAlignment="1" applyProtection="0">
      <alignment horizontal="center" vertical="bottom"/>
    </xf>
    <xf numFmtId="49" fontId="0" fillId="4" borderId="20" applyNumberFormat="1" applyFont="1" applyFill="1" applyBorder="1" applyAlignment="1" applyProtection="0">
      <alignment vertical="center"/>
    </xf>
    <xf numFmtId="0" fontId="0" fillId="4" borderId="20" applyNumberFormat="0" applyFont="1" applyFill="1" applyBorder="1" applyAlignment="1" applyProtection="0">
      <alignment vertical="center" wrapText="1"/>
    </xf>
    <xf numFmtId="0" fontId="0" fillId="4" borderId="20" applyNumberFormat="0" applyFont="1" applyFill="1" applyBorder="1" applyAlignment="1" applyProtection="0">
      <alignment vertical="center"/>
    </xf>
    <xf numFmtId="0" fontId="0" borderId="32" applyNumberFormat="1" applyFont="1" applyFill="0" applyBorder="1" applyAlignment="1" applyProtection="0">
      <alignment vertical="bottom"/>
    </xf>
    <xf numFmtId="49" fontId="22" fillId="4" borderId="30" applyNumberFormat="1" applyFont="1" applyFill="1" applyBorder="1" applyAlignment="1" applyProtection="0">
      <alignment horizontal="left" vertical="bottom" wrapText="1"/>
    </xf>
    <xf numFmtId="0" fontId="22" fillId="4" borderId="19" applyNumberFormat="0" applyFont="1" applyFill="1" applyBorder="1" applyAlignment="1" applyProtection="0">
      <alignment horizontal="left" vertical="bottom" wrapText="1"/>
    </xf>
    <xf numFmtId="49" fontId="22" fillId="4" borderId="4" applyNumberFormat="1" applyFont="1" applyFill="1" applyBorder="1" applyAlignment="1" applyProtection="0">
      <alignment horizontal="left" vertical="top" wrapText="1"/>
    </xf>
    <xf numFmtId="0" fontId="22" fillId="4" borderId="5" applyNumberFormat="0" applyFont="1" applyFill="1" applyBorder="1" applyAlignment="1" applyProtection="0">
      <alignment horizontal="left" vertical="top" wrapText="1"/>
    </xf>
    <xf numFmtId="49" fontId="0" borderId="5" applyNumberFormat="1" applyFont="1" applyFill="0" applyBorder="1" applyAlignment="1" applyProtection="0">
      <alignment horizontal="left" vertical="bottom"/>
    </xf>
    <xf numFmtId="0" fontId="0" borderId="5" applyNumberFormat="0" applyFont="1" applyFill="0" applyBorder="1" applyAlignment="1" applyProtection="0">
      <alignment horizontal="left" vertical="bottom"/>
    </xf>
    <xf numFmtId="49" fontId="22" fillId="4" borderId="30" applyNumberFormat="1" applyFont="1" applyFill="1" applyBorder="1" applyAlignment="1" applyProtection="0">
      <alignment horizontal="left" vertical="center" wrapText="1"/>
    </xf>
    <xf numFmtId="0" fontId="22" fillId="4" borderId="19" applyNumberFormat="0" applyFont="1" applyFill="1" applyBorder="1" applyAlignment="1" applyProtection="0">
      <alignment horizontal="left" vertical="center" wrapText="1"/>
    </xf>
    <xf numFmtId="0" fontId="22" fillId="4" borderId="5" applyNumberFormat="0" applyFont="1" applyFill="1" applyBorder="1" applyAlignment="1" applyProtection="0">
      <alignment horizontal="left" vertical="center" wrapText="1"/>
    </xf>
    <xf numFmtId="0" fontId="0" applyNumberFormat="1" applyFont="1" applyFill="0" applyBorder="0" applyAlignment="1" applyProtection="0">
      <alignment vertical="bottom"/>
    </xf>
    <xf numFmtId="49" fontId="48" fillId="4" borderId="1" applyNumberFormat="1" applyFont="1" applyFill="1" applyBorder="1" applyAlignment="1" applyProtection="0">
      <alignment vertical="bottom"/>
    </xf>
    <xf numFmtId="49" fontId="7" fillId="5" borderId="5" applyNumberFormat="1" applyFont="1" applyFill="1" applyBorder="1" applyAlignment="1" applyProtection="0">
      <alignment horizontal="center" vertical="center" wrapText="1"/>
    </xf>
    <xf numFmtId="0" fontId="7" fillId="5" borderId="5" applyNumberFormat="0" applyFont="1" applyFill="1" applyBorder="1" applyAlignment="1" applyProtection="0">
      <alignment horizontal="center" vertical="center" wrapText="1"/>
    </xf>
    <xf numFmtId="0" fontId="10" fillId="4" borderId="5" applyNumberFormat="0" applyFont="1" applyFill="1" applyBorder="1" applyAlignment="1" applyProtection="0">
      <alignment vertical="bottom"/>
    </xf>
    <xf numFmtId="49" fontId="24" fillId="4" borderId="4" applyNumberFormat="1" applyFont="1" applyFill="1" applyBorder="1" applyAlignment="1" applyProtection="0">
      <alignment vertical="bottom"/>
    </xf>
    <xf numFmtId="49" fontId="22" fillId="4" borderId="5" applyNumberFormat="1" applyFont="1" applyFill="1" applyBorder="1" applyAlignment="1" applyProtection="0">
      <alignment horizontal="center" vertical="bottom"/>
    </xf>
    <xf numFmtId="0" fontId="22" fillId="4" borderId="5" applyNumberFormat="0" applyFont="1" applyFill="1" applyBorder="1" applyAlignment="1" applyProtection="0">
      <alignment horizontal="center" vertical="bottom"/>
    </xf>
    <xf numFmtId="0" fontId="0" fillId="5" borderId="12" applyNumberFormat="0" applyFont="1" applyFill="1" applyBorder="1" applyAlignment="1" applyProtection="0">
      <alignment horizontal="center" vertical="bottom"/>
    </xf>
    <xf numFmtId="0" fontId="0" fillId="5" borderId="14" applyNumberFormat="0" applyFont="1" applyFill="1" applyBorder="1" applyAlignment="1" applyProtection="0">
      <alignment horizontal="center" vertical="bottom"/>
    </xf>
    <xf numFmtId="49" fontId="0" fillId="4" borderId="15" applyNumberFormat="1" applyFont="1" applyFill="1" applyBorder="1" applyAlignment="1" applyProtection="0">
      <alignment horizontal="left" vertical="bottom"/>
    </xf>
    <xf numFmtId="49" fontId="41" fillId="4" borderId="5" applyNumberFormat="1" applyFont="1" applyFill="1" applyBorder="1" applyAlignment="1" applyProtection="0">
      <alignment horizontal="center" vertical="bottom"/>
    </xf>
    <xf numFmtId="49" fontId="0" fillId="4" borderId="5" applyNumberFormat="1" applyFont="1" applyFill="1" applyBorder="1" applyAlignment="1" applyProtection="0">
      <alignment vertical="center"/>
    </xf>
    <xf numFmtId="49" fontId="28"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0" fontId="0" fillId="4" borderId="26" applyNumberFormat="1" applyFont="1" applyFill="1" applyBorder="1" applyAlignment="1" applyProtection="0">
      <alignment horizontal="center" vertical="bottom"/>
    </xf>
    <xf numFmtId="0" fontId="0" fillId="4" borderId="76" applyNumberFormat="1" applyFont="1" applyFill="1" applyBorder="1" applyAlignment="1" applyProtection="0">
      <alignment vertical="bottom"/>
    </xf>
    <xf numFmtId="0" fontId="0" fillId="4" borderId="77" applyNumberFormat="1" applyFont="1" applyFill="1" applyBorder="1" applyAlignment="1" applyProtection="0">
      <alignment vertical="bottom"/>
    </xf>
    <xf numFmtId="0" fontId="41" fillId="4" borderId="77" applyNumberFormat="1" applyFont="1" applyFill="1" applyBorder="1" applyAlignment="1" applyProtection="0">
      <alignment vertical="bottom"/>
    </xf>
    <xf numFmtId="0" fontId="41" fillId="4" borderId="78" applyNumberFormat="1" applyFont="1" applyFill="1" applyBorder="1" applyAlignment="1" applyProtection="0">
      <alignment vertical="bottom"/>
    </xf>
    <xf numFmtId="0" fontId="41" fillId="4" borderId="76" applyNumberFormat="1" applyFont="1" applyFill="1" applyBorder="1" applyAlignment="1" applyProtection="0">
      <alignment vertical="bottom"/>
    </xf>
    <xf numFmtId="0" fontId="49" fillId="4" borderId="79" applyNumberFormat="1" applyFont="1" applyFill="1" applyBorder="1" applyAlignment="1" applyProtection="0">
      <alignment vertical="center"/>
    </xf>
    <xf numFmtId="0" fontId="50" fillId="4" borderId="2" applyNumberFormat="0" applyFont="1" applyFill="1" applyBorder="1" applyAlignment="1" applyProtection="0">
      <alignment vertical="bottom"/>
    </xf>
    <xf numFmtId="0" fontId="11" fillId="4" borderId="26" applyNumberFormat="1" applyFont="1" applyFill="1" applyBorder="1" applyAlignment="1" applyProtection="0">
      <alignment vertical="bottom"/>
    </xf>
    <xf numFmtId="49" fontId="24" fillId="4" borderId="4" applyNumberFormat="1" applyFont="1" applyFill="1" applyBorder="1" applyAlignment="1" applyProtection="0">
      <alignment horizontal="right" vertical="bottom" wrapText="1"/>
    </xf>
    <xf numFmtId="0" fontId="24" fillId="4" borderId="5" applyNumberFormat="0" applyFont="1" applyFill="1" applyBorder="1" applyAlignment="1" applyProtection="0">
      <alignment horizontal="right" vertical="bottom" wrapText="1"/>
    </xf>
    <xf numFmtId="49" fontId="24" fillId="4" borderId="5" applyNumberFormat="1" applyFont="1" applyFill="1" applyBorder="1" applyAlignment="1" applyProtection="0">
      <alignment horizontal="left" vertical="bottom" wrapText="1"/>
    </xf>
    <xf numFmtId="0" fontId="24" fillId="4" borderId="5" applyNumberFormat="0" applyFont="1" applyFill="1" applyBorder="1" applyAlignment="1" applyProtection="0">
      <alignment horizontal="left" vertical="bottom" wrapText="1"/>
    </xf>
    <xf numFmtId="0" fontId="51" fillId="4" borderId="5" applyNumberFormat="0" applyFont="1" applyFill="1" applyBorder="1" applyAlignment="1" applyProtection="0">
      <alignment vertical="bottom"/>
    </xf>
    <xf numFmtId="0" fontId="52" fillId="4" borderId="5" applyNumberFormat="0" applyFont="1" applyFill="1" applyBorder="1" applyAlignment="1" applyProtection="0">
      <alignment vertical="bottom" wrapText="1"/>
    </xf>
    <xf numFmtId="0" fontId="9" fillId="4" borderId="5" applyNumberFormat="0" applyFont="1" applyFill="1" applyBorder="1" applyAlignment="1" applyProtection="0">
      <alignment vertical="bottom" wrapText="1"/>
    </xf>
    <xf numFmtId="49" fontId="19" fillId="4" borderId="4" applyNumberFormat="1" applyFont="1" applyFill="1" applyBorder="1" applyAlignment="1" applyProtection="0">
      <alignment vertical="bottom"/>
    </xf>
    <xf numFmtId="0" fontId="0" fillId="4" borderId="5" applyNumberFormat="1" applyFont="1" applyFill="1" applyBorder="1" applyAlignment="1" applyProtection="0">
      <alignment vertical="top"/>
    </xf>
    <xf numFmtId="49" fontId="25" fillId="4" borderId="5" applyNumberFormat="1" applyFont="1" applyFill="1" applyBorder="1" applyAlignment="1" applyProtection="0">
      <alignment horizontal="center" vertical="top" wrapText="1"/>
    </xf>
    <xf numFmtId="0" fontId="25" fillId="4" borderId="5" applyNumberFormat="0" applyFont="1" applyFill="1" applyBorder="1" applyAlignment="1" applyProtection="0">
      <alignment horizontal="center" vertical="top" wrapText="1"/>
    </xf>
    <xf numFmtId="49" fontId="25" fillId="4" borderId="5" applyNumberFormat="1" applyFont="1" applyFill="1" applyBorder="1" applyAlignment="1" applyProtection="0">
      <alignment horizontal="center" vertical="center"/>
    </xf>
    <xf numFmtId="49" fontId="25" fillId="4" borderId="5" applyNumberFormat="1" applyFont="1" applyFill="1" applyBorder="1" applyAlignment="1" applyProtection="0">
      <alignment horizontal="center" vertical="bottom" wrapText="1"/>
    </xf>
    <xf numFmtId="49" fontId="25" fillId="4" borderId="5" applyNumberFormat="1" applyFont="1" applyFill="1" applyBorder="1" applyAlignment="1" applyProtection="0">
      <alignment vertical="bottom"/>
    </xf>
    <xf numFmtId="49" fontId="8" fillId="4" borderId="21" applyNumberFormat="1" applyFont="1" applyFill="1" applyBorder="1" applyAlignment="1" applyProtection="0">
      <alignment horizontal="center" vertical="center" wrapText="1"/>
    </xf>
    <xf numFmtId="0" fontId="8" fillId="4" borderId="19" applyNumberFormat="0" applyFont="1" applyFill="1" applyBorder="1" applyAlignment="1" applyProtection="0">
      <alignment horizontal="center" vertical="center" wrapText="1"/>
    </xf>
    <xf numFmtId="0" fontId="8" fillId="4" borderId="22" applyNumberFormat="0" applyFont="1" applyFill="1" applyBorder="1" applyAlignment="1" applyProtection="0">
      <alignment horizontal="center" vertical="center" wrapText="1"/>
    </xf>
    <xf numFmtId="49" fontId="8" fillId="4" borderId="21" applyNumberFormat="1" applyFont="1" applyFill="1" applyBorder="1" applyAlignment="1" applyProtection="0">
      <alignment horizontal="center" vertical="bottom" wrapText="1"/>
    </xf>
    <xf numFmtId="0" fontId="8" fillId="4" borderId="22" applyNumberFormat="0" applyFont="1" applyFill="1" applyBorder="1" applyAlignment="1" applyProtection="0">
      <alignment horizontal="center" vertical="bottom" wrapText="1"/>
    </xf>
    <xf numFmtId="49" fontId="0" fillId="4" borderId="5" applyNumberFormat="1" applyFont="1" applyFill="1" applyBorder="1" applyAlignment="1" applyProtection="0">
      <alignment horizontal="center" vertical="bottom" wrapText="1"/>
    </xf>
    <xf numFmtId="0" fontId="25" fillId="4" borderId="5" applyNumberFormat="0" applyFont="1" applyFill="1" applyBorder="1" applyAlignment="1" applyProtection="0">
      <alignment horizontal="center" vertical="center"/>
    </xf>
    <xf numFmtId="0" fontId="25" fillId="4" borderId="5" applyNumberFormat="0" applyFont="1" applyFill="1" applyBorder="1" applyAlignment="1" applyProtection="0">
      <alignment horizontal="center" vertical="bottom" wrapText="1"/>
    </xf>
    <xf numFmtId="49" fontId="25" fillId="4" borderId="5" applyNumberFormat="1" applyFont="1" applyFill="1" applyBorder="1" applyAlignment="1" applyProtection="0">
      <alignment vertical="center" wrapText="1"/>
    </xf>
    <xf numFmtId="0" fontId="0" borderId="26" applyNumberFormat="0" applyFont="1" applyFill="0" applyBorder="1" applyAlignment="1" applyProtection="0">
      <alignment horizontal="center" vertical="bottom"/>
    </xf>
    <xf numFmtId="0" fontId="8" fillId="4" borderId="23" applyNumberFormat="0" applyFont="1" applyFill="1" applyBorder="1" applyAlignment="1" applyProtection="0">
      <alignment horizontal="center" vertical="center" wrapText="1"/>
    </xf>
    <xf numFmtId="0" fontId="8" fillId="4" borderId="10" applyNumberFormat="0" applyFont="1" applyFill="1" applyBorder="1" applyAlignment="1" applyProtection="0">
      <alignment horizontal="center" vertical="center" wrapText="1"/>
    </xf>
    <xf numFmtId="0" fontId="8" fillId="4" borderId="24" applyNumberFormat="0" applyFont="1" applyFill="1" applyBorder="1" applyAlignment="1" applyProtection="0">
      <alignment horizontal="center" vertical="center" wrapText="1"/>
    </xf>
    <xf numFmtId="49" fontId="8" fillId="4" borderId="23" applyNumberFormat="1" applyFont="1" applyFill="1" applyBorder="1" applyAlignment="1" applyProtection="0">
      <alignment horizontal="center" vertical="bottom"/>
    </xf>
    <xf numFmtId="0" fontId="8" fillId="4" borderId="24" applyNumberFormat="0" applyFont="1" applyFill="1" applyBorder="1" applyAlignment="1" applyProtection="0">
      <alignment horizontal="center" vertical="bottom"/>
    </xf>
    <xf numFmtId="0" fontId="0" fillId="4" borderId="5" applyNumberFormat="0" applyFont="1" applyFill="1" applyBorder="1" applyAlignment="1" applyProtection="0">
      <alignment horizontal="center" vertical="bottom" wrapText="1"/>
    </xf>
    <xf numFmtId="3" fontId="53" fillId="4" borderId="5" applyNumberFormat="1" applyFont="1" applyFill="1" applyBorder="1" applyAlignment="1" applyProtection="0">
      <alignment vertical="center" wrapText="1"/>
    </xf>
    <xf numFmtId="49" fontId="32" fillId="4" borderId="12" applyNumberFormat="1" applyFont="1" applyFill="1" applyBorder="1" applyAlignment="1" applyProtection="0">
      <alignment horizontal="left" vertical="bottom"/>
    </xf>
    <xf numFmtId="0" fontId="32" fillId="4" borderId="13" applyNumberFormat="0" applyFont="1" applyFill="1" applyBorder="1" applyAlignment="1" applyProtection="0">
      <alignment horizontal="left" vertical="bottom"/>
    </xf>
    <xf numFmtId="0" fontId="32" fillId="4" borderId="14" applyNumberFormat="0" applyFont="1" applyFill="1" applyBorder="1" applyAlignment="1" applyProtection="0">
      <alignment horizontal="left" vertical="bottom"/>
    </xf>
    <xf numFmtId="49" fontId="0" fillId="4" borderId="20" applyNumberFormat="1" applyFont="1" applyFill="1" applyBorder="1" applyAlignment="1" applyProtection="0">
      <alignment horizontal="center" vertical="bottom"/>
    </xf>
    <xf numFmtId="0" fontId="0" fillId="4" borderId="20" applyNumberFormat="0" applyFont="1" applyFill="1" applyBorder="1" applyAlignment="1" applyProtection="0">
      <alignment horizontal="center" vertical="bottom"/>
    </xf>
    <xf numFmtId="3" fontId="32" fillId="4" borderId="12" applyNumberFormat="1" applyFont="1" applyFill="1" applyBorder="1" applyAlignment="1" applyProtection="0">
      <alignment horizontal="center" vertical="center" wrapText="1"/>
    </xf>
    <xf numFmtId="3" fontId="32" fillId="4" borderId="14" applyNumberFormat="1" applyFont="1" applyFill="1" applyBorder="1" applyAlignment="1" applyProtection="0">
      <alignment horizontal="center" vertical="center" wrapText="1"/>
    </xf>
    <xf numFmtId="0" fontId="53" fillId="4" borderId="5" applyNumberFormat="1" applyFont="1" applyFill="1" applyBorder="1" applyAlignment="1" applyProtection="0">
      <alignment vertical="bottom" wrapText="1"/>
    </xf>
    <xf numFmtId="0" fontId="41" fillId="4" borderId="10" applyNumberFormat="1" applyFont="1" applyFill="1" applyBorder="1" applyAlignment="1" applyProtection="0">
      <alignment vertical="bottom"/>
    </xf>
    <xf numFmtId="0" fontId="41" fillId="4" borderId="10" applyNumberFormat="0" applyFont="1" applyFill="1" applyBorder="1" applyAlignment="1" applyProtection="0">
      <alignment vertical="bottom"/>
    </xf>
    <xf numFmtId="0" fontId="0" fillId="4" borderId="20" applyNumberFormat="0" applyFont="1" applyFill="1" applyBorder="1" applyAlignment="1" applyProtection="0">
      <alignment vertical="bottom"/>
    </xf>
    <xf numFmtId="0" fontId="53" fillId="4" borderId="5" applyNumberFormat="1" applyFont="1" applyFill="1" applyBorder="1" applyAlignment="1" applyProtection="0">
      <alignment vertical="center" wrapText="1"/>
    </xf>
    <xf numFmtId="3" fontId="53" fillId="4" borderId="5" applyNumberFormat="1" applyFont="1" applyFill="1" applyBorder="1" applyAlignment="1" applyProtection="0">
      <alignment horizontal="center" vertical="center"/>
    </xf>
    <xf numFmtId="49" fontId="41" fillId="4" borderId="21" applyNumberFormat="1" applyFont="1" applyFill="1" applyBorder="1" applyAlignment="1" applyProtection="0">
      <alignment horizontal="center" vertical="bottom" wrapText="1"/>
    </xf>
    <xf numFmtId="0" fontId="41" fillId="4" borderId="22" applyNumberFormat="0" applyFont="1" applyFill="1" applyBorder="1" applyAlignment="1" applyProtection="0">
      <alignment horizontal="center" vertical="bottom" wrapText="1"/>
    </xf>
    <xf numFmtId="49" fontId="0" fillId="4" borderId="15" applyNumberFormat="1" applyFont="1" applyFill="1" applyBorder="1" applyAlignment="1" applyProtection="0">
      <alignment vertical="bottom"/>
    </xf>
    <xf numFmtId="49" fontId="41" fillId="4" borderId="15" applyNumberFormat="1" applyFont="1" applyFill="1" applyBorder="1" applyAlignment="1" applyProtection="0">
      <alignment horizontal="center" vertical="bottom" wrapText="1"/>
    </xf>
    <xf numFmtId="0" fontId="41" fillId="4" borderId="11" applyNumberFormat="0" applyFont="1" applyFill="1" applyBorder="1" applyAlignment="1" applyProtection="0">
      <alignment horizontal="center" vertical="bottom" wrapText="1"/>
    </xf>
    <xf numFmtId="49" fontId="8" fillId="4" borderId="4" applyNumberFormat="1" applyFont="1" applyFill="1" applyBorder="1" applyAlignment="1" applyProtection="0">
      <alignment vertical="bottom"/>
    </xf>
    <xf numFmtId="0" fontId="41" fillId="4" borderId="11" applyNumberFormat="0" applyFont="1" applyFill="1" applyBorder="1" applyAlignment="1" applyProtection="0">
      <alignment vertical="bottom"/>
    </xf>
    <xf numFmtId="49" fontId="41" fillId="4" borderId="15" applyNumberFormat="1" applyFont="1" applyFill="1" applyBorder="1" applyAlignment="1" applyProtection="0">
      <alignment horizontal="center" vertical="bottom"/>
    </xf>
    <xf numFmtId="0" fontId="41" fillId="4" borderId="11" applyNumberFormat="0" applyFont="1" applyFill="1" applyBorder="1" applyAlignment="1" applyProtection="0">
      <alignment horizontal="center" vertical="bottom"/>
    </xf>
    <xf numFmtId="49" fontId="41" fillId="4" borderId="15" applyNumberFormat="1" applyFont="1" applyFill="1" applyBorder="1" applyAlignment="1" applyProtection="0">
      <alignment vertical="bottom"/>
    </xf>
    <xf numFmtId="49" fontId="41" fillId="4" borderId="11" applyNumberFormat="1" applyFont="1" applyFill="1" applyBorder="1" applyAlignment="1" applyProtection="0">
      <alignment horizontal="center" vertical="bottom"/>
    </xf>
    <xf numFmtId="0" fontId="0" fillId="4" borderId="23" applyNumberFormat="1" applyFont="1" applyFill="1" applyBorder="1" applyAlignment="1" applyProtection="0">
      <alignment vertical="bottom"/>
    </xf>
    <xf numFmtId="0" fontId="0" fillId="4" borderId="15" applyNumberFormat="1" applyFont="1" applyFill="1" applyBorder="1" applyAlignment="1" applyProtection="0">
      <alignment vertical="bottom"/>
    </xf>
    <xf numFmtId="0" fontId="28" fillId="4" borderId="5" applyNumberFormat="0" applyFont="1" applyFill="1" applyBorder="1" applyAlignment="1" applyProtection="0">
      <alignment vertical="bottom"/>
    </xf>
    <xf numFmtId="49" fontId="0" fillId="4" borderId="36" applyNumberFormat="1" applyFont="1" applyFill="1" applyBorder="1" applyAlignment="1" applyProtection="0">
      <alignment horizontal="center" vertical="bottom"/>
    </xf>
    <xf numFmtId="0" fontId="0" fillId="4" borderId="36" applyNumberFormat="0" applyFont="1" applyFill="1" applyBorder="1" applyAlignment="1" applyProtection="0">
      <alignment horizontal="center" vertical="bottom"/>
    </xf>
    <xf numFmtId="49" fontId="0" fillId="4" borderId="36" applyNumberFormat="1" applyFont="1" applyFill="1" applyBorder="1" applyAlignment="1" applyProtection="0">
      <alignment vertical="center" wrapText="1"/>
    </xf>
    <xf numFmtId="0" fontId="0" fillId="4" borderId="36" applyNumberFormat="0" applyFont="1" applyFill="1" applyBorder="1" applyAlignment="1" applyProtection="0">
      <alignment vertical="center" wrapText="1"/>
    </xf>
    <xf numFmtId="49" fontId="0" fillId="4" borderId="36" applyNumberFormat="1" applyFont="1" applyFill="1" applyBorder="1" applyAlignment="1" applyProtection="0">
      <alignment horizontal="center" vertical="center" wrapText="1"/>
    </xf>
    <xf numFmtId="0" fontId="0" fillId="4" borderId="36" applyNumberFormat="0" applyFont="1" applyFill="1" applyBorder="1" applyAlignment="1" applyProtection="0">
      <alignment horizontal="center" vertical="center" wrapText="1"/>
    </xf>
    <xf numFmtId="49" fontId="0" fillId="4" borderId="37" applyNumberFormat="1" applyFont="1" applyFill="1" applyBorder="1" applyAlignment="1" applyProtection="0">
      <alignment horizontal="center" vertical="top"/>
    </xf>
    <xf numFmtId="0" fontId="0" fillId="4" borderId="37" applyNumberFormat="0" applyFont="1" applyFill="1" applyBorder="1" applyAlignment="1" applyProtection="0">
      <alignment horizontal="center" vertical="top"/>
    </xf>
    <xf numFmtId="0" fontId="0" fillId="4" borderId="37" applyNumberFormat="0" applyFont="1" applyFill="1" applyBorder="1" applyAlignment="1" applyProtection="0">
      <alignment vertical="center" wrapText="1"/>
    </xf>
    <xf numFmtId="0" fontId="0" fillId="4" borderId="37" applyNumberFormat="0" applyFont="1" applyFill="1" applyBorder="1" applyAlignment="1" applyProtection="0">
      <alignment horizontal="center" vertical="center" wrapText="1"/>
    </xf>
    <xf numFmtId="0" fontId="0" fillId="4" borderId="12" applyNumberFormat="0" applyFont="1" applyFill="1" applyBorder="1" applyAlignment="1" applyProtection="0">
      <alignment horizontal="left" vertical="center" wrapText="1"/>
    </xf>
    <xf numFmtId="0" fontId="0" fillId="4" borderId="16" applyNumberFormat="0" applyFont="1" applyFill="1" applyBorder="1" applyAlignment="1" applyProtection="0">
      <alignment horizontal="left" vertical="center" wrapText="1"/>
    </xf>
    <xf numFmtId="0" fontId="0" fillId="4" borderId="40" applyNumberFormat="0" applyFont="1" applyFill="1" applyBorder="1" applyAlignment="1" applyProtection="0">
      <alignment horizontal="left" vertical="center" wrapText="1"/>
    </xf>
    <xf numFmtId="0" fontId="22" fillId="4" borderId="12" applyNumberFormat="0" applyFont="1" applyFill="1" applyBorder="1" applyAlignment="1" applyProtection="0">
      <alignment horizontal="center" vertical="center" wrapText="1"/>
    </xf>
    <xf numFmtId="0" fontId="22" fillId="4" borderId="14" applyNumberFormat="0" applyFont="1" applyFill="1" applyBorder="1" applyAlignment="1" applyProtection="0">
      <alignment horizontal="center" vertical="center" wrapText="1"/>
    </xf>
    <xf numFmtId="0" fontId="0" fillId="4" borderId="12" applyNumberFormat="0" applyFont="1" applyFill="1" applyBorder="1" applyAlignment="1" applyProtection="0">
      <alignment vertical="center" wrapText="1"/>
    </xf>
    <xf numFmtId="0" fontId="0" fillId="4" borderId="12" applyNumberFormat="0" applyFont="1" applyFill="1" applyBorder="1" applyAlignment="1" applyProtection="0">
      <alignment horizontal="center" vertical="center"/>
    </xf>
    <xf numFmtId="0" fontId="0" fillId="4" borderId="39" applyNumberFormat="0" applyFont="1" applyFill="1" applyBorder="1" applyAlignment="1" applyProtection="0">
      <alignment vertical="center" wrapText="1"/>
    </xf>
    <xf numFmtId="0" fontId="0" fillId="4" borderId="12" applyNumberFormat="0" applyFont="1" applyFill="1" applyBorder="1" applyAlignment="1" applyProtection="0">
      <alignment horizontal="center" vertical="center" wrapText="1"/>
    </xf>
    <xf numFmtId="0" fontId="0" fillId="4" borderId="14" applyNumberFormat="0" applyFont="1" applyFill="1" applyBorder="1" applyAlignment="1" applyProtection="0">
      <alignment horizontal="center" vertical="center" wrapText="1"/>
    </xf>
    <xf numFmtId="0" fontId="0" fillId="4" borderId="39" applyNumberFormat="0" applyFont="1" applyFill="1" applyBorder="1" applyAlignment="1" applyProtection="0">
      <alignment horizontal="left" vertical="center" wrapText="1"/>
    </xf>
    <xf numFmtId="0" fontId="0" fillId="4" borderId="20" applyNumberFormat="0" applyFont="1" applyFill="1" applyBorder="1" applyAlignment="1" applyProtection="0">
      <alignment horizontal="left" vertical="center" wrapText="1"/>
    </xf>
    <xf numFmtId="0" fontId="0" fillId="4" borderId="5" applyNumberFormat="0" applyFont="1" applyFill="1" applyBorder="1" applyAlignment="1" applyProtection="0">
      <alignment vertical="top" wrapText="1"/>
    </xf>
    <xf numFmtId="49" fontId="24" fillId="4" borderId="4" applyNumberFormat="1" applyFont="1" applyFill="1" applyBorder="1" applyAlignment="1" applyProtection="0">
      <alignment horizontal="right" vertical="bottom"/>
    </xf>
    <xf numFmtId="49" fontId="24" fillId="4" borderId="5" applyNumberFormat="1" applyFont="1" applyFill="1" applyBorder="1" applyAlignment="1" applyProtection="0">
      <alignment vertical="bottom"/>
    </xf>
    <xf numFmtId="49" fontId="8" fillId="4" borderId="4" applyNumberFormat="1" applyFont="1" applyFill="1" applyBorder="1" applyAlignment="1" applyProtection="0">
      <alignment horizontal="right" vertical="bottom"/>
    </xf>
    <xf numFmtId="49" fontId="8" fillId="4" borderId="5" applyNumberFormat="1" applyFont="1" applyFill="1" applyBorder="1" applyAlignment="1" applyProtection="0">
      <alignment horizontal="left" vertical="top" wrapText="1"/>
    </xf>
    <xf numFmtId="0" fontId="8" fillId="4" borderId="5" applyNumberFormat="0" applyFont="1" applyFill="1" applyBorder="1" applyAlignment="1" applyProtection="0">
      <alignment horizontal="left" vertical="top" wrapText="1"/>
    </xf>
    <xf numFmtId="0" fontId="0" fillId="4" borderId="5" applyNumberFormat="0" applyFont="1" applyFill="1" applyBorder="1" applyAlignment="1" applyProtection="0">
      <alignment vertical="top"/>
    </xf>
    <xf numFmtId="0" fontId="0" fillId="4" borderId="26" applyNumberFormat="1" applyFont="1" applyFill="1" applyBorder="1" applyAlignment="1" applyProtection="0">
      <alignment vertical="center"/>
    </xf>
    <xf numFmtId="0" fontId="0" fillId="4" borderId="15" applyNumberFormat="0" applyFont="1" applyFill="1" applyBorder="1" applyAlignment="1" applyProtection="0">
      <alignment vertical="center" wrapText="1"/>
    </xf>
    <xf numFmtId="0" fontId="0" fillId="4" borderId="20" applyNumberFormat="0" applyFont="1" applyFill="1" applyBorder="1" applyAlignment="1" applyProtection="0">
      <alignment horizontal="center" vertical="bottom" wrapText="1"/>
    </xf>
    <xf numFmtId="0" fontId="0" fillId="4" borderId="20" applyNumberFormat="0" applyFont="1" applyFill="1" applyBorder="1" applyAlignment="1" applyProtection="0">
      <alignment vertical="bottom" wrapText="1"/>
    </xf>
    <xf numFmtId="0" fontId="0" fillId="4" borderId="12" applyNumberFormat="0" applyFont="1" applyFill="1" applyBorder="1" applyAlignment="1" applyProtection="0">
      <alignment vertical="bottom" wrapText="1"/>
    </xf>
    <xf numFmtId="0" fontId="0" fillId="4" borderId="14" applyNumberFormat="0" applyFont="1" applyFill="1" applyBorder="1" applyAlignment="1" applyProtection="0">
      <alignment horizontal="center" vertical="bottom" wrapText="1"/>
    </xf>
    <xf numFmtId="0" fontId="0" fillId="4" borderId="15" applyNumberFormat="0" applyFont="1" applyFill="1" applyBorder="1" applyAlignment="1" applyProtection="0">
      <alignment vertical="bottom" wrapText="1"/>
    </xf>
    <xf numFmtId="49" fontId="8" fillId="4" borderId="5" applyNumberFormat="1" applyFont="1" applyFill="1" applyBorder="1" applyAlignment="1" applyProtection="0">
      <alignment vertical="bottom"/>
    </xf>
    <xf numFmtId="0" fontId="0" fillId="4" borderId="10" applyNumberFormat="0" applyFont="1" applyFill="1" applyBorder="1" applyAlignment="1" applyProtection="0">
      <alignment horizontal="left" vertical="top" wrapText="1"/>
    </xf>
    <xf numFmtId="0" fontId="8" fillId="4" borderId="26" applyNumberFormat="1" applyFont="1" applyFill="1" applyBorder="1" applyAlignment="1" applyProtection="0">
      <alignment vertical="bottom"/>
    </xf>
    <xf numFmtId="49" fontId="8" fillId="4" borderId="21" applyNumberFormat="1" applyFont="1" applyFill="1" applyBorder="1" applyAlignment="1" applyProtection="0">
      <alignment horizontal="left" vertical="center" wrapText="1"/>
    </xf>
    <xf numFmtId="0" fontId="8" fillId="4" borderId="80" applyNumberFormat="0" applyFont="1" applyFill="1" applyBorder="1" applyAlignment="1" applyProtection="0">
      <alignment horizontal="left" vertical="center" wrapText="1"/>
    </xf>
    <xf numFmtId="49" fontId="8" fillId="4" borderId="12" applyNumberFormat="1" applyFont="1" applyFill="1" applyBorder="1" applyAlignment="1" applyProtection="0">
      <alignment horizontal="center" vertical="center" wrapText="1"/>
    </xf>
    <xf numFmtId="0" fontId="8" fillId="4" borderId="14" applyNumberFormat="0" applyFont="1" applyFill="1" applyBorder="1" applyAlignment="1" applyProtection="0">
      <alignment horizontal="center" vertical="center" wrapText="1"/>
    </xf>
    <xf numFmtId="0" fontId="0" fillId="4" borderId="26" applyNumberFormat="1" applyFont="1" applyFill="1" applyBorder="1" applyAlignment="1" applyProtection="0">
      <alignment vertical="top"/>
    </xf>
    <xf numFmtId="0" fontId="8" fillId="4" borderId="81" applyNumberFormat="0" applyFont="1" applyFill="1" applyBorder="1" applyAlignment="1" applyProtection="0">
      <alignment horizontal="left" vertical="center" wrapText="1"/>
    </xf>
    <xf numFmtId="0" fontId="8" fillId="4" borderId="82" applyNumberFormat="0" applyFont="1" applyFill="1" applyBorder="1" applyAlignment="1" applyProtection="0">
      <alignment horizontal="left" vertical="center" wrapText="1"/>
    </xf>
    <xf numFmtId="0" fontId="0" fillId="4" borderId="12" applyNumberFormat="1" applyFont="1" applyFill="1" applyBorder="1" applyAlignment="1" applyProtection="0">
      <alignment horizontal="center" vertical="center" wrapText="1"/>
    </xf>
    <xf numFmtId="49" fontId="32" fillId="4" borderId="12" applyNumberFormat="1" applyFont="1" applyFill="1" applyBorder="1" applyAlignment="1" applyProtection="0">
      <alignment horizontal="center" vertical="center" wrapText="1"/>
    </xf>
    <xf numFmtId="0" fontId="0" fillId="4" borderId="12" applyNumberFormat="1" applyFont="1" applyFill="1" applyBorder="1" applyAlignment="1" applyProtection="0">
      <alignment vertical="center" wrapText="1"/>
    </xf>
    <xf numFmtId="2" fontId="32" fillId="4" borderId="12" applyNumberFormat="1" applyFont="1" applyFill="1" applyBorder="1" applyAlignment="1" applyProtection="0">
      <alignment horizontal="center" vertical="center" wrapText="1"/>
    </xf>
    <xf numFmtId="0" fontId="0" fillId="4" borderId="83" applyNumberFormat="0" applyFont="1" applyFill="1" applyBorder="1" applyAlignment="1" applyProtection="0">
      <alignment horizontal="center" vertical="center" wrapText="1"/>
    </xf>
    <xf numFmtId="0" fontId="0" fillId="4" borderId="40" applyNumberFormat="0" applyFont="1" applyFill="1" applyBorder="1" applyAlignment="1" applyProtection="0">
      <alignment horizontal="center" vertical="center" wrapText="1"/>
    </xf>
    <xf numFmtId="49" fontId="0" fillId="4" borderId="83" applyNumberFormat="1" applyFont="1" applyFill="1" applyBorder="1" applyAlignment="1" applyProtection="0">
      <alignment horizontal="left" vertical="center" wrapText="1"/>
    </xf>
    <xf numFmtId="0" fontId="0" fillId="4" borderId="30" applyNumberFormat="0" applyFont="1" applyFill="1" applyBorder="1" applyAlignment="1" applyProtection="0">
      <alignment horizontal="left" vertical="center" wrapText="1"/>
    </xf>
    <xf numFmtId="0" fontId="0" fillId="4" borderId="19" applyNumberFormat="0" applyFont="1" applyFill="1" applyBorder="1" applyAlignment="1" applyProtection="0">
      <alignment horizontal="left" vertical="center" wrapText="1"/>
    </xf>
    <xf numFmtId="0" fontId="8" fillId="4" borderId="20" applyNumberFormat="0" applyFont="1" applyFill="1" applyBorder="1" applyAlignment="1" applyProtection="0">
      <alignment horizontal="center" vertical="center"/>
    </xf>
    <xf numFmtId="49" fontId="8" fillId="4" borderId="20" applyNumberFormat="1" applyFont="1" applyFill="1" applyBorder="1" applyAlignment="1" applyProtection="0">
      <alignment horizontal="center" vertical="bottom"/>
    </xf>
    <xf numFmtId="49" fontId="8" fillId="4" borderId="20" applyNumberFormat="1" applyFont="1" applyFill="1" applyBorder="1" applyAlignment="1" applyProtection="0">
      <alignment horizontal="center" vertical="center" wrapText="1"/>
    </xf>
    <xf numFmtId="49" fontId="8" fillId="4" borderId="20" applyNumberFormat="1" applyFont="1" applyFill="1" applyBorder="1" applyAlignment="1" applyProtection="0">
      <alignment horizontal="center" vertical="top"/>
    </xf>
    <xf numFmtId="0" fontId="8" fillId="4" borderId="20" applyNumberFormat="0" applyFont="1" applyFill="1" applyBorder="1" applyAlignment="1" applyProtection="0">
      <alignment horizontal="center" vertical="top"/>
    </xf>
    <xf numFmtId="0" fontId="8" fillId="4" borderId="20" applyNumberFormat="0" applyFont="1" applyFill="1" applyBorder="1" applyAlignment="1" applyProtection="0">
      <alignment horizontal="center" vertical="center" wrapText="1"/>
    </xf>
    <xf numFmtId="0" fontId="0" fillId="4" borderId="12" applyNumberFormat="0"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0" fontId="0" fillId="4" borderId="14" applyNumberFormat="0" applyFont="1" applyFill="1" applyBorder="1" applyAlignment="1" applyProtection="0">
      <alignment horizontal="center" vertical="bottom"/>
    </xf>
    <xf numFmtId="49" fontId="24" fillId="4" borderId="4" applyNumberFormat="1" applyFont="1" applyFill="1" applyBorder="1" applyAlignment="1" applyProtection="0">
      <alignment horizontal="right" vertical="top" wrapText="1"/>
    </xf>
    <xf numFmtId="0" fontId="24" fillId="4" borderId="5" applyNumberFormat="0" applyFont="1" applyFill="1" applyBorder="1" applyAlignment="1" applyProtection="0">
      <alignment horizontal="right" vertical="top" wrapText="1"/>
    </xf>
    <xf numFmtId="49" fontId="24" fillId="4" borderId="5" applyNumberFormat="1" applyFont="1" applyFill="1" applyBorder="1" applyAlignment="1" applyProtection="0">
      <alignment horizontal="left" vertical="top" wrapText="1"/>
    </xf>
    <xf numFmtId="0" fontId="24" fillId="4" borderId="5" applyNumberFormat="0" applyFont="1" applyFill="1" applyBorder="1" applyAlignment="1" applyProtection="0">
      <alignment horizontal="left" vertical="top" wrapText="1"/>
    </xf>
    <xf numFmtId="49" fontId="41" fillId="4" borderId="4" applyNumberFormat="1" applyFont="1" applyFill="1" applyBorder="1" applyAlignment="1" applyProtection="0">
      <alignment horizontal="center" vertical="bottom"/>
    </xf>
    <xf numFmtId="49" fontId="19" fillId="4" borderId="5" applyNumberFormat="1" applyFont="1" applyFill="1" applyBorder="1" applyAlignment="1" applyProtection="0">
      <alignment vertical="bottom"/>
    </xf>
    <xf numFmtId="49" fontId="8" fillId="4" borderId="20" applyNumberFormat="1" applyFont="1" applyFill="1" applyBorder="1" applyAlignment="1" applyProtection="0">
      <alignment horizontal="center" vertical="bottom" wrapText="1"/>
    </xf>
    <xf numFmtId="0" fontId="54" fillId="4" borderId="5" applyNumberFormat="0" applyFont="1" applyFill="1" applyBorder="1" applyAlignment="1" applyProtection="0">
      <alignment vertical="bottom"/>
    </xf>
    <xf numFmtId="49" fontId="0" fillId="4" borderId="5" applyNumberFormat="1" applyFont="1" applyFill="1" applyBorder="1" applyAlignment="1" applyProtection="0">
      <alignment horizontal="left" vertical="center" wrapText="1"/>
    </xf>
    <xf numFmtId="49" fontId="24" fillId="4" borderId="4" applyNumberFormat="1" applyFont="1" applyFill="1" applyBorder="1" applyAlignment="1" applyProtection="0">
      <alignment horizontal="center" vertical="center" wrapText="1"/>
    </xf>
    <xf numFmtId="0" fontId="24" fillId="4" borderId="5" applyNumberFormat="0" applyFont="1" applyFill="1" applyBorder="1" applyAlignment="1" applyProtection="0">
      <alignment horizontal="center" vertical="center" wrapText="1"/>
    </xf>
    <xf numFmtId="49" fontId="24" fillId="4" borderId="5" applyNumberFormat="1" applyFont="1" applyFill="1" applyBorder="1" applyAlignment="1" applyProtection="0">
      <alignment horizontal="left" vertical="center" wrapText="1"/>
    </xf>
    <xf numFmtId="0" fontId="24" fillId="4" borderId="5" applyNumberFormat="0" applyFont="1" applyFill="1" applyBorder="1" applyAlignment="1" applyProtection="0">
      <alignment horizontal="left" vertical="center" wrapText="1"/>
    </xf>
    <xf numFmtId="49" fontId="8" fillId="4" borderId="5" applyNumberFormat="1" applyFont="1" applyFill="1" applyBorder="1" applyAlignment="1" applyProtection="0">
      <alignment horizontal="left" vertical="center" wrapText="1"/>
    </xf>
    <xf numFmtId="0" fontId="8" fillId="4" borderId="5" applyNumberFormat="0" applyFont="1" applyFill="1" applyBorder="1" applyAlignment="1" applyProtection="0">
      <alignment horizontal="left" vertical="center" wrapText="1"/>
    </xf>
    <xf numFmtId="0" fontId="8" fillId="4" borderId="4" applyNumberFormat="0" applyFont="1" applyFill="1" applyBorder="1" applyAlignment="1" applyProtection="0">
      <alignment horizontal="right" vertical="bottom"/>
    </xf>
    <xf numFmtId="0" fontId="8" fillId="4" borderId="5" applyNumberFormat="0" applyFont="1" applyFill="1" applyBorder="1" applyAlignment="1" applyProtection="0">
      <alignment horizontal="right" vertical="center" wrapText="1"/>
    </xf>
    <xf numFmtId="0" fontId="8" fillId="4" borderId="5" applyNumberFormat="0" applyFont="1" applyFill="1" applyBorder="1" applyAlignment="1" applyProtection="0">
      <alignment horizontal="center" vertical="center" wrapText="1"/>
    </xf>
    <xf numFmtId="49" fontId="29" fillId="4" borderId="5" applyNumberFormat="1" applyFont="1" applyFill="1" applyBorder="1" applyAlignment="1" applyProtection="0">
      <alignment horizontal="left" vertical="center" wrapText="1"/>
    </xf>
    <xf numFmtId="0" fontId="29" fillId="4" borderId="5" applyNumberFormat="0" applyFont="1" applyFill="1" applyBorder="1" applyAlignment="1" applyProtection="0">
      <alignment horizontal="left" vertical="center" wrapText="1"/>
    </xf>
    <xf numFmtId="49" fontId="0" fillId="4" borderId="4" applyNumberFormat="1" applyFont="1" applyFill="1" applyBorder="1" applyAlignment="1" applyProtection="0">
      <alignment horizontal="right" vertical="bottom"/>
    </xf>
    <xf numFmtId="49" fontId="0" fillId="4" borderId="5" applyNumberFormat="1" applyFont="1" applyFill="1" applyBorder="1" applyAlignment="1" applyProtection="0">
      <alignment horizontal="left" vertical="bottom"/>
    </xf>
    <xf numFmtId="49" fontId="0" fillId="4" borderId="4" applyNumberFormat="1" applyFont="1" applyFill="1" applyBorder="1" applyAlignment="1" applyProtection="0">
      <alignment horizontal="right" vertical="top"/>
    </xf>
    <xf numFmtId="49" fontId="0" fillId="4" borderId="5" applyNumberFormat="1" applyFont="1" applyFill="1" applyBorder="1" applyAlignment="1" applyProtection="0">
      <alignment vertical="top"/>
    </xf>
    <xf numFmtId="49" fontId="29" fillId="4" borderId="5" applyNumberFormat="1" applyFont="1" applyFill="1" applyBorder="1" applyAlignment="1" applyProtection="0">
      <alignment vertical="bottom"/>
    </xf>
    <xf numFmtId="0" fontId="8" fillId="4" borderId="14" applyNumberFormat="0" applyFont="1" applyFill="1" applyBorder="1" applyAlignment="1" applyProtection="0">
      <alignment horizontal="center" vertical="bottom"/>
    </xf>
    <xf numFmtId="49" fontId="0" fillId="4" borderId="20" applyNumberFormat="1" applyFont="1" applyFill="1" applyBorder="1" applyAlignment="1" applyProtection="0">
      <alignment horizontal="left" vertical="bottom"/>
    </xf>
    <xf numFmtId="0" fontId="0" fillId="4" borderId="20" applyNumberFormat="0" applyFont="1" applyFill="1" applyBorder="1" applyAlignment="1" applyProtection="0">
      <alignment horizontal="left" vertical="bottom"/>
    </xf>
    <xf numFmtId="66" fontId="0" fillId="4" borderId="12" applyNumberFormat="1" applyFont="1" applyFill="1" applyBorder="1" applyAlignment="1" applyProtection="0">
      <alignment vertical="bottom"/>
    </xf>
    <xf numFmtId="66" fontId="0" fillId="4" borderId="14" applyNumberFormat="1" applyFont="1" applyFill="1" applyBorder="1" applyAlignment="1" applyProtection="0">
      <alignment vertical="bottom"/>
    </xf>
    <xf numFmtId="64" fontId="0" fillId="4" borderId="20" applyNumberFormat="1" applyFont="1" applyFill="1" applyBorder="1" applyAlignment="1" applyProtection="0">
      <alignment horizontal="center" vertical="center" wrapText="1"/>
    </xf>
    <xf numFmtId="49" fontId="0" fillId="4" borderId="10" applyNumberFormat="1" applyFont="1" applyFill="1" applyBorder="1" applyAlignment="1" applyProtection="0">
      <alignment horizontal="left" vertical="top" wrapText="1"/>
    </xf>
    <xf numFmtId="49" fontId="8" fillId="4" borderId="20" applyNumberFormat="1" applyFont="1" applyFill="1" applyBorder="1" applyAlignment="1" applyProtection="0">
      <alignment horizontal="left" vertical="center" wrapText="1"/>
    </xf>
    <xf numFmtId="0" fontId="8" fillId="4" borderId="20" applyNumberFormat="0" applyFont="1" applyFill="1" applyBorder="1" applyAlignment="1" applyProtection="0">
      <alignment vertical="center" wrapText="1"/>
    </xf>
    <xf numFmtId="64" fontId="0" fillId="4" borderId="20" applyNumberFormat="1" applyFont="1" applyFill="1" applyBorder="1" applyAlignment="1" applyProtection="0">
      <alignment vertical="bottom"/>
    </xf>
    <xf numFmtId="64" fontId="0" fillId="4" borderId="20" applyNumberFormat="1" applyFont="1" applyFill="1" applyBorder="1" applyAlignment="1" applyProtection="0">
      <alignment horizontal="center" vertical="bottom"/>
    </xf>
    <xf numFmtId="0" fontId="19" fillId="4" borderId="4" applyNumberFormat="0" applyFont="1" applyFill="1" applyBorder="1" applyAlignment="1" applyProtection="0">
      <alignment vertical="bottom"/>
    </xf>
    <xf numFmtId="49" fontId="22" fillId="4" borderId="5" applyNumberFormat="1" applyFont="1" applyFill="1" applyBorder="1" applyAlignment="1" applyProtection="0">
      <alignment vertical="bottom" wrapText="1"/>
    </xf>
    <xf numFmtId="0" fontId="53" fillId="4" borderId="5" applyNumberFormat="0" applyFont="1" applyFill="1" applyBorder="1" applyAlignment="1" applyProtection="0">
      <alignment vertical="center" wrapText="1"/>
    </xf>
    <xf numFmtId="49" fontId="0" fillId="4" borderId="12" applyNumberFormat="1" applyFont="1" applyFill="1" applyBorder="1" applyAlignment="1" applyProtection="0">
      <alignment horizontal="center" vertical="bottom"/>
    </xf>
    <xf numFmtId="2" fontId="0" fillId="4" borderId="14" applyNumberFormat="1" applyFont="1" applyFill="1" applyBorder="1" applyAlignment="1" applyProtection="0">
      <alignment vertical="bottom"/>
    </xf>
    <xf numFmtId="49" fontId="0" fillId="4" borderId="12" applyNumberFormat="1" applyFont="1" applyFill="1" applyBorder="1" applyAlignment="1" applyProtection="0">
      <alignment horizontal="left" vertical="bottom"/>
    </xf>
    <xf numFmtId="0" fontId="0" fillId="4" borderId="13" applyNumberFormat="0" applyFont="1" applyFill="1" applyBorder="1" applyAlignment="1" applyProtection="0">
      <alignment horizontal="left" vertical="bottom"/>
    </xf>
    <xf numFmtId="0" fontId="0" fillId="4" borderId="14" applyNumberFormat="0" applyFont="1" applyFill="1" applyBorder="1" applyAlignment="1" applyProtection="0">
      <alignment horizontal="left" vertical="bottom"/>
    </xf>
    <xf numFmtId="0" fontId="0" fillId="4" borderId="84" applyNumberFormat="1" applyFont="1" applyFill="1" applyBorder="1" applyAlignment="1" applyProtection="0">
      <alignment vertical="bottom"/>
    </xf>
    <xf numFmtId="0" fontId="19" fillId="4" borderId="5" applyNumberFormat="0" applyFont="1" applyFill="1" applyBorder="1" applyAlignment="1" applyProtection="0">
      <alignment vertical="bottom"/>
    </xf>
    <xf numFmtId="49" fontId="8" fillId="4" borderId="10" applyNumberFormat="1" applyFont="1" applyFill="1" applyBorder="1" applyAlignment="1" applyProtection="0">
      <alignment horizontal="center" vertical="center"/>
    </xf>
    <xf numFmtId="0" fontId="8" fillId="4" borderId="10" applyNumberFormat="0" applyFont="1" applyFill="1" applyBorder="1" applyAlignment="1" applyProtection="0">
      <alignment horizontal="center" vertical="center"/>
    </xf>
    <xf numFmtId="49" fontId="55" fillId="14" borderId="12" applyNumberFormat="1" applyFont="1" applyFill="1" applyBorder="1" applyAlignment="1" applyProtection="0">
      <alignment horizontal="center" vertical="bottom" wrapText="1"/>
    </xf>
    <xf numFmtId="0" fontId="55" fillId="14" borderId="13" applyNumberFormat="0" applyFont="1" applyFill="1" applyBorder="1" applyAlignment="1" applyProtection="0">
      <alignment horizontal="center" vertical="bottom" wrapText="1"/>
    </xf>
    <xf numFmtId="0" fontId="55" fillId="14" borderId="14" applyNumberFormat="0" applyFont="1" applyFill="1" applyBorder="1" applyAlignment="1" applyProtection="0">
      <alignment horizontal="center" vertical="bottom" wrapText="1"/>
    </xf>
    <xf numFmtId="49" fontId="56" fillId="14" borderId="20" applyNumberFormat="1" applyFont="1" applyFill="1" applyBorder="1" applyAlignment="1" applyProtection="0">
      <alignment horizontal="left" vertical="bottom" wrapText="1"/>
    </xf>
    <xf numFmtId="0" fontId="56" fillId="14" borderId="20" applyNumberFormat="0" applyFont="1" applyFill="1" applyBorder="1" applyAlignment="1" applyProtection="0">
      <alignment horizontal="left" vertical="bottom" wrapText="1"/>
    </xf>
    <xf numFmtId="49" fontId="57" fillId="4" borderId="20" applyNumberFormat="1" applyFont="1" applyFill="1" applyBorder="1" applyAlignment="1" applyProtection="0">
      <alignment horizontal="left" vertical="bottom" wrapText="1"/>
    </xf>
    <xf numFmtId="0" fontId="57" fillId="4" borderId="20" applyNumberFormat="0" applyFont="1" applyFill="1" applyBorder="1" applyAlignment="1" applyProtection="0">
      <alignment horizontal="left" vertical="bottom" wrapText="1"/>
    </xf>
    <xf numFmtId="49" fontId="57" fillId="4" borderId="20" applyNumberFormat="1" applyFont="1" applyFill="1" applyBorder="1" applyAlignment="1" applyProtection="0">
      <alignment horizontal="left" vertical="top" wrapText="1"/>
    </xf>
    <xf numFmtId="0" fontId="57" fillId="4" borderId="20" applyNumberFormat="0" applyFont="1" applyFill="1" applyBorder="1" applyAlignment="1" applyProtection="0">
      <alignment horizontal="left" vertical="top" wrapText="1"/>
    </xf>
    <xf numFmtId="64" fontId="0" fillId="4" borderId="19" applyNumberFormat="1" applyFont="1" applyFill="1" applyBorder="1" applyAlignment="1" applyProtection="0">
      <alignment vertical="bottom"/>
    </xf>
    <xf numFmtId="0" fontId="32" fillId="4" borderId="19" applyNumberFormat="0" applyFont="1" applyFill="1" applyBorder="1" applyAlignment="1" applyProtection="0">
      <alignment horizontal="center" vertical="center" wrapText="1"/>
    </xf>
    <xf numFmtId="64" fontId="0" fillId="4" borderId="5" applyNumberFormat="1" applyFont="1" applyFill="1" applyBorder="1" applyAlignment="1" applyProtection="0">
      <alignment vertical="bottom"/>
    </xf>
    <xf numFmtId="0" fontId="32" fillId="4" borderId="5" applyNumberFormat="0" applyFont="1" applyFill="1" applyBorder="1" applyAlignment="1" applyProtection="0">
      <alignment horizontal="center" vertical="center" wrapText="1"/>
    </xf>
    <xf numFmtId="0" fontId="29" fillId="4" borderId="5" applyNumberFormat="0" applyFont="1" applyFill="1" applyBorder="1" applyAlignment="1" applyProtection="0">
      <alignment vertical="bottom"/>
    </xf>
    <xf numFmtId="49" fontId="36" fillId="4" borderId="20" applyNumberFormat="1" applyFont="1" applyFill="1" applyBorder="1" applyAlignment="1" applyProtection="0">
      <alignment horizontal="center" vertical="center"/>
    </xf>
    <xf numFmtId="0" fontId="36" fillId="4" borderId="20" applyNumberFormat="0" applyFont="1" applyFill="1" applyBorder="1" applyAlignment="1" applyProtection="0">
      <alignment horizontal="center" vertical="center"/>
    </xf>
    <xf numFmtId="49" fontId="36" fillId="4" borderId="20" applyNumberFormat="1" applyFont="1" applyFill="1" applyBorder="1" applyAlignment="1" applyProtection="0">
      <alignment horizontal="center" vertical="center" wrapText="1"/>
    </xf>
    <xf numFmtId="0" fontId="36" fillId="4" borderId="20" applyNumberFormat="0" applyFont="1" applyFill="1" applyBorder="1" applyAlignment="1" applyProtection="0">
      <alignment horizontal="center" vertical="center" wrapText="1"/>
    </xf>
    <xf numFmtId="49" fontId="57" fillId="4" borderId="21" applyNumberFormat="1" applyFont="1" applyFill="1" applyBorder="1" applyAlignment="1" applyProtection="0">
      <alignment horizontal="left" vertical="top" wrapText="1"/>
    </xf>
    <xf numFmtId="0" fontId="57" fillId="4" borderId="22" applyNumberFormat="0" applyFont="1" applyFill="1" applyBorder="1" applyAlignment="1" applyProtection="0">
      <alignment horizontal="left" vertical="top" wrapText="1"/>
    </xf>
    <xf numFmtId="0" fontId="57" fillId="4" borderId="19" applyNumberFormat="0" applyFont="1" applyFill="1" applyBorder="1" applyAlignment="1" applyProtection="0">
      <alignment horizontal="left" vertical="top" wrapText="1"/>
    </xf>
    <xf numFmtId="0" fontId="57" fillId="4" borderId="20" applyNumberFormat="0" applyFont="1" applyFill="1" applyBorder="1" applyAlignment="1" applyProtection="0">
      <alignment horizontal="center" vertical="top" wrapText="1"/>
    </xf>
    <xf numFmtId="59" fontId="57" fillId="4" borderId="20" applyNumberFormat="1" applyFont="1" applyFill="1" applyBorder="1" applyAlignment="1" applyProtection="0">
      <alignment horizontal="center" vertical="top" wrapText="1"/>
    </xf>
    <xf numFmtId="0" fontId="57" fillId="4" borderId="15" applyNumberFormat="0" applyFont="1" applyFill="1" applyBorder="1" applyAlignment="1" applyProtection="0">
      <alignment horizontal="center" vertical="center" wrapText="1"/>
    </xf>
    <xf numFmtId="0" fontId="57" fillId="4" borderId="11" applyNumberFormat="0" applyFont="1" applyFill="1" applyBorder="1" applyAlignment="1" applyProtection="0">
      <alignment horizontal="center" vertical="center" wrapText="1"/>
    </xf>
    <xf numFmtId="0" fontId="57" fillId="4" borderId="35" applyNumberFormat="0" applyFont="1" applyFill="1" applyBorder="1" applyAlignment="1" applyProtection="0">
      <alignment vertical="top" wrapText="1"/>
    </xf>
    <xf numFmtId="0" fontId="57" fillId="4" borderId="37" applyNumberFormat="0" applyFont="1" applyFill="1" applyBorder="1" applyAlignment="1" applyProtection="0">
      <alignment vertical="top" wrapText="1"/>
    </xf>
    <xf numFmtId="0" fontId="57" fillId="4" borderId="35" applyNumberFormat="0" applyFont="1" applyFill="1" applyBorder="1" applyAlignment="1" applyProtection="0">
      <alignment horizontal="left" vertical="top" wrapText="1"/>
    </xf>
    <xf numFmtId="0" fontId="57" fillId="4" borderId="15" applyNumberFormat="0" applyFont="1" applyFill="1" applyBorder="1" applyAlignment="1" applyProtection="0">
      <alignment horizontal="left" vertical="top" wrapText="1"/>
    </xf>
    <xf numFmtId="0" fontId="57" fillId="4" borderId="5" applyNumberFormat="0" applyFont="1" applyFill="1" applyBorder="1" applyAlignment="1" applyProtection="0">
      <alignment horizontal="left" vertical="top" wrapText="1"/>
    </xf>
    <xf numFmtId="0" fontId="57" fillId="4" borderId="11" applyNumberFormat="0" applyFont="1" applyFill="1" applyBorder="1" applyAlignment="1" applyProtection="0">
      <alignment horizontal="left" vertical="top" wrapText="1"/>
    </xf>
    <xf numFmtId="0" fontId="57" fillId="4" borderId="37" applyNumberFormat="0" applyFont="1" applyFill="1" applyBorder="1" applyAlignment="1" applyProtection="0">
      <alignment horizontal="center" vertical="top" wrapText="1"/>
    </xf>
    <xf numFmtId="0" fontId="57" fillId="4" borderId="23" applyNumberFormat="0" applyFont="1" applyFill="1" applyBorder="1" applyAlignment="1" applyProtection="0">
      <alignment horizontal="left" vertical="top" wrapText="1"/>
    </xf>
    <xf numFmtId="0" fontId="57" fillId="4" borderId="10" applyNumberFormat="0" applyFont="1" applyFill="1" applyBorder="1" applyAlignment="1" applyProtection="0">
      <alignment horizontal="left" vertical="top" wrapText="1"/>
    </xf>
    <xf numFmtId="0" fontId="57" fillId="4" borderId="24" applyNumberFormat="0" applyFont="1" applyFill="1" applyBorder="1" applyAlignment="1" applyProtection="0">
      <alignment horizontal="left" vertical="top" wrapText="1"/>
    </xf>
    <xf numFmtId="49" fontId="57" fillId="4" borderId="36" applyNumberFormat="1" applyFont="1" applyFill="1" applyBorder="1" applyAlignment="1" applyProtection="0">
      <alignment horizontal="left" vertical="top" wrapText="1"/>
    </xf>
    <xf numFmtId="0" fontId="57" fillId="4" borderId="36" applyNumberFormat="0" applyFont="1" applyFill="1" applyBorder="1" applyAlignment="1" applyProtection="0">
      <alignment horizontal="left" vertical="top" wrapText="1"/>
    </xf>
    <xf numFmtId="0" fontId="57" fillId="4" borderId="35" applyNumberFormat="0" applyFont="1" applyFill="1" applyBorder="1" applyAlignment="1" applyProtection="0">
      <alignment horizontal="center" vertical="top" wrapText="1"/>
    </xf>
    <xf numFmtId="0" fontId="57" fillId="4" borderId="12" applyNumberFormat="0" applyFont="1" applyFill="1" applyBorder="1" applyAlignment="1" applyProtection="0">
      <alignment horizontal="center" vertical="top" wrapText="1"/>
    </xf>
    <xf numFmtId="0" fontId="57" fillId="4" borderId="14" applyNumberFormat="0" applyFont="1" applyFill="1" applyBorder="1" applyAlignment="1" applyProtection="0">
      <alignment horizontal="center" vertical="top" wrapText="1"/>
    </xf>
    <xf numFmtId="0" fontId="57" fillId="4" borderId="15" applyNumberFormat="0" applyFont="1" applyFill="1" applyBorder="1" applyAlignment="1" applyProtection="0">
      <alignment vertical="top" wrapText="1"/>
    </xf>
    <xf numFmtId="0" fontId="57" fillId="4" borderId="5" applyNumberFormat="0" applyFont="1" applyFill="1" applyBorder="1" applyAlignment="1" applyProtection="0">
      <alignment vertical="top" wrapText="1"/>
    </xf>
    <xf numFmtId="0" fontId="57" fillId="4" borderId="11" applyNumberFormat="0" applyFont="1" applyFill="1" applyBorder="1" applyAlignment="1" applyProtection="0">
      <alignment vertical="top" wrapText="1"/>
    </xf>
    <xf numFmtId="0" fontId="57" fillId="4" borderId="23" applyNumberFormat="0" applyFont="1" applyFill="1" applyBorder="1" applyAlignment="1" applyProtection="0">
      <alignment vertical="top" wrapText="1"/>
    </xf>
    <xf numFmtId="0" fontId="57" fillId="4" borderId="10" applyNumberFormat="0" applyFont="1" applyFill="1" applyBorder="1" applyAlignment="1" applyProtection="0">
      <alignment vertical="top" wrapText="1"/>
    </xf>
    <xf numFmtId="0" fontId="57" fillId="4" borderId="24" applyNumberFormat="0" applyFont="1" applyFill="1" applyBorder="1" applyAlignment="1" applyProtection="0">
      <alignment vertical="top" wrapText="1"/>
    </xf>
    <xf numFmtId="49" fontId="22" fillId="4" borderId="21" applyNumberFormat="1" applyFont="1" applyFill="1" applyBorder="1" applyAlignment="1" applyProtection="0">
      <alignment horizontal="left" vertical="top" wrapText="1"/>
    </xf>
    <xf numFmtId="0" fontId="22" fillId="4" borderId="19" applyNumberFormat="0" applyFont="1" applyFill="1" applyBorder="1" applyAlignment="1" applyProtection="0">
      <alignment horizontal="left" vertical="top" wrapText="1"/>
    </xf>
    <xf numFmtId="0" fontId="22" fillId="4" borderId="22" applyNumberFormat="0" applyFont="1" applyFill="1" applyBorder="1" applyAlignment="1" applyProtection="0">
      <alignment horizontal="left" vertical="top" wrapText="1"/>
    </xf>
    <xf numFmtId="0" fontId="22" fillId="4" borderId="20" applyNumberFormat="0" applyFont="1" applyFill="1" applyBorder="1" applyAlignment="1" applyProtection="0">
      <alignment horizontal="center" vertical="top" wrapText="1"/>
    </xf>
    <xf numFmtId="0" fontId="22" fillId="4" borderId="23" applyNumberFormat="0" applyFont="1" applyFill="1" applyBorder="1" applyAlignment="1" applyProtection="0">
      <alignment horizontal="left" vertical="top" wrapText="1"/>
    </xf>
    <xf numFmtId="0" fontId="22" fillId="4" borderId="10" applyNumberFormat="0" applyFont="1" applyFill="1" applyBorder="1" applyAlignment="1" applyProtection="0">
      <alignment horizontal="left" vertical="top" wrapText="1"/>
    </xf>
    <xf numFmtId="0" fontId="22" fillId="4" borderId="24" applyNumberFormat="0" applyFont="1" applyFill="1" applyBorder="1" applyAlignment="1" applyProtection="0">
      <alignment horizontal="left" vertical="top" wrapText="1"/>
    </xf>
    <xf numFmtId="49" fontId="57" fillId="4" borderId="20" applyNumberFormat="1" applyFont="1" applyFill="1" applyBorder="1" applyAlignment="1" applyProtection="0">
      <alignment horizontal="center" vertical="center" wrapText="1"/>
    </xf>
    <xf numFmtId="0" fontId="57" fillId="4" borderId="20" applyNumberFormat="0" applyFont="1" applyFill="1" applyBorder="1" applyAlignment="1" applyProtection="0">
      <alignment horizontal="center" vertical="center" wrapText="1"/>
    </xf>
    <xf numFmtId="49" fontId="57" fillId="4" borderId="20" applyNumberFormat="1" applyFont="1" applyFill="1" applyBorder="1" applyAlignment="1" applyProtection="0">
      <alignment horizontal="left" vertical="center"/>
    </xf>
    <xf numFmtId="0" fontId="57" fillId="4" borderId="20" applyNumberFormat="0" applyFont="1" applyFill="1" applyBorder="1" applyAlignment="1" applyProtection="0">
      <alignment horizontal="left" vertical="center"/>
    </xf>
    <xf numFmtId="0" fontId="22" fillId="4" borderId="30" applyNumberFormat="0" applyFont="1" applyFill="1" applyBorder="1" applyAlignment="1" applyProtection="0">
      <alignment horizontal="left" vertical="center" wrapText="1"/>
    </xf>
    <xf numFmtId="49" fontId="8" fillId="4" borderId="5" applyNumberFormat="1" applyFont="1" applyFill="1" applyBorder="1" applyAlignment="1" applyProtection="0">
      <alignment horizontal="left" vertical="bottom" wrapText="1"/>
    </xf>
    <xf numFmtId="0" fontId="8" fillId="4" borderId="5" applyNumberFormat="0" applyFont="1" applyFill="1" applyBorder="1" applyAlignment="1" applyProtection="0">
      <alignment horizontal="left" vertical="bottom" wrapText="1"/>
    </xf>
    <xf numFmtId="49" fontId="41" fillId="4" borderId="5" applyNumberFormat="1" applyFont="1" applyFill="1" applyBorder="1" applyAlignment="1" applyProtection="0">
      <alignment horizontal="center" vertical="bottom" wrapText="1"/>
    </xf>
    <xf numFmtId="0" fontId="41" fillId="4" borderId="5" applyNumberFormat="0" applyFont="1" applyFill="1" applyBorder="1" applyAlignment="1" applyProtection="0">
      <alignment horizontal="center" vertical="bottom" wrapText="1"/>
    </xf>
    <xf numFmtId="49" fontId="0" fillId="4" borderId="5" applyNumberFormat="1" applyFont="1" applyFill="1" applyBorder="1" applyAlignment="1" applyProtection="0">
      <alignment horizontal="left" vertical="top"/>
    </xf>
    <xf numFmtId="0" fontId="36" fillId="4" borderId="5" applyNumberFormat="0" applyFont="1" applyFill="1" applyBorder="1" applyAlignment="1" applyProtection="0">
      <alignment vertical="bottom"/>
    </xf>
    <xf numFmtId="0" fontId="36" fillId="4" borderId="5" applyNumberFormat="0" applyFont="1" applyFill="1" applyBorder="1" applyAlignment="1" applyProtection="0">
      <alignment horizontal="right" vertical="bottom"/>
    </xf>
    <xf numFmtId="0" fontId="36" fillId="4" borderId="5" applyNumberFormat="0" applyFont="1" applyFill="1" applyBorder="1" applyAlignment="1" applyProtection="0">
      <alignment horizontal="center" vertical="bottom"/>
    </xf>
    <xf numFmtId="49" fontId="0" fillId="4" borderId="5" applyNumberFormat="1" applyFont="1" applyFill="1" applyBorder="1" applyAlignment="1" applyProtection="0">
      <alignment horizontal="right" vertical="bottom"/>
    </xf>
    <xf numFmtId="49" fontId="22" fillId="4" borderId="5" applyNumberFormat="1" applyFont="1" applyFill="1" applyBorder="1" applyAlignment="1" applyProtection="0">
      <alignment vertical="bottom"/>
    </xf>
    <xf numFmtId="0" fontId="22" fillId="4" borderId="5" applyNumberFormat="0" applyFont="1" applyFill="1" applyBorder="1" applyAlignment="1" applyProtection="0">
      <alignment horizontal="right" vertical="bottom"/>
    </xf>
    <xf numFmtId="49" fontId="0" fillId="4" borderId="5" applyNumberFormat="1" applyFont="1" applyFill="1" applyBorder="1" applyAlignment="1" applyProtection="0">
      <alignment horizontal="right" vertical="top" wrapText="1"/>
    </xf>
    <xf numFmtId="0" fontId="0" fillId="15" borderId="10" applyNumberFormat="0" applyFont="1" applyFill="1" applyBorder="1" applyAlignment="1" applyProtection="0">
      <alignment horizontal="left" vertical="top" wrapText="1"/>
    </xf>
    <xf numFmtId="49" fontId="22" fillId="4" borderId="5" applyNumberFormat="1" applyFont="1" applyFill="1" applyBorder="1" applyAlignment="1" applyProtection="0">
      <alignment horizontal="left" vertical="top" wrapText="1"/>
    </xf>
    <xf numFmtId="49" fontId="32" fillId="4" borderId="5" applyNumberFormat="1" applyFont="1" applyFill="1" applyBorder="1" applyAlignment="1" applyProtection="0">
      <alignment vertical="bottom"/>
    </xf>
    <xf numFmtId="49" fontId="41" fillId="4" borderId="4" applyNumberFormat="1" applyFont="1" applyFill="1" applyBorder="1" applyAlignment="1" applyProtection="0">
      <alignment horizontal="center" vertical="center"/>
    </xf>
    <xf numFmtId="0" fontId="41" fillId="4" borderId="5" applyNumberFormat="0" applyFont="1" applyFill="1" applyBorder="1" applyAlignment="1" applyProtection="0">
      <alignment horizontal="center" vertical="center"/>
    </xf>
    <xf numFmtId="0" fontId="32" fillId="4" borderId="5" applyNumberFormat="0" applyFont="1" applyFill="1" applyBorder="1" applyAlignment="1" applyProtection="0">
      <alignment vertical="bottom"/>
    </xf>
    <xf numFmtId="49" fontId="41" fillId="4" borderId="4" applyNumberFormat="1" applyFont="1" applyFill="1" applyBorder="1" applyAlignment="1" applyProtection="0">
      <alignment horizontal="center" vertical="center" wrapText="1"/>
    </xf>
    <xf numFmtId="0" fontId="41" fillId="4" borderId="5" applyNumberFormat="0" applyFont="1" applyFill="1" applyBorder="1" applyAlignment="1" applyProtection="0">
      <alignment horizontal="center" vertical="center" wrapText="1"/>
    </xf>
    <xf numFmtId="49" fontId="8" fillId="4" borderId="20" applyNumberFormat="1" applyFont="1" applyFill="1" applyBorder="1" applyAlignment="1" applyProtection="0">
      <alignment vertical="center" wrapText="1"/>
    </xf>
    <xf numFmtId="0" fontId="0" fillId="4" borderId="21" applyNumberFormat="0" applyFont="1" applyFill="1" applyBorder="1" applyAlignment="1" applyProtection="0">
      <alignment vertical="center" wrapText="1"/>
    </xf>
    <xf numFmtId="0" fontId="0" fillId="4" borderId="19" applyNumberFormat="0" applyFont="1" applyFill="1" applyBorder="1" applyAlignment="1" applyProtection="0">
      <alignment vertical="center" wrapText="1"/>
    </xf>
    <xf numFmtId="0" fontId="0" fillId="4" borderId="5" applyNumberFormat="0" applyFont="1" applyFill="1" applyBorder="1" applyAlignment="1" applyProtection="0">
      <alignment vertical="center" wrapText="1"/>
    </xf>
    <xf numFmtId="49" fontId="32" fillId="4" borderId="5" applyNumberFormat="1" applyFont="1" applyFill="1" applyBorder="1" applyAlignment="1" applyProtection="0">
      <alignment horizontal="center" vertical="top" wrapText="1"/>
    </xf>
    <xf numFmtId="0" fontId="32" fillId="4" borderId="5" applyNumberFormat="0" applyFont="1" applyFill="1" applyBorder="1" applyAlignment="1" applyProtection="0">
      <alignment horizontal="center" vertical="top" wrapText="1"/>
    </xf>
    <xf numFmtId="49" fontId="22" fillId="4" borderId="4" applyNumberFormat="1" applyFont="1" applyFill="1" applyBorder="1" applyAlignment="1" applyProtection="0">
      <alignment horizontal="left" vertical="bottom"/>
    </xf>
    <xf numFmtId="0" fontId="22" fillId="4" borderId="4" applyNumberFormat="0" applyFont="1" applyFill="1" applyBorder="1" applyAlignment="1" applyProtection="0">
      <alignment horizontal="left" vertical="bottom"/>
    </xf>
    <xf numFmtId="0" fontId="0" fillId="4" borderId="10" applyNumberFormat="0" applyFont="1" applyFill="1" applyBorder="1" applyAlignment="1" applyProtection="0">
      <alignment vertical="top" wrapText="1"/>
    </xf>
    <xf numFmtId="0" fontId="8" fillId="4" borderId="20" applyNumberFormat="0" applyFont="1" applyFill="1" applyBorder="1" applyAlignment="1" applyProtection="0">
      <alignment horizontal="center" vertical="bottom" wrapText="1"/>
    </xf>
    <xf numFmtId="0" fontId="8" fillId="4" borderId="20" applyNumberFormat="0" applyFont="1" applyFill="1" applyBorder="1" applyAlignment="1" applyProtection="0">
      <alignment horizontal="center" vertical="bottom"/>
    </xf>
    <xf numFmtId="49" fontId="0" fillId="4" borderId="12" applyNumberFormat="1" applyFont="1" applyFill="1" applyBorder="1" applyAlignment="1" applyProtection="0">
      <alignment vertical="bottom"/>
    </xf>
    <xf numFmtId="49" fontId="28" fillId="4" borderId="5" applyNumberFormat="1" applyFont="1" applyFill="1" applyBorder="1" applyAlignment="1" applyProtection="0">
      <alignment horizontal="center" vertical="bottom" wrapText="1"/>
    </xf>
    <xf numFmtId="0" fontId="28" fillId="4" borderId="5" applyNumberFormat="0" applyFont="1" applyFill="1" applyBorder="1" applyAlignment="1" applyProtection="0">
      <alignment horizontal="center" vertical="bottom" wrapText="1"/>
    </xf>
    <xf numFmtId="0" fontId="0" applyNumberFormat="1" applyFont="1" applyFill="0" applyBorder="0" applyAlignment="1" applyProtection="0">
      <alignment vertical="bottom"/>
    </xf>
    <xf numFmtId="0" fontId="10" fillId="4" borderId="2" applyNumberFormat="0" applyFont="1" applyFill="1" applyBorder="1" applyAlignment="1" applyProtection="0">
      <alignment vertical="top"/>
    </xf>
    <xf numFmtId="0" fontId="0" fillId="4" borderId="9" applyNumberFormat="0" applyFont="1" applyFill="1" applyBorder="1" applyAlignment="1" applyProtection="0">
      <alignment vertical="top"/>
    </xf>
    <xf numFmtId="49" fontId="24" fillId="4" borderId="5" applyNumberFormat="1" applyFont="1" applyFill="1" applyBorder="1" applyAlignment="1" applyProtection="0">
      <alignment vertical="bottom" wrapText="1"/>
    </xf>
    <xf numFmtId="0" fontId="24" fillId="4" borderId="5" applyNumberFormat="0" applyFont="1" applyFill="1" applyBorder="1" applyAlignment="1" applyProtection="0">
      <alignment vertical="bottom" wrapText="1"/>
    </xf>
    <xf numFmtId="49" fontId="22" fillId="4" borderId="28" applyNumberFormat="1" applyFont="1" applyFill="1" applyBorder="1" applyAlignment="1" applyProtection="0">
      <alignment vertical="top"/>
    </xf>
    <xf numFmtId="0" fontId="24" fillId="4" borderId="4" applyNumberFormat="0" applyFont="1" applyFill="1" applyBorder="1" applyAlignment="1" applyProtection="0">
      <alignment horizontal="left" vertical="bottom" wrapText="1"/>
    </xf>
    <xf numFmtId="0" fontId="0" fillId="4" borderId="28" applyNumberFormat="0" applyFont="1" applyFill="1" applyBorder="1" applyAlignment="1" applyProtection="0">
      <alignment vertical="top"/>
    </xf>
    <xf numFmtId="49" fontId="8" fillId="4" borderId="4" applyNumberFormat="1" applyFont="1" applyFill="1" applyBorder="1" applyAlignment="1" applyProtection="0">
      <alignment vertical="bottom" wrapText="1"/>
    </xf>
    <xf numFmtId="49" fontId="22" fillId="16" borderId="5" applyNumberFormat="1" applyFont="1" applyFill="1" applyBorder="1" applyAlignment="1" applyProtection="0">
      <alignment horizontal="center" vertical="bottom" wrapText="1"/>
    </xf>
    <xf numFmtId="0" fontId="0" fillId="4" borderId="28" applyNumberFormat="1" applyFont="1" applyFill="1" applyBorder="1" applyAlignment="1" applyProtection="0">
      <alignment vertical="top"/>
    </xf>
    <xf numFmtId="0" fontId="22" fillId="16" borderId="5" applyNumberFormat="0" applyFont="1" applyFill="1" applyBorder="1" applyAlignment="1" applyProtection="0">
      <alignment horizontal="center" vertical="bottom" wrapText="1"/>
    </xf>
    <xf numFmtId="0" fontId="8" fillId="4" borderId="4" applyNumberFormat="0" applyFont="1" applyFill="1" applyBorder="1" applyAlignment="1" applyProtection="0">
      <alignment vertical="bottom"/>
    </xf>
    <xf numFmtId="49" fontId="6" fillId="4" borderId="4" applyNumberFormat="1" applyFont="1" applyFill="1" applyBorder="1" applyAlignment="1" applyProtection="0">
      <alignment horizontal="center" vertical="center" wrapText="1"/>
    </xf>
    <xf numFmtId="0" fontId="6" fillId="4" borderId="5" applyNumberFormat="0" applyFont="1" applyFill="1" applyBorder="1" applyAlignment="1" applyProtection="0">
      <alignment horizontal="center" vertical="center" wrapText="1"/>
    </xf>
    <xf numFmtId="49" fontId="8" fillId="4" borderId="5" applyNumberFormat="1" applyFont="1" applyFill="1" applyBorder="1" applyAlignment="1" applyProtection="0">
      <alignment vertical="center" wrapText="1"/>
    </xf>
    <xf numFmtId="0" fontId="8" fillId="4" borderId="5" applyNumberFormat="0" applyFont="1" applyFill="1" applyBorder="1" applyAlignment="1" applyProtection="0">
      <alignment vertical="center" wrapText="1"/>
    </xf>
    <xf numFmtId="49" fontId="8" fillId="4" borderId="5" applyNumberFormat="1" applyFont="1" applyFill="1" applyBorder="1" applyAlignment="1" applyProtection="0">
      <alignment horizontal="left" vertical="top"/>
    </xf>
    <xf numFmtId="49" fontId="41" fillId="4" borderId="26" applyNumberFormat="1" applyFont="1" applyFill="1" applyBorder="1" applyAlignment="1" applyProtection="0">
      <alignment vertical="bottom"/>
    </xf>
    <xf numFmtId="0" fontId="0" borderId="29" applyNumberFormat="1" applyFont="1" applyFill="0" applyBorder="1" applyAlignment="1" applyProtection="0">
      <alignment vertical="bottom"/>
    </xf>
    <xf numFmtId="49" fontId="22" fillId="4" borderId="26" applyNumberFormat="1" applyFont="1" applyFill="1" applyBorder="1" applyAlignment="1" applyProtection="0">
      <alignment horizontal="center" vertical="center" wrapText="1"/>
    </xf>
    <xf numFmtId="49" fontId="22" fillId="4" borderId="28" applyNumberFormat="1" applyFont="1" applyFill="1" applyBorder="1" applyAlignment="1" applyProtection="0">
      <alignment horizontal="center" vertical="center" wrapText="1"/>
    </xf>
    <xf numFmtId="49" fontId="22" fillId="4" borderId="29" applyNumberFormat="1" applyFont="1" applyFill="1" applyBorder="1" applyAlignment="1" applyProtection="0">
      <alignment horizontal="center" vertical="center" wrapText="1"/>
    </xf>
    <xf numFmtId="49" fontId="22" fillId="4" borderId="5" applyNumberFormat="1" applyFont="1" applyFill="1" applyBorder="1" applyAlignment="1" applyProtection="0">
      <alignment horizontal="center" vertical="center" wrapText="1"/>
    </xf>
    <xf numFmtId="49" fontId="22" fillId="4" borderId="5" applyNumberFormat="1" applyFont="1" applyFill="1" applyBorder="1" applyAlignment="1" applyProtection="0">
      <alignment horizontal="center" vertical="bottom" wrapText="1"/>
    </xf>
    <xf numFmtId="0" fontId="19" fillId="4" borderId="10" applyNumberFormat="0" applyFont="1" applyFill="1" applyBorder="1" applyAlignment="1" applyProtection="0">
      <alignment vertical="bottom"/>
    </xf>
    <xf numFmtId="0" fontId="0" fillId="4" borderId="10" applyNumberFormat="0" applyFont="1" applyFill="1" applyBorder="1" applyAlignment="1" applyProtection="0">
      <alignment vertical="center"/>
    </xf>
    <xf numFmtId="0" fontId="0" fillId="4" borderId="10" applyNumberFormat="0" applyFont="1" applyFill="1" applyBorder="1" applyAlignment="1" applyProtection="0">
      <alignment horizontal="left" vertical="center" wrapText="1"/>
    </xf>
    <xf numFmtId="0" fontId="22" fillId="4" borderId="26" applyNumberFormat="0" applyFont="1" applyFill="1" applyBorder="1" applyAlignment="1" applyProtection="0">
      <alignment horizontal="center" vertical="center" wrapText="1"/>
    </xf>
    <xf numFmtId="0" fontId="22" fillId="4" borderId="28" applyNumberFormat="0" applyFont="1" applyFill="1" applyBorder="1" applyAlignment="1" applyProtection="0">
      <alignment horizontal="center" vertical="center" wrapText="1"/>
    </xf>
    <xf numFmtId="0" fontId="22" fillId="4" borderId="29" applyNumberFormat="0" applyFont="1" applyFill="1" applyBorder="1" applyAlignment="1" applyProtection="0">
      <alignment horizontal="center" vertical="center" wrapText="1"/>
    </xf>
    <xf numFmtId="0" fontId="22" fillId="4" borderId="5" applyNumberFormat="0" applyFont="1" applyFill="1" applyBorder="1" applyAlignment="1" applyProtection="0">
      <alignment horizontal="center" vertical="center" wrapText="1"/>
    </xf>
    <xf numFmtId="0" fontId="22" fillId="4" borderId="5" applyNumberFormat="0" applyFont="1" applyFill="1" applyBorder="1" applyAlignment="1" applyProtection="0">
      <alignment horizontal="center" vertical="bottom" wrapText="1"/>
    </xf>
    <xf numFmtId="0" fontId="0" fillId="4" borderId="39" applyNumberFormat="0" applyFont="1" applyFill="1" applyBorder="1" applyAlignment="1" applyProtection="0">
      <alignment vertical="bottom"/>
    </xf>
    <xf numFmtId="49" fontId="36" fillId="4" borderId="20" applyNumberFormat="1" applyFont="1" applyFill="1" applyBorder="1" applyAlignment="1" applyProtection="0">
      <alignment horizontal="center" vertical="bottom"/>
    </xf>
    <xf numFmtId="0" fontId="36" fillId="4" borderId="20" applyNumberFormat="0" applyFont="1" applyFill="1" applyBorder="1" applyAlignment="1" applyProtection="0">
      <alignment horizontal="center" vertical="bottom"/>
    </xf>
    <xf numFmtId="0" fontId="32" fillId="4" borderId="15" applyNumberFormat="0" applyFont="1" applyFill="1" applyBorder="1" applyAlignment="1" applyProtection="0">
      <alignment vertical="bottom"/>
    </xf>
    <xf numFmtId="49" fontId="57" fillId="4" borderId="20" applyNumberFormat="1" applyFont="1" applyFill="1" applyBorder="1" applyAlignment="1" applyProtection="0">
      <alignment horizontal="center" vertical="bottom"/>
    </xf>
    <xf numFmtId="0" fontId="57" fillId="4" borderId="20" applyNumberFormat="0" applyFont="1" applyFill="1" applyBorder="1" applyAlignment="1" applyProtection="0">
      <alignment horizontal="center" vertical="bottom"/>
    </xf>
    <xf numFmtId="49" fontId="0" fillId="4" borderId="20" applyNumberFormat="1" applyFont="1" applyFill="1" applyBorder="1" applyAlignment="1" applyProtection="0">
      <alignment horizontal="left" vertical="center" wrapText="1"/>
    </xf>
    <xf numFmtId="0" fontId="0" fillId="4" borderId="20" applyNumberFormat="1" applyFont="1" applyFill="1" applyBorder="1" applyAlignment="1" applyProtection="0">
      <alignment horizontal="center" vertical="center"/>
    </xf>
    <xf numFmtId="0" fontId="19" fillId="4" borderId="19" applyNumberFormat="0" applyFont="1" applyFill="1" applyBorder="1" applyAlignment="1" applyProtection="0">
      <alignment vertical="bottom"/>
    </xf>
    <xf numFmtId="49" fontId="22" fillId="4" borderId="26" applyNumberFormat="1" applyFont="1" applyFill="1" applyBorder="1" applyAlignment="1" applyProtection="0">
      <alignment vertical="bottom"/>
    </xf>
    <xf numFmtId="49" fontId="22" borderId="28" applyNumberFormat="1" applyFont="1" applyFill="0" applyBorder="1" applyAlignment="1" applyProtection="0">
      <alignment vertical="bottom"/>
    </xf>
    <xf numFmtId="49" fontId="22" borderId="29" applyNumberFormat="1" applyFont="1" applyFill="0" applyBorder="1" applyAlignment="1" applyProtection="0">
      <alignment vertical="bottom"/>
    </xf>
    <xf numFmtId="49" fontId="8" fillId="4" borderId="5" applyNumberFormat="1" applyFont="1" applyFill="1" applyBorder="1" applyAlignment="1" applyProtection="0">
      <alignment horizontal="left" vertical="bottom"/>
    </xf>
    <xf numFmtId="49" fontId="19" fillId="4" borderId="4" applyNumberFormat="1" applyFont="1" applyFill="1" applyBorder="1" applyAlignment="1" applyProtection="0">
      <alignment horizontal="center" vertical="bottom"/>
    </xf>
    <xf numFmtId="0" fontId="19" fillId="4" borderId="4" applyNumberFormat="0" applyFont="1" applyFill="1" applyBorder="1" applyAlignment="1" applyProtection="0">
      <alignment horizontal="center" vertical="bottom"/>
    </xf>
    <xf numFmtId="49" fontId="32" fillId="4" borderId="20" applyNumberFormat="1" applyFont="1" applyFill="1" applyBorder="1" applyAlignment="1" applyProtection="0">
      <alignment horizontal="left" vertical="center"/>
    </xf>
    <xf numFmtId="0" fontId="32" fillId="4" borderId="20" applyNumberFormat="0" applyFont="1" applyFill="1" applyBorder="1" applyAlignment="1" applyProtection="0">
      <alignment horizontal="left" vertical="center"/>
    </xf>
    <xf numFmtId="0" fontId="32" fillId="4" borderId="20" applyNumberFormat="0" applyFont="1" applyFill="1" applyBorder="1" applyAlignment="1" applyProtection="0">
      <alignment horizontal="center" vertical="center"/>
    </xf>
    <xf numFmtId="49" fontId="6" fillId="4" borderId="4" applyNumberFormat="1" applyFont="1" applyFill="1" applyBorder="1" applyAlignment="1" applyProtection="0">
      <alignment horizontal="center" vertical="bottom"/>
    </xf>
    <xf numFmtId="0" fontId="6" fillId="4" borderId="5" applyNumberFormat="0" applyFont="1" applyFill="1" applyBorder="1" applyAlignment="1" applyProtection="0">
      <alignment horizontal="center" vertical="bottom"/>
    </xf>
    <xf numFmtId="0" fontId="0" fillId="4" borderId="31" applyNumberFormat="0" applyFont="1" applyFill="1" applyBorder="1" applyAlignment="1" applyProtection="0">
      <alignment horizontal="left" vertical="bottom" wrapText="1"/>
    </xf>
    <xf numFmtId="0" fontId="0" fillId="4" borderId="38" applyNumberFormat="0" applyFont="1" applyFill="1" applyBorder="1" applyAlignment="1" applyProtection="0">
      <alignment horizontal="left" vertical="bottom" wrapText="1"/>
    </xf>
    <xf numFmtId="49" fontId="8" fillId="4" borderId="5" applyNumberFormat="1" applyFont="1" applyFill="1" applyBorder="1" applyAlignment="1" applyProtection="0">
      <alignment vertical="top"/>
    </xf>
    <xf numFmtId="0" fontId="8" fillId="4" borderId="5" applyNumberFormat="0" applyFont="1" applyFill="1" applyBorder="1" applyAlignment="1" applyProtection="0">
      <alignment vertical="top"/>
    </xf>
    <xf numFmtId="49" fontId="22" fillId="4" borderId="31" applyNumberFormat="1" applyFont="1" applyFill="1" applyBorder="1" applyAlignment="1" applyProtection="0">
      <alignment horizontal="center" vertical="center" wrapText="1"/>
    </xf>
    <xf numFmtId="0" fontId="22" fillId="4" borderId="7" applyNumberFormat="0" applyFont="1" applyFill="1" applyBorder="1" applyAlignment="1" applyProtection="0">
      <alignment horizontal="center" vertical="center" wrapText="1"/>
    </xf>
    <xf numFmtId="49" fontId="36" fillId="4" borderId="14" applyNumberFormat="1" applyFont="1" applyFill="1" applyBorder="1" applyAlignment="1" applyProtection="0">
      <alignment horizontal="center" vertical="center"/>
    </xf>
    <xf numFmtId="0" fontId="0" fillId="4" borderId="85" applyNumberFormat="0" applyFont="1" applyFill="1" applyBorder="1" applyAlignment="1" applyProtection="0">
      <alignment vertical="bottom"/>
    </xf>
    <xf numFmtId="0" fontId="0" fillId="4" borderId="86" applyNumberFormat="0" applyFont="1" applyFill="1" applyBorder="1" applyAlignment="1" applyProtection="0">
      <alignment vertical="bottom"/>
    </xf>
    <xf numFmtId="0" fontId="0" fillId="4" borderId="80" applyNumberFormat="0" applyFont="1" applyFill="1" applyBorder="1" applyAlignment="1" applyProtection="0">
      <alignment vertical="bottom"/>
    </xf>
    <xf numFmtId="0" fontId="0" fillId="4" borderId="87" applyNumberFormat="0" applyFont="1" applyFill="1" applyBorder="1" applyAlignment="1" applyProtection="0">
      <alignment vertical="bottom"/>
    </xf>
    <xf numFmtId="0" fontId="0" fillId="4" borderId="88" applyNumberFormat="0" applyFont="1" applyFill="1" applyBorder="1" applyAlignment="1" applyProtection="0">
      <alignment vertical="bottom"/>
    </xf>
    <xf numFmtId="0" fontId="0" fillId="4" borderId="89" applyNumberFormat="0" applyFont="1" applyFill="1" applyBorder="1" applyAlignment="1" applyProtection="0">
      <alignment vertical="bottom"/>
    </xf>
    <xf numFmtId="0" fontId="0" fillId="4" borderId="90" applyNumberFormat="0" applyFont="1" applyFill="1" applyBorder="1" applyAlignment="1" applyProtection="0">
      <alignment vertical="bottom"/>
    </xf>
    <xf numFmtId="0" fontId="22" fillId="4" borderId="1" applyNumberFormat="0" applyFont="1" applyFill="1" applyBorder="1" applyAlignment="1" applyProtection="0">
      <alignment horizontal="center" vertical="center" wrapText="1"/>
    </xf>
    <xf numFmtId="49" fontId="0" fillId="4" borderId="14" applyNumberFormat="1" applyFont="1" applyFill="1" applyBorder="1" applyAlignment="1" applyProtection="0">
      <alignment horizontal="left" vertical="center" wrapText="1"/>
    </xf>
    <xf numFmtId="0" fontId="0" fillId="4" borderId="91" applyNumberFormat="0" applyFont="1" applyFill="1" applyBorder="1" applyAlignment="1" applyProtection="0">
      <alignment vertical="bottom"/>
    </xf>
    <xf numFmtId="49" fontId="22" borderId="26" applyNumberFormat="1" applyFont="1" applyFill="0" applyBorder="1" applyAlignment="1" applyProtection="0">
      <alignment vertical="bottom"/>
    </xf>
    <xf numFmtId="49" fontId="22" fillId="4" borderId="27" applyNumberFormat="1" applyFont="1" applyFill="1" applyBorder="1" applyAlignment="1" applyProtection="0">
      <alignment vertical="bottom"/>
    </xf>
    <xf numFmtId="49" fontId="22" fillId="4" borderId="1" applyNumberFormat="1" applyFont="1" applyFill="1" applyBorder="1" applyAlignment="1" applyProtection="0">
      <alignment vertical="bottom"/>
    </xf>
    <xf numFmtId="0" fontId="32" fillId="4" borderId="20" applyNumberFormat="1" applyFont="1" applyFill="1" applyBorder="1" applyAlignment="1" applyProtection="0">
      <alignment horizontal="left" vertical="center"/>
    </xf>
    <xf numFmtId="0" fontId="41" fillId="4" borderId="26" applyNumberFormat="0" applyFont="1" applyFill="1" applyBorder="1" applyAlignment="1" applyProtection="0">
      <alignment vertical="top"/>
    </xf>
    <xf numFmtId="0" fontId="22" fillId="4" borderId="31" applyNumberFormat="0" applyFont="1" applyFill="1" applyBorder="1" applyAlignment="1" applyProtection="0">
      <alignment horizontal="center" vertical="center" wrapText="1"/>
    </xf>
    <xf numFmtId="0" fontId="22" fillId="4" borderId="26" applyNumberFormat="0" applyFont="1" applyFill="1" applyBorder="1" applyAlignment="1" applyProtection="0">
      <alignment vertical="bottom"/>
    </xf>
    <xf numFmtId="0" fontId="22" borderId="28" applyNumberFormat="0" applyFont="1" applyFill="0" applyBorder="1" applyAlignment="1" applyProtection="0">
      <alignment vertical="bottom"/>
    </xf>
    <xf numFmtId="0" fontId="22" borderId="26" applyNumberFormat="0" applyFont="1" applyFill="0" applyBorder="1" applyAlignment="1" applyProtection="0">
      <alignment vertical="bottom"/>
    </xf>
    <xf numFmtId="0" fontId="22" fillId="4" borderId="27" applyNumberFormat="0" applyFont="1" applyFill="1" applyBorder="1" applyAlignment="1" applyProtection="0">
      <alignment vertical="bottom"/>
    </xf>
    <xf numFmtId="0" fontId="22" fillId="4" borderId="1" applyNumberFormat="0" applyFont="1" applyFill="1" applyBorder="1" applyAlignment="1" applyProtection="0">
      <alignment vertical="bottom"/>
    </xf>
    <xf numFmtId="0" fontId="19" fillId="4" borderId="4" applyNumberFormat="0" applyFont="1" applyFill="1" applyBorder="1" applyAlignment="1" applyProtection="0">
      <alignment vertical="center"/>
    </xf>
    <xf numFmtId="0" fontId="22" borderId="29" applyNumberFormat="0" applyFont="1" applyFill="0" applyBorder="1" applyAlignment="1" applyProtection="0">
      <alignment vertical="bottom"/>
    </xf>
    <xf numFmtId="0" fontId="0" fillId="4" borderId="92" applyNumberFormat="0" applyFont="1" applyFill="1" applyBorder="1" applyAlignment="1" applyProtection="0">
      <alignment vertical="bottom"/>
    </xf>
    <xf numFmtId="0" fontId="0" fillId="4" borderId="93" applyNumberFormat="0" applyFont="1" applyFill="1" applyBorder="1" applyAlignment="1" applyProtection="0">
      <alignment vertical="bottom"/>
    </xf>
    <xf numFmtId="0" fontId="0" fillId="4" borderId="94" applyNumberFormat="0" applyFont="1" applyFill="1" applyBorder="1" applyAlignment="1" applyProtection="0">
      <alignment vertical="bottom"/>
    </xf>
    <xf numFmtId="49" fontId="32" fillId="4" borderId="14" applyNumberFormat="1" applyFont="1" applyFill="1" applyBorder="1" applyAlignment="1" applyProtection="0">
      <alignment horizontal="left" vertical="center"/>
    </xf>
    <xf numFmtId="0" fontId="0" fillId="4" borderId="4" applyNumberFormat="0" applyFont="1" applyFill="1" applyBorder="1" applyAlignment="1" applyProtection="0">
      <alignment horizontal="center" vertical="bottom"/>
    </xf>
    <xf numFmtId="49" fontId="0" fillId="4" borderId="5" applyNumberFormat="1" applyFont="1" applyFill="1" applyBorder="1" applyAlignment="1" applyProtection="0">
      <alignment horizontal="center" vertical="top" wrapText="1"/>
    </xf>
    <xf numFmtId="0" fontId="0" fillId="4" borderId="5" applyNumberFormat="0" applyFont="1" applyFill="1" applyBorder="1" applyAlignment="1" applyProtection="0">
      <alignment horizontal="center" vertical="top" wrapText="1"/>
    </xf>
    <xf numFmtId="49" fontId="8" fillId="4" borderId="4" applyNumberFormat="1" applyFont="1" applyFill="1" applyBorder="1" applyAlignment="1" applyProtection="0">
      <alignment horizontal="left" vertical="center"/>
    </xf>
    <xf numFmtId="0" fontId="0" fillId="4" borderId="26" applyNumberFormat="0" applyFont="1" applyFill="1" applyBorder="1" applyAlignment="1" applyProtection="0">
      <alignment vertical="top"/>
    </xf>
    <xf numFmtId="49" fontId="22" fillId="4" borderId="5" applyNumberFormat="1" applyFont="1" applyFill="1" applyBorder="1" applyAlignment="1" applyProtection="0">
      <alignment horizontal="left" vertical="bottom"/>
    </xf>
    <xf numFmtId="0" fontId="22" fillId="4" borderId="5" applyNumberFormat="0" applyFont="1" applyFill="1" applyBorder="1" applyAlignment="1" applyProtection="0">
      <alignment horizontal="left" vertical="bottom"/>
    </xf>
    <xf numFmtId="0" fontId="22" fillId="4" borderId="19" applyNumberFormat="0" applyFont="1" applyFill="1" applyBorder="1" applyAlignment="1" applyProtection="0">
      <alignment vertical="bottom"/>
    </xf>
    <xf numFmtId="0" fontId="0" fillId="4" borderId="3" applyNumberFormat="0" applyFont="1" applyFill="1" applyBorder="1" applyAlignment="1" applyProtection="0">
      <alignment vertical="top"/>
    </xf>
    <xf numFmtId="0" fontId="0" borderId="3" applyNumberFormat="0" applyFont="1" applyFill="0" applyBorder="1" applyAlignment="1" applyProtection="0">
      <alignment vertical="bottom"/>
    </xf>
    <xf numFmtId="0" fontId="41" fillId="4" borderId="4" applyNumberFormat="0" applyFont="1" applyFill="1" applyBorder="1" applyAlignment="1" applyProtection="0">
      <alignment horizontal="left" vertical="bottom"/>
    </xf>
    <xf numFmtId="49" fontId="32" fillId="4" borderId="21" applyNumberFormat="1" applyFont="1" applyFill="1" applyBorder="1" applyAlignment="1" applyProtection="0">
      <alignment horizontal="left" vertical="top"/>
    </xf>
    <xf numFmtId="0" fontId="32" fillId="4" borderId="19" applyNumberFormat="0" applyFont="1" applyFill="1" applyBorder="1" applyAlignment="1" applyProtection="0">
      <alignment horizontal="left" vertical="top"/>
    </xf>
    <xf numFmtId="0" fontId="0" fillId="4" borderId="19" applyNumberFormat="0" applyFont="1" applyFill="1" applyBorder="1" applyAlignment="1" applyProtection="0">
      <alignment horizontal="left" vertical="top"/>
    </xf>
    <xf numFmtId="0" fontId="0" fillId="4" borderId="22" applyNumberFormat="0" applyFont="1" applyFill="1" applyBorder="1" applyAlignment="1" applyProtection="0">
      <alignment horizontal="left" vertical="top"/>
    </xf>
    <xf numFmtId="0" fontId="32" fillId="4" borderId="22" applyNumberFormat="0" applyFont="1" applyFill="1" applyBorder="1" applyAlignment="1" applyProtection="0">
      <alignment horizontal="left" vertical="top"/>
    </xf>
    <xf numFmtId="0" fontId="0" fillId="17" borderId="15" applyNumberFormat="0" applyFont="1" applyFill="1" applyBorder="1" applyAlignment="1" applyProtection="0">
      <alignment horizontal="center" vertical="top"/>
    </xf>
    <xf numFmtId="0" fontId="0" fillId="17" borderId="5" applyNumberFormat="0" applyFont="1" applyFill="1" applyBorder="1" applyAlignment="1" applyProtection="0">
      <alignment horizontal="center" vertical="top"/>
    </xf>
    <xf numFmtId="0" fontId="0" fillId="17" borderId="11" applyNumberFormat="0" applyFont="1" applyFill="1" applyBorder="1" applyAlignment="1" applyProtection="0">
      <alignment horizontal="center" vertical="top"/>
    </xf>
    <xf numFmtId="0" fontId="0" fillId="17" borderId="15" applyNumberFormat="0" applyFont="1" applyFill="1" applyBorder="1" applyAlignment="1" applyProtection="0">
      <alignment horizontal="left" vertical="top"/>
    </xf>
    <xf numFmtId="0" fontId="0" fillId="17" borderId="5" applyNumberFormat="0" applyFont="1" applyFill="1" applyBorder="1" applyAlignment="1" applyProtection="0">
      <alignment horizontal="left" vertical="top"/>
    </xf>
    <xf numFmtId="0" fontId="0" fillId="17" borderId="11" applyNumberFormat="0" applyFont="1" applyFill="1" applyBorder="1" applyAlignment="1" applyProtection="0">
      <alignment horizontal="left" vertical="top"/>
    </xf>
    <xf numFmtId="0" fontId="0" fillId="17" borderId="23" applyNumberFormat="0" applyFont="1" applyFill="1" applyBorder="1" applyAlignment="1" applyProtection="0">
      <alignment horizontal="center" vertical="top"/>
    </xf>
    <xf numFmtId="0" fontId="0" fillId="17" borderId="10" applyNumberFormat="0" applyFont="1" applyFill="1" applyBorder="1" applyAlignment="1" applyProtection="0">
      <alignment horizontal="center" vertical="top"/>
    </xf>
    <xf numFmtId="0" fontId="0" fillId="17" borderId="24" applyNumberFormat="0" applyFont="1" applyFill="1" applyBorder="1" applyAlignment="1" applyProtection="0">
      <alignment horizontal="center" vertical="top"/>
    </xf>
    <xf numFmtId="0" fontId="0" fillId="17" borderId="23" applyNumberFormat="0" applyFont="1" applyFill="1" applyBorder="1" applyAlignment="1" applyProtection="0">
      <alignment horizontal="left" vertical="top"/>
    </xf>
    <xf numFmtId="0" fontId="0" fillId="17" borderId="10" applyNumberFormat="0" applyFont="1" applyFill="1" applyBorder="1" applyAlignment="1" applyProtection="0">
      <alignment horizontal="left" vertical="top"/>
    </xf>
    <xf numFmtId="0" fontId="0" fillId="17" borderId="24" applyNumberFormat="0" applyFont="1" applyFill="1" applyBorder="1" applyAlignment="1" applyProtection="0">
      <alignment horizontal="left" vertical="top"/>
    </xf>
    <xf numFmtId="49" fontId="0" fillId="4" borderId="21" applyNumberFormat="1" applyFont="1" applyFill="1" applyBorder="1" applyAlignment="1" applyProtection="0">
      <alignment horizontal="left" vertical="top"/>
    </xf>
    <xf numFmtId="0" fontId="0" fillId="17" borderId="15" applyNumberFormat="0" applyFont="1" applyFill="1" applyBorder="1" applyAlignment="1" applyProtection="0">
      <alignment vertical="bottom"/>
    </xf>
    <xf numFmtId="0" fontId="0" fillId="17" borderId="5" applyNumberFormat="0" applyFont="1" applyFill="1" applyBorder="1" applyAlignment="1" applyProtection="0">
      <alignment vertical="bottom"/>
    </xf>
    <xf numFmtId="0" fontId="0" fillId="17" borderId="11" applyNumberFormat="0" applyFont="1" applyFill="1" applyBorder="1" applyAlignment="1" applyProtection="0">
      <alignment vertical="bottom"/>
    </xf>
    <xf numFmtId="0" fontId="0" fillId="17" borderId="23" applyNumberFormat="0" applyFont="1" applyFill="1" applyBorder="1" applyAlignment="1" applyProtection="0">
      <alignment vertical="bottom"/>
    </xf>
    <xf numFmtId="0" fontId="0" fillId="17" borderId="10" applyNumberFormat="0" applyFont="1" applyFill="1" applyBorder="1" applyAlignment="1" applyProtection="0">
      <alignment vertical="bottom"/>
    </xf>
    <xf numFmtId="0" fontId="0" fillId="17" borderId="24" applyNumberFormat="0" applyFont="1" applyFill="1" applyBorder="1" applyAlignment="1" applyProtection="0">
      <alignment vertical="bottom"/>
    </xf>
    <xf numFmtId="0" fontId="0" fillId="4" borderId="30" applyNumberFormat="0" applyFont="1" applyFill="1" applyBorder="1" applyAlignment="1" applyProtection="0">
      <alignment vertical="bottom"/>
    </xf>
    <xf numFmtId="0" fontId="0" applyNumberFormat="1" applyFont="1" applyFill="0" applyBorder="0" applyAlignment="1" applyProtection="0">
      <alignment vertical="bottom"/>
    </xf>
    <xf numFmtId="0" fontId="59" fillId="4" borderId="26" applyNumberFormat="0" applyFont="1" applyFill="1" applyBorder="1" applyAlignment="1" applyProtection="0">
      <alignment vertical="bottom"/>
    </xf>
    <xf numFmtId="0" fontId="60" fillId="4" borderId="26" applyNumberFormat="0" applyFont="1" applyFill="1" applyBorder="1" applyAlignment="1" applyProtection="0">
      <alignment vertical="bottom"/>
    </xf>
    <xf numFmtId="49" fontId="61" fillId="4" borderId="26" applyNumberFormat="1" applyFont="1" applyFill="1" applyBorder="1" applyAlignment="1" applyProtection="0">
      <alignment horizontal="left" vertical="bottom"/>
    </xf>
    <xf numFmtId="1" fontId="61" fillId="4" borderId="26" applyNumberFormat="1" applyFont="1" applyFill="1" applyBorder="1" applyAlignment="1" applyProtection="0">
      <alignment horizontal="left" vertical="bottom"/>
    </xf>
    <xf numFmtId="0" fontId="62" fillId="4" borderId="26" applyNumberFormat="0" applyFont="1" applyFill="1" applyBorder="1" applyAlignment="1" applyProtection="0">
      <alignment vertical="bottom"/>
    </xf>
    <xf numFmtId="0" fontId="0" fillId="4" borderId="95" applyNumberFormat="0" applyFont="1" applyFill="1" applyBorder="1" applyAlignment="1" applyProtection="0">
      <alignment vertical="bottom"/>
    </xf>
    <xf numFmtId="49" fontId="0" fillId="4" borderId="95" applyNumberFormat="1" applyFont="1" applyFill="1" applyBorder="1" applyAlignment="1" applyProtection="0">
      <alignment vertical="bottom"/>
    </xf>
    <xf numFmtId="0" fontId="32" fillId="4" borderId="96" applyNumberFormat="0" applyFont="1" applyFill="1" applyBorder="1" applyAlignment="1" applyProtection="0">
      <alignment vertical="bottom"/>
    </xf>
    <xf numFmtId="49" fontId="34" fillId="4" borderId="97" applyNumberFormat="1" applyFont="1" applyFill="1" applyBorder="1" applyAlignment="1" applyProtection="0">
      <alignment horizontal="center" vertical="bottom"/>
    </xf>
    <xf numFmtId="0" fontId="63" fillId="4" borderId="98" applyNumberFormat="0" applyFont="1" applyFill="1" applyBorder="1" applyAlignment="1" applyProtection="0">
      <alignment horizontal="center" vertical="bottom"/>
    </xf>
    <xf numFmtId="0" fontId="63" fillId="4" borderId="99" applyNumberFormat="0" applyFont="1" applyFill="1" applyBorder="1" applyAlignment="1" applyProtection="0">
      <alignment horizontal="center" vertical="bottom"/>
    </xf>
    <xf numFmtId="0" fontId="0" fillId="4" borderId="100" applyNumberFormat="0" applyFont="1" applyFill="1" applyBorder="1" applyAlignment="1" applyProtection="0">
      <alignment vertical="bottom"/>
    </xf>
    <xf numFmtId="49" fontId="34" fillId="4" borderId="101" applyNumberFormat="1" applyFont="1" applyFill="1" applyBorder="1" applyAlignment="1" applyProtection="0">
      <alignment vertical="bottom"/>
    </xf>
    <xf numFmtId="0" fontId="34" fillId="4" borderId="101" applyNumberFormat="0" applyFont="1" applyFill="1" applyBorder="1" applyAlignment="1" applyProtection="0">
      <alignment vertical="bottom"/>
    </xf>
    <xf numFmtId="49" fontId="1" fillId="4" borderId="102" applyNumberFormat="1" applyFont="1" applyFill="1" applyBorder="1" applyAlignment="1" applyProtection="0">
      <alignment horizontal="right" vertical="bottom" wrapText="1"/>
    </xf>
    <xf numFmtId="49" fontId="1" fillId="4" borderId="103" applyNumberFormat="1" applyFont="1" applyFill="1" applyBorder="1" applyAlignment="1" applyProtection="0">
      <alignment horizontal="right" vertical="bottom" wrapText="1"/>
    </xf>
    <xf numFmtId="49" fontId="1" fillId="4" borderId="104" applyNumberFormat="1" applyFont="1" applyFill="1" applyBorder="1" applyAlignment="1" applyProtection="0">
      <alignment horizontal="right" vertical="bottom" wrapText="1"/>
    </xf>
    <xf numFmtId="49" fontId="1" fillId="4" borderId="102" applyNumberFormat="1" applyFont="1" applyFill="1" applyBorder="1" applyAlignment="1" applyProtection="0">
      <alignment horizontal="right" vertical="bottom"/>
    </xf>
    <xf numFmtId="49" fontId="0" fillId="4" borderId="101" applyNumberFormat="1" applyFont="1" applyFill="1" applyBorder="1" applyAlignment="1" applyProtection="0">
      <alignment vertical="bottom"/>
    </xf>
    <xf numFmtId="0" fontId="0" fillId="4" borderId="101" applyNumberFormat="0" applyFont="1" applyFill="1" applyBorder="1" applyAlignment="1" applyProtection="0">
      <alignment vertical="bottom"/>
    </xf>
    <xf numFmtId="49" fontId="0" fillId="4" borderId="97" applyNumberFormat="1" applyFont="1" applyFill="1" applyBorder="1" applyAlignment="1" applyProtection="0">
      <alignment horizontal="left" vertical="bottom"/>
    </xf>
    <xf numFmtId="0" fontId="0" fillId="4" borderId="98" applyNumberFormat="0" applyFont="1" applyFill="1" applyBorder="1" applyAlignment="1" applyProtection="0">
      <alignment horizontal="right" vertical="bottom"/>
    </xf>
    <xf numFmtId="0" fontId="0" fillId="4" borderId="99" applyNumberFormat="0" applyFont="1" applyFill="1" applyBorder="1" applyAlignment="1" applyProtection="0">
      <alignment horizontal="right" vertical="bottom"/>
    </xf>
    <xf numFmtId="0" fontId="32" fillId="4" borderId="105" applyNumberFormat="1" applyFont="1" applyFill="1" applyBorder="1" applyAlignment="1" applyProtection="0">
      <alignment vertical="bottom"/>
    </xf>
    <xf numFmtId="49" fontId="32" fillId="4" borderId="105" applyNumberFormat="1" applyFont="1" applyFill="1" applyBorder="1" applyAlignment="1" applyProtection="0">
      <alignment vertical="bottom"/>
    </xf>
    <xf numFmtId="49" fontId="32" fillId="4" borderId="59" applyNumberFormat="1" applyFont="1" applyFill="1" applyBorder="1" applyAlignment="1" applyProtection="0">
      <alignment vertical="bottom"/>
    </xf>
    <xf numFmtId="0" fontId="32" fillId="4" borderId="60" applyNumberFormat="1" applyFont="1" applyFill="1" applyBorder="1" applyAlignment="1" applyProtection="0">
      <alignment horizontal="right" vertical="bottom"/>
    </xf>
    <xf numFmtId="0" fontId="32" fillId="4" borderId="61" applyNumberFormat="1" applyFont="1" applyFill="1" applyBorder="1" applyAlignment="1" applyProtection="0">
      <alignment horizontal="right" vertical="bottom"/>
    </xf>
    <xf numFmtId="0" fontId="32" fillId="4" borderId="59" applyNumberFormat="1" applyFont="1" applyFill="1" applyBorder="1" applyAlignment="1" applyProtection="0">
      <alignment horizontal="right" vertical="bottom"/>
    </xf>
    <xf numFmtId="49" fontId="32" fillId="4" borderId="60" applyNumberFormat="1" applyFont="1" applyFill="1" applyBorder="1" applyAlignment="1" applyProtection="0">
      <alignment horizontal="right" vertical="bottom"/>
    </xf>
    <xf numFmtId="49" fontId="32" fillId="4" borderId="61" applyNumberFormat="1" applyFont="1" applyFill="1" applyBorder="1" applyAlignment="1" applyProtection="0">
      <alignment horizontal="right" vertical="bottom"/>
    </xf>
    <xf numFmtId="0" fontId="32" fillId="4" borderId="106" applyNumberFormat="1" applyFont="1" applyFill="1" applyBorder="1" applyAlignment="1" applyProtection="0">
      <alignment vertical="bottom"/>
    </xf>
    <xf numFmtId="49" fontId="32" fillId="4" borderId="106" applyNumberFormat="1" applyFont="1" applyFill="1" applyBorder="1" applyAlignment="1" applyProtection="0">
      <alignment vertical="bottom"/>
    </xf>
    <xf numFmtId="49" fontId="32" fillId="4" borderId="53" applyNumberFormat="1" applyFont="1" applyFill="1" applyBorder="1" applyAlignment="1" applyProtection="0">
      <alignment vertical="bottom"/>
    </xf>
    <xf numFmtId="0" fontId="32" fillId="4" borderId="20" applyNumberFormat="1" applyFont="1" applyFill="1" applyBorder="1" applyAlignment="1" applyProtection="0">
      <alignment horizontal="right" vertical="bottom"/>
    </xf>
    <xf numFmtId="0" fontId="32" fillId="4" borderId="62" applyNumberFormat="1" applyFont="1" applyFill="1" applyBorder="1" applyAlignment="1" applyProtection="0">
      <alignment horizontal="right" vertical="bottom"/>
    </xf>
    <xf numFmtId="0" fontId="32" fillId="4" borderId="53" applyNumberFormat="1" applyFont="1" applyFill="1" applyBorder="1" applyAlignment="1" applyProtection="0">
      <alignment horizontal="right" vertical="bottom"/>
    </xf>
    <xf numFmtId="49" fontId="32" fillId="4" borderId="20" applyNumberFormat="1" applyFont="1" applyFill="1" applyBorder="1" applyAlignment="1" applyProtection="0">
      <alignment horizontal="right" vertical="bottom"/>
    </xf>
    <xf numFmtId="49" fontId="32" fillId="4" borderId="62" applyNumberFormat="1" applyFont="1" applyFill="1" applyBorder="1" applyAlignment="1" applyProtection="0">
      <alignment horizontal="right" vertical="bottom"/>
    </xf>
    <xf numFmtId="0" fontId="32" fillId="4" borderId="53" applyNumberFormat="0" applyFont="1" applyFill="1" applyBorder="1" applyAlignment="1" applyProtection="0">
      <alignment horizontal="right" vertical="bottom"/>
    </xf>
    <xf numFmtId="0" fontId="32" fillId="4" borderId="20" applyNumberFormat="0" applyFont="1" applyFill="1" applyBorder="1" applyAlignment="1" applyProtection="0">
      <alignment horizontal="right" vertical="bottom"/>
    </xf>
    <xf numFmtId="0" fontId="32" fillId="4" borderId="106" applyNumberFormat="1" applyFont="1" applyFill="1" applyBorder="1" applyAlignment="1" applyProtection="0">
      <alignment horizontal="right" vertical="bottom"/>
    </xf>
    <xf numFmtId="0" fontId="32" fillId="4" borderId="106" applyNumberFormat="1" applyFont="1" applyFill="1" applyBorder="1" applyAlignment="1" applyProtection="0">
      <alignment horizontal="right" vertical="center"/>
    </xf>
    <xf numFmtId="49" fontId="32" fillId="4" borderId="53" applyNumberFormat="1" applyFont="1" applyFill="1" applyBorder="1" applyAlignment="1" applyProtection="0">
      <alignment vertical="center" wrapText="1"/>
    </xf>
    <xf numFmtId="49" fontId="32" fillId="4" borderId="107" applyNumberFormat="1" applyFont="1" applyFill="1" applyBorder="1" applyAlignment="1" applyProtection="0">
      <alignment vertical="bottom"/>
    </xf>
    <xf numFmtId="0" fontId="32" fillId="4" borderId="53" applyNumberFormat="1" applyFont="1" applyFill="1" applyBorder="1" applyAlignment="1" applyProtection="0">
      <alignment horizontal="right" vertical="bottom" wrapText="1"/>
    </xf>
    <xf numFmtId="49" fontId="32" fillId="4" borderId="20" applyNumberFormat="1" applyFont="1" applyFill="1" applyBorder="1" applyAlignment="1" applyProtection="0">
      <alignment horizontal="right" vertical="bottom" wrapText="1"/>
    </xf>
    <xf numFmtId="49" fontId="32" fillId="4" borderId="62" applyNumberFormat="1" applyFont="1" applyFill="1" applyBorder="1" applyAlignment="1" applyProtection="0">
      <alignment horizontal="right" vertical="bottom" wrapText="1"/>
    </xf>
    <xf numFmtId="0" fontId="65" fillId="4" borderId="106" applyNumberFormat="1" applyFont="1" applyFill="1" applyBorder="1" applyAlignment="1" applyProtection="0">
      <alignment horizontal="right" vertical="bottom"/>
    </xf>
    <xf numFmtId="49" fontId="65" fillId="4" borderId="106" applyNumberFormat="1" applyFont="1" applyFill="1" applyBorder="1" applyAlignment="1" applyProtection="0">
      <alignment horizontal="right" vertical="bottom"/>
    </xf>
    <xf numFmtId="49" fontId="65" fillId="4" borderId="106" applyNumberFormat="1" applyFont="1" applyFill="1" applyBorder="1" applyAlignment="1" applyProtection="0">
      <alignment vertical="bottom"/>
    </xf>
    <xf numFmtId="0" fontId="65" fillId="4" borderId="53" applyNumberFormat="1" applyFont="1" applyFill="1" applyBorder="1" applyAlignment="1" applyProtection="0">
      <alignment horizontal="right" vertical="bottom"/>
    </xf>
    <xf numFmtId="0" fontId="65" fillId="4" borderId="20" applyNumberFormat="1" applyFont="1" applyFill="1" applyBorder="1" applyAlignment="1" applyProtection="0">
      <alignment horizontal="right" vertical="bottom"/>
    </xf>
    <xf numFmtId="0" fontId="65" fillId="4" borderId="62" applyNumberFormat="1" applyFont="1" applyFill="1" applyBorder="1" applyAlignment="1" applyProtection="0">
      <alignment horizontal="right" vertical="bottom"/>
    </xf>
    <xf numFmtId="49" fontId="65" fillId="4" borderId="20" applyNumberFormat="1" applyFont="1" applyFill="1" applyBorder="1" applyAlignment="1" applyProtection="0">
      <alignment horizontal="right" vertical="bottom"/>
    </xf>
    <xf numFmtId="49" fontId="65" fillId="4" borderId="62" applyNumberFormat="1" applyFont="1" applyFill="1" applyBorder="1" applyAlignment="1" applyProtection="0">
      <alignment horizontal="right" vertical="bottom"/>
    </xf>
    <xf numFmtId="0" fontId="65" fillId="4" borderId="53" applyNumberFormat="0" applyFont="1" applyFill="1" applyBorder="1" applyAlignment="1" applyProtection="0">
      <alignment horizontal="right" vertical="bottom"/>
    </xf>
    <xf numFmtId="0" fontId="65" fillId="4" borderId="20" applyNumberFormat="0" applyFont="1" applyFill="1" applyBorder="1" applyAlignment="1" applyProtection="0">
      <alignment horizontal="right" vertical="bottom"/>
    </xf>
    <xf numFmtId="0" fontId="65" fillId="4" borderId="106" applyNumberFormat="1" applyFont="1" applyFill="1" applyBorder="1" applyAlignment="1" applyProtection="0">
      <alignment horizontal="right" vertical="top" wrapText="1"/>
    </xf>
    <xf numFmtId="0" fontId="65" fillId="4" borderId="107" applyNumberFormat="1" applyFont="1" applyFill="1" applyBorder="1" applyAlignment="1" applyProtection="0">
      <alignment horizontal="right" vertical="bottom"/>
    </xf>
    <xf numFmtId="49" fontId="65" fillId="4" borderId="107" applyNumberFormat="1" applyFont="1" applyFill="1" applyBorder="1" applyAlignment="1" applyProtection="0">
      <alignment horizontal="right" vertical="bottom"/>
    </xf>
    <xf numFmtId="49" fontId="65" fillId="4" borderId="107" applyNumberFormat="1" applyFont="1" applyFill="1" applyBorder="1" applyAlignment="1" applyProtection="0">
      <alignment vertical="bottom"/>
    </xf>
    <xf numFmtId="0" fontId="65" fillId="4" borderId="63" applyNumberFormat="1" applyFont="1" applyFill="1" applyBorder="1" applyAlignment="1" applyProtection="0">
      <alignment horizontal="right" vertical="bottom"/>
    </xf>
    <xf numFmtId="0" fontId="65" fillId="4" borderId="64" applyNumberFormat="1" applyFont="1" applyFill="1" applyBorder="1" applyAlignment="1" applyProtection="0">
      <alignment horizontal="right" vertical="bottom"/>
    </xf>
    <xf numFmtId="0" fontId="65" fillId="4" borderId="65" applyNumberFormat="1" applyFont="1" applyFill="1" applyBorder="1" applyAlignment="1" applyProtection="0">
      <alignment horizontal="right" vertical="bottom"/>
    </xf>
    <xf numFmtId="0" fontId="65" fillId="4" borderId="63" applyNumberFormat="0" applyFont="1" applyFill="1" applyBorder="1" applyAlignment="1" applyProtection="0">
      <alignment horizontal="right" vertical="bottom"/>
    </xf>
    <xf numFmtId="0" fontId="65" fillId="4" borderId="64" applyNumberFormat="0" applyFont="1" applyFill="1" applyBorder="1" applyAlignment="1" applyProtection="0">
      <alignment horizontal="right" vertical="bottom"/>
    </xf>
    <xf numFmtId="49" fontId="65" fillId="4" borderId="64" applyNumberFormat="1" applyFont="1" applyFill="1" applyBorder="1" applyAlignment="1" applyProtection="0">
      <alignment horizontal="right" vertical="bottom"/>
    </xf>
    <xf numFmtId="49" fontId="65" fillId="4" borderId="65" applyNumberFormat="1" applyFont="1" applyFill="1" applyBorder="1" applyAlignment="1" applyProtection="0">
      <alignment horizontal="right" vertical="bottom"/>
    </xf>
    <xf numFmtId="49" fontId="0" fillId="4" borderId="105" applyNumberFormat="1" applyFont="1" applyFill="1" applyBorder="1" applyAlignment="1" applyProtection="0">
      <alignment horizontal="left" vertical="bottom"/>
    </xf>
    <xf numFmtId="49" fontId="0" fillId="4" borderId="106" applyNumberFormat="1" applyFont="1" applyFill="1" applyBorder="1" applyAlignment="1" applyProtection="0">
      <alignment horizontal="left" vertical="bottom"/>
    </xf>
    <xf numFmtId="49" fontId="32" fillId="4" borderId="106" applyNumberFormat="1" applyFont="1" applyFill="1" applyBorder="1" applyAlignment="1" applyProtection="0">
      <alignment horizontal="left" vertical="bottom"/>
    </xf>
    <xf numFmtId="0" fontId="32" fillId="4" borderId="107" applyNumberFormat="1" applyFont="1" applyFill="1" applyBorder="1" applyAlignment="1" applyProtection="0">
      <alignment vertical="bottom"/>
    </xf>
    <xf numFmtId="49" fontId="32" fillId="4" borderId="107" applyNumberFormat="1" applyFont="1" applyFill="1" applyBorder="1" applyAlignment="1" applyProtection="0">
      <alignment horizontal="left" vertical="bottom"/>
    </xf>
    <xf numFmtId="0" fontId="32" fillId="4" borderId="63" applyNumberFormat="1" applyFont="1" applyFill="1" applyBorder="1" applyAlignment="1" applyProtection="0">
      <alignment horizontal="right" vertical="bottom"/>
    </xf>
    <xf numFmtId="0" fontId="32" fillId="4" borderId="64" applyNumberFormat="1" applyFont="1" applyFill="1" applyBorder="1" applyAlignment="1" applyProtection="0">
      <alignment horizontal="right" vertical="bottom"/>
    </xf>
    <xf numFmtId="0" fontId="32" fillId="4" borderId="65" applyNumberFormat="1" applyFont="1" applyFill="1" applyBorder="1" applyAlignment="1" applyProtection="0">
      <alignment horizontal="right" vertical="bottom"/>
    </xf>
    <xf numFmtId="0" fontId="32" fillId="4" borderId="63" applyNumberFormat="0" applyFont="1" applyFill="1" applyBorder="1" applyAlignment="1" applyProtection="0">
      <alignment horizontal="right" vertical="bottom"/>
    </xf>
    <xf numFmtId="0" fontId="32" fillId="4" borderId="64" applyNumberFormat="0" applyFont="1" applyFill="1" applyBorder="1" applyAlignment="1" applyProtection="0">
      <alignment horizontal="right" vertical="bottom"/>
    </xf>
    <xf numFmtId="49" fontId="32" fillId="4" borderId="64" applyNumberFormat="1" applyFont="1" applyFill="1" applyBorder="1" applyAlignment="1" applyProtection="0">
      <alignment horizontal="right" vertical="bottom"/>
    </xf>
    <xf numFmtId="49" fontId="32" fillId="4" borderId="65" applyNumberFormat="1" applyFont="1" applyFill="1" applyBorder="1" applyAlignment="1" applyProtection="0">
      <alignment horizontal="right" vertical="bottom"/>
    </xf>
    <xf numFmtId="49" fontId="0" fillId="4" borderId="106" applyNumberFormat="1" applyFont="1" applyFill="1" applyBorder="1" applyAlignment="1" applyProtection="0">
      <alignment vertical="bottom"/>
    </xf>
    <xf numFmtId="0" fontId="32" fillId="4" borderId="65" applyNumberFormat="0" applyFont="1" applyFill="1" applyBorder="1" applyAlignment="1" applyProtection="0">
      <alignment horizontal="right" vertical="bottom"/>
    </xf>
    <xf numFmtId="1" fontId="32" fillId="4" borderId="106" applyNumberFormat="1" applyFont="1" applyFill="1" applyBorder="1" applyAlignment="1" applyProtection="0">
      <alignment vertical="bottom"/>
    </xf>
    <xf numFmtId="59" fontId="32" fillId="4" borderId="62" applyNumberFormat="1" applyFont="1" applyFill="1" applyBorder="1" applyAlignment="1" applyProtection="0">
      <alignment horizontal="right" vertical="bottom"/>
    </xf>
    <xf numFmtId="66" fontId="32" fillId="4" borderId="62" applyNumberFormat="1" applyFont="1" applyFill="1" applyBorder="1" applyAlignment="1" applyProtection="0">
      <alignment horizontal="right" vertical="bottom"/>
    </xf>
    <xf numFmtId="1" fontId="32" fillId="4" borderId="53" applyNumberFormat="1" applyFont="1" applyFill="1" applyBorder="1" applyAlignment="1" applyProtection="0">
      <alignment horizontal="right" vertical="bottom"/>
    </xf>
    <xf numFmtId="2" fontId="32" fillId="4" borderId="62" applyNumberFormat="1" applyFont="1" applyFill="1" applyBorder="1" applyAlignment="1" applyProtection="0">
      <alignment horizontal="right" vertical="bottom"/>
    </xf>
    <xf numFmtId="49" fontId="32" fillId="4" borderId="106" applyNumberFormat="1" applyFont="1" applyFill="1" applyBorder="1" applyAlignment="1" applyProtection="0">
      <alignment vertical="top" wrapText="1"/>
    </xf>
    <xf numFmtId="0" fontId="32" fillId="4" borderId="106" applyNumberFormat="1" applyFont="1" applyFill="1" applyBorder="1" applyAlignment="1" applyProtection="0">
      <alignment horizontal="right" vertical="top"/>
    </xf>
    <xf numFmtId="0" fontId="63" fillId="4" borderId="100" applyNumberFormat="0" applyFont="1" applyFill="1" applyBorder="1" applyAlignment="1" applyProtection="0">
      <alignment horizontal="left" vertical="bottom"/>
    </xf>
    <xf numFmtId="0" fontId="63" fillId="4" borderId="26" applyNumberFormat="0" applyFont="1" applyFill="1" applyBorder="1" applyAlignment="1" applyProtection="0">
      <alignment horizontal="left" vertical="bottom"/>
    </xf>
    <xf numFmtId="49" fontId="65" fillId="4" borderId="65" applyNumberFormat="1" applyFont="1" applyFill="1" applyBorder="1" applyAlignment="1" applyProtection="0">
      <alignment horizontal="left" vertical="bottom"/>
    </xf>
    <xf numFmtId="0" fontId="67" fillId="4" borderId="63" applyNumberFormat="0" applyFont="1" applyFill="1" applyBorder="1" applyAlignment="1" applyProtection="0">
      <alignment horizontal="right" vertical="bottom"/>
    </xf>
    <xf numFmtId="0" fontId="67" fillId="4" borderId="64" applyNumberFormat="0" applyFont="1" applyFill="1" applyBorder="1" applyAlignment="1" applyProtection="0">
      <alignment horizontal="right" vertical="bottom"/>
    </xf>
    <xf numFmtId="0" fontId="0" fillId="4" borderId="108" applyNumberFormat="0" applyFont="1" applyFill="1" applyBorder="1" applyAlignment="1" applyProtection="0">
      <alignment vertical="bottom"/>
    </xf>
    <xf numFmtId="1" fontId="32" fillId="4" borderId="108" applyNumberFormat="1" applyFont="1" applyFill="1" applyBorder="1" applyAlignment="1" applyProtection="0">
      <alignment vertical="bottom"/>
    </xf>
    <xf numFmtId="1" fontId="32" fillId="4" borderId="26" applyNumberFormat="1" applyFont="1" applyFill="1" applyBorder="1" applyAlignment="1" applyProtection="0">
      <alignment vertical="bottom"/>
    </xf>
    <xf numFmtId="49" fontId="32" fillId="4" borderId="26" applyNumberFormat="1" applyFont="1" applyFill="1" applyBorder="1" applyAlignment="1" applyProtection="0">
      <alignment vertical="bottom"/>
    </xf>
    <xf numFmtId="0" fontId="32" fillId="4" borderId="26" applyNumberFormat="0" applyFont="1" applyFill="1" applyBorder="1" applyAlignment="1" applyProtection="0">
      <alignment vertical="bottom"/>
    </xf>
    <xf numFmtId="0" fontId="32" fillId="4" borderId="26" applyNumberFormat="0" applyFont="1" applyFill="1" applyBorder="1" applyAlignment="1" applyProtection="0">
      <alignment horizontal="right" vertical="bottom"/>
    </xf>
    <xf numFmtId="49" fontId="32" fillId="4" borderId="26" applyNumberFormat="1" applyFont="1" applyFill="1" applyBorder="1" applyAlignment="1" applyProtection="0">
      <alignment vertical="top"/>
    </xf>
    <xf numFmtId="1" fontId="36" fillId="4" borderId="26" applyNumberFormat="1" applyFont="1" applyFill="1" applyBorder="1" applyAlignment="1" applyProtection="0">
      <alignment vertical="bottom"/>
    </xf>
    <xf numFmtId="1" fontId="32" fillId="4" borderId="26" applyNumberFormat="1" applyFont="1" applyFill="1" applyBorder="1" applyAlignment="1" applyProtection="0">
      <alignment vertical="top"/>
    </xf>
    <xf numFmtId="49" fontId="34" fillId="4" borderId="26" applyNumberFormat="1" applyFont="1" applyFill="1" applyBorder="1" applyAlignment="1" applyProtection="0">
      <alignment vertical="bottom"/>
    </xf>
    <xf numFmtId="49" fontId="36" fillId="4" borderId="26" applyNumberFormat="1" applyFont="1" applyFill="1" applyBorder="1" applyAlignment="1" applyProtection="0">
      <alignment vertical="bottom"/>
    </xf>
    <xf numFmtId="49" fontId="63" fillId="4" borderId="26" applyNumberFormat="1" applyFont="1" applyFill="1" applyBorder="1" applyAlignment="1" applyProtection="0">
      <alignment horizontal="center" vertical="center"/>
    </xf>
    <xf numFmtId="49" fontId="0" fillId="4" borderId="26" applyNumberFormat="1" applyFont="1" applyFill="1" applyBorder="1" applyAlignment="1" applyProtection="0">
      <alignment horizontal="center" vertical="center"/>
    </xf>
    <xf numFmtId="0" fontId="0" fillId="4" borderId="26"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0" fillId="4" borderId="109" applyNumberFormat="0" applyFont="1" applyFill="1" applyBorder="1" applyAlignment="1" applyProtection="0">
      <alignment vertical="bottom"/>
    </xf>
    <xf numFmtId="0" fontId="0" fillId="4" borderId="110" applyNumberFormat="0" applyFont="1" applyFill="1" applyBorder="1" applyAlignment="1" applyProtection="0">
      <alignment vertical="bottom"/>
    </xf>
    <xf numFmtId="0" fontId="0" fillId="4" borderId="82" applyNumberFormat="0" applyFont="1" applyFill="1" applyBorder="1" applyAlignment="1" applyProtection="0">
      <alignment vertical="bottom"/>
    </xf>
    <xf numFmtId="49" fontId="8" fillId="8" borderId="20" applyNumberFormat="1" applyFont="1" applyFill="1" applyBorder="1" applyAlignment="1" applyProtection="0">
      <alignment vertical="bottom"/>
    </xf>
    <xf numFmtId="49" fontId="8" fillId="8" borderId="20" applyNumberFormat="1" applyFont="1" applyFill="1" applyBorder="1" applyAlignment="1" applyProtection="0">
      <alignment vertical="bottom" wrapText="1"/>
    </xf>
    <xf numFmtId="49" fontId="0" fillId="4" borderId="20" applyNumberFormat="1" applyFont="1" applyFill="1" applyBorder="1" applyAlignment="1" applyProtection="0">
      <alignment vertical="bottom" wrapText="1"/>
    </xf>
    <xf numFmtId="49" fontId="0" fillId="8" borderId="20" applyNumberFormat="1" applyFont="1" applyFill="1" applyBorder="1" applyAlignment="1" applyProtection="0">
      <alignment vertical="bottom" wrapText="1"/>
    </xf>
    <xf numFmtId="49" fontId="0" fillId="8" borderId="20" applyNumberFormat="1" applyFont="1" applyFill="1" applyBorder="1" applyAlignment="1" applyProtection="0">
      <alignment vertical="top" wrapText="1"/>
    </xf>
    <xf numFmtId="49" fontId="0" fillId="4" borderId="20" applyNumberFormat="1" applyFont="1" applyFill="1" applyBorder="1" applyAlignment="1" applyProtection="0">
      <alignment vertical="top" wrapText="1"/>
    </xf>
    <xf numFmtId="49" fontId="0" fillId="4" borderId="40" applyNumberFormat="1" applyFont="1" applyFill="1" applyBorder="1" applyAlignment="1" applyProtection="0">
      <alignment horizontal="left" vertical="top" wrapText="1"/>
    </xf>
    <xf numFmtId="49" fontId="0" fillId="4" borderId="20" applyNumberFormat="1" applyFont="1" applyFill="1" applyBorder="1" applyAlignment="1" applyProtection="0">
      <alignment horizontal="left" vertical="top" wrapText="1"/>
    </xf>
    <xf numFmtId="0" fontId="0" fillId="4" borderId="110" applyNumberFormat="0" applyFont="1" applyFill="1" applyBorder="1" applyAlignment="1" applyProtection="0">
      <alignment vertical="bottom" wrapText="1"/>
    </xf>
    <xf numFmtId="0" fontId="0" fillId="4" borderId="26" applyNumberFormat="0" applyFont="1" applyFill="1" applyBorder="1" applyAlignment="1" applyProtection="0">
      <alignment vertical="bottom" wrapText="1"/>
    </xf>
    <xf numFmtId="0" fontId="0" fillId="4" borderId="26" applyNumberFormat="0" applyFont="1" applyFill="1" applyBorder="1" applyAlignment="1" applyProtection="0">
      <alignment vertical="center"/>
    </xf>
    <xf numFmtId="0" fontId="0" fillId="4" borderId="111" applyNumberFormat="0" applyFont="1" applyFill="1" applyBorder="1" applyAlignment="1" applyProtection="0">
      <alignment vertical="bottom"/>
    </xf>
    <xf numFmtId="49" fontId="0" fillId="4" borderId="20" applyNumberFormat="1" applyFont="1" applyFill="1" applyBorder="1" applyAlignment="1" applyProtection="0">
      <alignment horizontal="left" vertical="bottom" wrapText="1"/>
    </xf>
    <xf numFmtId="49" fontId="0" fillId="4" borderId="109" applyNumberFormat="1" applyFont="1" applyFill="1" applyBorder="1" applyAlignment="1" applyProtection="0">
      <alignment vertical="bottom"/>
    </xf>
    <xf numFmtId="49" fontId="41" fillId="4" borderId="20" applyNumberFormat="1" applyFont="1" applyFill="1" applyBorder="1" applyAlignment="1" applyProtection="0">
      <alignment vertical="top" wrapText="1"/>
    </xf>
    <xf numFmtId="49" fontId="0" fillId="4" borderId="110" applyNumberFormat="1" applyFont="1" applyFill="1" applyBorder="1" applyAlignment="1" applyProtection="0">
      <alignment vertical="bottom"/>
    </xf>
    <xf numFmtId="49" fontId="0" fillId="4" borderId="110" applyNumberFormat="1" applyFont="1" applyFill="1" applyBorder="1" applyAlignment="1" applyProtection="0">
      <alignment vertical="center" wrapText="1"/>
    </xf>
    <xf numFmtId="49" fontId="0" fillId="4" borderId="40" applyNumberFormat="1" applyFont="1" applyFill="1" applyBorder="1" applyAlignment="1" applyProtection="0">
      <alignment vertical="bottom" wrapText="1"/>
    </xf>
    <xf numFmtId="0" fontId="0" fillId="4" borderId="112" applyNumberFormat="0" applyFont="1" applyFill="1" applyBorder="1" applyAlignment="1" applyProtection="0">
      <alignment vertical="bottom" wrapText="1"/>
    </xf>
    <xf numFmtId="0" fontId="0" fillId="4" borderId="1" applyNumberFormat="0" applyFont="1" applyFill="1" applyBorder="1" applyAlignment="1" applyProtection="0">
      <alignment vertical="bottom" wrapText="1"/>
    </xf>
    <xf numFmtId="49" fontId="0" fillId="4" borderId="8" applyNumberFormat="1" applyFont="1" applyFill="1" applyBorder="1" applyAlignment="1" applyProtection="0">
      <alignment vertical="bottom" wrapText="1"/>
    </xf>
    <xf numFmtId="0" fontId="0" applyNumberFormat="1" applyFont="1" applyFill="0" applyBorder="0" applyAlignment="1" applyProtection="0">
      <alignment vertical="bottom"/>
    </xf>
    <xf numFmtId="49" fontId="8" fillId="4" borderId="113" applyNumberFormat="1" applyFont="1" applyFill="1" applyBorder="1" applyAlignment="1" applyProtection="0">
      <alignment vertical="bottom"/>
    </xf>
    <xf numFmtId="49" fontId="0" fillId="4" borderId="51" applyNumberFormat="1" applyFont="1" applyFill="1" applyBorder="1" applyAlignment="1" applyProtection="0">
      <alignment vertical="bottom"/>
    </xf>
    <xf numFmtId="49" fontId="0" fillId="4" borderId="114" applyNumberFormat="1" applyFont="1" applyFill="1" applyBorder="1" applyAlignment="1" applyProtection="0">
      <alignment vertical="bottom"/>
    </xf>
    <xf numFmtId="0" fontId="0" fillId="4" borderId="72" applyNumberFormat="0" applyFont="1" applyFill="1" applyBorder="1" applyAlignment="1" applyProtection="0">
      <alignment vertical="bottom"/>
    </xf>
    <xf numFmtId="0" fontId="0" fillId="4" borderId="98" applyNumberFormat="0" applyFont="1" applyFill="1" applyBorder="1" applyAlignment="1" applyProtection="0">
      <alignment vertical="bottom"/>
    </xf>
    <xf numFmtId="49" fontId="8" fillId="4" borderId="115" applyNumberFormat="1" applyFont="1" applyFill="1" applyBorder="1" applyAlignment="1" applyProtection="0">
      <alignment vertical="bottom"/>
    </xf>
    <xf numFmtId="0" fontId="63" fillId="4" borderId="116" applyNumberFormat="1" applyFont="1" applyFill="1" applyBorder="1" applyAlignment="1" applyProtection="0">
      <alignment horizontal="left" vertical="bottom"/>
    </xf>
    <xf numFmtId="0" fontId="63" fillId="4" borderId="117" applyNumberFormat="1" applyFont="1" applyFill="1" applyBorder="1" applyAlignment="1" applyProtection="0">
      <alignment horizontal="left" vertical="bottom"/>
    </xf>
    <xf numFmtId="49" fontId="0" fillId="4" borderId="116" applyNumberFormat="1" applyFont="1" applyFill="1" applyBorder="1" applyAlignment="1" applyProtection="0">
      <alignment vertical="bottom"/>
    </xf>
    <xf numFmtId="49" fontId="0" fillId="4" borderId="118" applyNumberFormat="1" applyFont="1" applyFill="1" applyBorder="1" applyAlignment="1" applyProtection="0">
      <alignment vertical="bottom"/>
    </xf>
    <xf numFmtId="0" fontId="0" fillId="4" borderId="119" applyNumberFormat="0" applyFont="1" applyFill="1" applyBorder="1" applyAlignment="1" applyProtection="0">
      <alignment vertical="bottom"/>
    </xf>
    <xf numFmtId="0" fontId="0" fillId="4" borderId="120" applyNumberFormat="0" applyFont="1" applyFill="1" applyBorder="1" applyAlignment="1" applyProtection="0">
      <alignment vertical="bottom"/>
    </xf>
    <xf numFmtId="49" fontId="0" fillId="4" borderId="116" applyNumberFormat="1" applyFont="1" applyFill="1" applyBorder="1" applyAlignment="1" applyProtection="0">
      <alignment horizontal="left" vertical="bottom"/>
    </xf>
    <xf numFmtId="49" fontId="8" fillId="4" borderId="105" applyNumberFormat="1" applyFont="1" applyFill="1" applyBorder="1" applyAlignment="1" applyProtection="0">
      <alignment vertical="bottom"/>
    </xf>
    <xf numFmtId="49" fontId="0" fillId="4" borderId="107" applyNumberFormat="1" applyFont="1" applyFill="1" applyBorder="1" applyAlignment="1" applyProtection="0">
      <alignment vertical="bottom"/>
    </xf>
    <xf numFmtId="49" fontId="8" fillId="4" borderId="59" applyNumberFormat="1" applyFont="1" applyFill="1" applyBorder="1" applyAlignment="1" applyProtection="0">
      <alignment horizontal="center" vertical="bottom"/>
    </xf>
    <xf numFmtId="49" fontId="8" fillId="4" borderId="60" applyNumberFormat="1" applyFont="1" applyFill="1" applyBorder="1" applyAlignment="1" applyProtection="0">
      <alignment horizontal="center" vertical="bottom"/>
    </xf>
    <xf numFmtId="49" fontId="8" fillId="4" borderId="61" applyNumberFormat="1" applyFont="1" applyFill="1" applyBorder="1" applyAlignment="1" applyProtection="0">
      <alignment horizontal="center" vertical="bottom"/>
    </xf>
    <xf numFmtId="49" fontId="8" fillId="4" borderId="105" applyNumberFormat="1" applyFont="1" applyFill="1" applyBorder="1" applyAlignment="1" applyProtection="0">
      <alignment horizontal="center" vertical="bottom"/>
    </xf>
    <xf numFmtId="0" fontId="0" fillId="4" borderId="53" applyNumberFormat="1" applyFont="1" applyFill="1" applyBorder="1" applyAlignment="1" applyProtection="0">
      <alignment horizontal="center" vertical="bottom"/>
    </xf>
    <xf numFmtId="0" fontId="0" fillId="4" borderId="20" applyNumberFormat="1" applyFont="1" applyFill="1" applyBorder="1" applyAlignment="1" applyProtection="0">
      <alignment horizontal="center" vertical="bottom"/>
    </xf>
    <xf numFmtId="0" fontId="0" fillId="4" borderId="62" applyNumberFormat="1" applyFont="1" applyFill="1" applyBorder="1" applyAlignment="1" applyProtection="0">
      <alignment horizontal="center" vertical="bottom"/>
    </xf>
    <xf numFmtId="0" fontId="0" fillId="4" borderId="106" applyNumberFormat="1" applyFont="1" applyFill="1" applyBorder="1" applyAlignment="1" applyProtection="0">
      <alignment horizontal="center" vertical="bottom"/>
    </xf>
    <xf numFmtId="49" fontId="0" fillId="4" borderId="106" applyNumberFormat="1" applyFont="1" applyFill="1" applyBorder="1" applyAlignment="1" applyProtection="0">
      <alignment horizontal="center" vertical="bottom"/>
    </xf>
    <xf numFmtId="2" fontId="0" fillId="4" borderId="62" applyNumberFormat="1" applyFont="1" applyFill="1" applyBorder="1" applyAlignment="1" applyProtection="0">
      <alignment horizontal="center" vertical="bottom"/>
    </xf>
    <xf numFmtId="49" fontId="0" fillId="4" borderId="26" applyNumberFormat="1" applyFont="1" applyFill="1" applyBorder="1" applyAlignment="1" applyProtection="0">
      <alignment horizontal="right" vertical="bottom"/>
    </xf>
    <xf numFmtId="49" fontId="0" fillId="4" borderId="53" applyNumberFormat="1" applyFont="1" applyFill="1" applyBorder="1" applyAlignment="1" applyProtection="0">
      <alignment vertical="bottom"/>
    </xf>
    <xf numFmtId="0" fontId="0" fillId="4" borderId="106" applyNumberFormat="0" applyFont="1" applyFill="1" applyBorder="1" applyAlignment="1" applyProtection="0">
      <alignment horizontal="center" vertical="bottom"/>
    </xf>
    <xf numFmtId="49" fontId="0" fillId="4" borderId="63" applyNumberFormat="1" applyFont="1" applyFill="1" applyBorder="1" applyAlignment="1" applyProtection="0">
      <alignment vertical="bottom"/>
    </xf>
    <xf numFmtId="0" fontId="0" fillId="4" borderId="107" applyNumberFormat="0" applyFont="1" applyFill="1" applyBorder="1" applyAlignment="1" applyProtection="0">
      <alignment horizontal="center" vertical="bottom"/>
    </xf>
    <xf numFmtId="49" fontId="0" fillId="4" borderId="107" applyNumberFormat="1" applyFont="1" applyFill="1" applyBorder="1" applyAlignment="1" applyProtection="0">
      <alignment horizontal="center" vertical="bottom"/>
    </xf>
    <xf numFmtId="0" fontId="0" fillId="4" borderId="112" applyNumberFormat="0" applyFont="1" applyFill="1" applyBorder="1" applyAlignment="1" applyProtection="0">
      <alignment vertical="bottom"/>
    </xf>
    <xf numFmtId="49" fontId="0" fillId="4" borderId="106" applyNumberFormat="1" applyFont="1" applyFill="1" applyBorder="1" applyAlignment="1" applyProtection="0">
      <alignment vertical="bottom" wrapText="1"/>
    </xf>
    <xf numFmtId="49" fontId="0" fillId="4" borderId="107" applyNumberFormat="1" applyFont="1" applyFill="1" applyBorder="1" applyAlignment="1" applyProtection="0">
      <alignment vertical="bottom" wrapText="1"/>
    </xf>
    <xf numFmtId="0" fontId="0" applyNumberFormat="1" applyFont="1" applyFill="0" applyBorder="0" applyAlignment="1" applyProtection="0">
      <alignment vertical="bottom"/>
    </xf>
    <xf numFmtId="49" fontId="8" borderId="26" applyNumberFormat="1" applyFont="1" applyFill="0" applyBorder="1" applyAlignment="1" applyProtection="0">
      <alignment vertical="bottom"/>
    </xf>
    <xf numFmtId="17" fontId="0" borderId="26" applyNumberFormat="1" applyFont="1" applyFill="0" applyBorder="1" applyAlignment="1" applyProtection="0">
      <alignment vertical="bottom"/>
    </xf>
    <xf numFmtId="14" fontId="0" borderId="26" applyNumberFormat="1" applyFont="1" applyFill="0" applyBorder="1" applyAlignment="1" applyProtection="0">
      <alignment vertical="bottom"/>
    </xf>
    <xf numFmtId="0" fontId="0" applyNumberFormat="1" applyFont="1" applyFill="0" applyBorder="0" applyAlignment="1" applyProtection="0">
      <alignment vertical="bottom"/>
    </xf>
    <xf numFmtId="1" fontId="8" fillId="7" borderId="12" applyNumberFormat="1" applyFont="1" applyFill="1" applyBorder="1" applyAlignment="1" applyProtection="0">
      <alignment horizontal="center" vertical="center"/>
    </xf>
    <xf numFmtId="14" fontId="8" fillId="4" borderId="12" applyNumberFormat="1" applyFont="1" applyFill="1" applyBorder="1" applyAlignment="1" applyProtection="0">
      <alignment horizontal="center" vertical="center"/>
    </xf>
    <xf numFmtId="14" fontId="8" fillId="4" borderId="14" applyNumberFormat="1" applyFont="1" applyFill="1" applyBorder="1" applyAlignment="1" applyProtection="0">
      <alignment horizontal="center" vertical="center"/>
    </xf>
    <xf numFmtId="0" fontId="24" borderId="3" applyNumberFormat="0" applyFont="1" applyFill="0" applyBorder="1" applyAlignment="1" applyProtection="0">
      <alignment vertical="bottom"/>
    </xf>
    <xf numFmtId="0" fontId="22" borderId="13" applyNumberFormat="0" applyFont="1" applyFill="0" applyBorder="1" applyAlignment="1" applyProtection="0">
      <alignment vertical="bottom"/>
    </xf>
    <xf numFmtId="0" fontId="24" borderId="6" applyNumberFormat="0" applyFont="1" applyFill="0" applyBorder="1" applyAlignment="1" applyProtection="0">
      <alignment vertical="bottom"/>
    </xf>
    <xf numFmtId="0" fontId="8" fillId="7" borderId="20" applyNumberFormat="1" applyFont="1" applyFill="1" applyBorder="1" applyAlignment="1" applyProtection="0">
      <alignment horizontal="right" vertical="bottom"/>
    </xf>
    <xf numFmtId="14" fontId="1" borderId="20" applyNumberFormat="1" applyFont="1" applyFill="0" applyBorder="1" applyAlignment="1" applyProtection="0">
      <alignment vertical="bottom"/>
    </xf>
    <xf numFmtId="1" fontId="8" fillId="7" borderId="20" applyNumberFormat="1" applyFont="1" applyFill="1" applyBorder="1" applyAlignment="1" applyProtection="0">
      <alignment horizontal="right" vertical="bottom"/>
    </xf>
    <xf numFmtId="0" fontId="1" borderId="20" applyNumberFormat="1" applyFont="1" applyFill="0" applyBorder="1" applyAlignment="1" applyProtection="0">
      <alignment vertical="bottom"/>
    </xf>
    <xf numFmtId="0" fontId="0" borderId="112" applyNumberFormat="0" applyFont="1" applyFill="0" applyBorder="1" applyAlignment="1" applyProtection="0">
      <alignment vertical="bottom"/>
    </xf>
    <xf numFmtId="0" fontId="0" borderId="121" applyNumberFormat="0" applyFont="1" applyFill="0" applyBorder="1" applyAlignment="1" applyProtection="0">
      <alignment vertical="bottom"/>
    </xf>
    <xf numFmtId="49" fontId="0" fillId="4" borderId="109" applyNumberFormat="1" applyFont="1" applyFill="1" applyBorder="1" applyAlignment="1" applyProtection="0">
      <alignment vertical="center"/>
    </xf>
    <xf numFmtId="14" fontId="1" fillId="12" borderId="20" applyNumberFormat="1" applyFont="1" applyFill="1" applyBorder="1" applyAlignment="1" applyProtection="0">
      <alignment vertical="center"/>
    </xf>
    <xf numFmtId="49" fontId="0" fillId="4" borderId="90" applyNumberFormat="1" applyFont="1" applyFill="1" applyBorder="1" applyAlignment="1" applyProtection="0">
      <alignment vertical="center"/>
    </xf>
    <xf numFmtId="0" fontId="0" fillId="11" borderId="12" applyNumberFormat="0" applyFont="1" applyFill="1" applyBorder="1" applyAlignment="1" applyProtection="0">
      <alignment horizontal="center" vertical="top" wrapText="1"/>
    </xf>
    <xf numFmtId="0" fontId="0" fillId="11" borderId="13" applyNumberFormat="0" applyFont="1" applyFill="1" applyBorder="1" applyAlignment="1" applyProtection="0">
      <alignment horizontal="center" vertical="top" wrapText="1"/>
    </xf>
    <xf numFmtId="0" fontId="0" fillId="11" borderId="14" applyNumberFormat="0" applyFont="1" applyFill="1" applyBorder="1" applyAlignment="1" applyProtection="0">
      <alignment horizontal="center" vertical="top" wrapText="1"/>
    </xf>
    <xf numFmtId="0" fontId="0" borderId="110" applyNumberFormat="0" applyFont="1" applyFill="0" applyBorder="1" applyAlignment="1" applyProtection="0">
      <alignment vertical="bottom"/>
    </xf>
    <xf numFmtId="14" fontId="1" fillId="18" borderId="20" applyNumberFormat="1" applyFont="1" applyFill="1" applyBorder="1" applyAlignment="1" applyProtection="0">
      <alignment vertical="center"/>
    </xf>
  </cellXfs>
  <cellStyles count="1">
    <cellStyle name="Normal" xfId="0" builtinId="0"/>
  </cellStyles>
  <dxfs count="12">
    <dxf>
      <fill>
        <patternFill patternType="solid">
          <fgColor indexed="23"/>
          <bgColor indexed="24"/>
        </patternFill>
      </fill>
    </dxf>
    <dxf>
      <fill>
        <patternFill patternType="solid">
          <fgColor indexed="23"/>
          <bgColor indexed="25"/>
        </patternFill>
      </fill>
    </dxf>
    <dxf>
      <fill>
        <patternFill patternType="solid">
          <fgColor indexed="23"/>
          <bgColor indexed="24"/>
        </patternFill>
      </fill>
    </dxf>
    <dxf>
      <fill>
        <patternFill patternType="solid">
          <fgColor indexed="23"/>
          <bgColor indexed="25"/>
        </patternFill>
      </fill>
    </dxf>
    <dxf>
      <fill>
        <patternFill patternType="solid">
          <fgColor indexed="23"/>
          <bgColor indexed="22"/>
        </patternFill>
      </fill>
    </dxf>
    <dxf>
      <fill>
        <patternFill patternType="solid">
          <fgColor indexed="23"/>
          <bgColor indexed="24"/>
        </patternFill>
      </fill>
    </dxf>
    <dxf>
      <fill>
        <patternFill patternType="solid">
          <fgColor indexed="23"/>
          <bgColor indexed="25"/>
        </patternFill>
      </fill>
    </dxf>
    <dxf>
      <fill>
        <patternFill patternType="solid">
          <fgColor indexed="23"/>
          <bgColor indexed="24"/>
        </patternFill>
      </fill>
    </dxf>
    <dxf>
      <fill>
        <patternFill patternType="solid">
          <fgColor indexed="23"/>
          <bgColor indexed="25"/>
        </patternFill>
      </fill>
    </dxf>
    <dxf>
      <font>
        <color rgb="ffffffff"/>
      </font>
    </dxf>
    <dxf>
      <font>
        <color rgb="ffffffff"/>
      </font>
    </dxf>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7f7f7f"/>
      <rgbColor rgb="ffeaf1dd"/>
      <rgbColor rgb="ff0070c0"/>
      <rgbColor rgb="ff7891b0"/>
      <rgbColor rgb="ffccffcc"/>
      <rgbColor rgb="ffffff00"/>
      <rgbColor rgb="fffabf8f"/>
      <rgbColor rgb="ffff0000"/>
      <rgbColor rgb="ffffff99"/>
      <rgbColor rgb="00000000"/>
      <rgbColor rgb="ffffc000"/>
      <rgbColor rgb="ff92d050"/>
      <rgbColor rgb="ffccffff"/>
      <rgbColor rgb="ffffcc99"/>
      <rgbColor rgb="fffbd4b4"/>
      <rgbColor rgb="ffdbe5f1"/>
      <rgbColor rgb="fff79646"/>
      <rgbColor rgb="ffb97034"/>
      <rgbColor rgb="ffeeece1"/>
      <rgbColor rgb="ff00b050"/>
      <rgbColor rgb="fffde9d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1.png"/></Relationships>

</file>

<file path=xl/drawings/_rels/drawing5.xml.rels><?xml version="1.0" encoding="UTF-8"?>
<Relationships xmlns="http://schemas.openxmlformats.org/package/2006/relationships"><Relationship Id="rId1" Type="http://schemas.openxmlformats.org/officeDocument/2006/relationships/image" Target="../media/image1.png"/></Relationships>

</file>

<file path=xl/drawings/_rels/drawing6.xml.rels><?xml version="1.0" encoding="UTF-8"?>
<Relationships xmlns="http://schemas.openxmlformats.org/package/2006/relationships"><Relationship Id="rId1"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142875</xdr:colOff>
      <xdr:row>0</xdr:row>
      <xdr:rowOff>114300</xdr:rowOff>
    </xdr:from>
    <xdr:to>
      <xdr:col>0</xdr:col>
      <xdr:colOff>857250</xdr:colOff>
      <xdr:row>0</xdr:row>
      <xdr:rowOff>828675</xdr:rowOff>
    </xdr:to>
    <xdr:pic>
      <xdr:nvPicPr>
        <xdr:cNvPr id="2" name="Kép 1" descr="Kép 1"/>
        <xdr:cNvPicPr>
          <a:picLocks noChangeAspect="1"/>
        </xdr:cNvPicPr>
      </xdr:nvPicPr>
      <xdr:blipFill>
        <a:blip r:embed="rId1">
          <a:extLst/>
        </a:blip>
        <a:stretch>
          <a:fillRect/>
        </a:stretch>
      </xdr:blipFill>
      <xdr:spPr>
        <a:xfrm>
          <a:off x="142875" y="114300"/>
          <a:ext cx="714375" cy="714375"/>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161925</xdr:colOff>
      <xdr:row>0</xdr:row>
      <xdr:rowOff>133350</xdr:rowOff>
    </xdr:from>
    <xdr:to>
      <xdr:col>1</xdr:col>
      <xdr:colOff>161925</xdr:colOff>
      <xdr:row>0</xdr:row>
      <xdr:rowOff>857250</xdr:rowOff>
    </xdr:to>
    <xdr:sp>
      <xdr:nvSpPr>
        <xdr:cNvPr id="3" name="Egyenes összekötő 3"/>
        <xdr:cNvSpPr/>
      </xdr:nvSpPr>
      <xdr:spPr>
        <a:xfrm flipH="1">
          <a:off x="1368424" y="133350"/>
          <a:ext cx="1" cy="723901"/>
        </a:xfrm>
        <a:prstGeom prst="line">
          <a:avLst/>
        </a:prstGeom>
        <a:noFill/>
        <a:ln w="57150" cap="flat">
          <a:solidFill>
            <a:srgbClr val="A6A6A6"/>
          </a:solidFill>
          <a:prstDash val="solid"/>
          <a:round/>
        </a:ln>
        <a:effectLst/>
      </xdr:spPr>
      <xdr:txBody>
        <a:bodyPr/>
        <a:lstStyle/>
        <a:p>
          <a:pPr/>
        </a:p>
      </xdr:txBody>
    </xdr:sp>
    <xdr:clientData/>
  </xdr:twoCellAnchor>
  <xdr:twoCellAnchor>
    <xdr:from>
      <xdr:col>3</xdr:col>
      <xdr:colOff>581025</xdr:colOff>
      <xdr:row>78</xdr:row>
      <xdr:rowOff>142871</xdr:rowOff>
    </xdr:from>
    <xdr:to>
      <xdr:col>5</xdr:col>
      <xdr:colOff>95250</xdr:colOff>
      <xdr:row>81</xdr:row>
      <xdr:rowOff>314321</xdr:rowOff>
    </xdr:to>
    <xdr:sp>
      <xdr:nvSpPr>
        <xdr:cNvPr id="4" name="Téglalap 4"/>
        <xdr:cNvSpPr/>
      </xdr:nvSpPr>
      <xdr:spPr>
        <a:xfrm>
          <a:off x="4340225" y="17788886"/>
          <a:ext cx="2435225" cy="695326"/>
        </a:xfrm>
        <a:prstGeom prst="rect">
          <a:avLst/>
        </a:prstGeom>
        <a:solidFill>
          <a:srgbClr val="EBF1DE"/>
        </a:solidFill>
        <a:ln w="3175" cap="flat">
          <a:solidFill>
            <a:srgbClr val="A6A6A6"/>
          </a:solidFill>
          <a:prstDash val="solid"/>
          <a:round/>
        </a:ln>
        <a:effectLst/>
      </xdr:spPr>
      <xdr:txBody>
        <a:bodyPr/>
        <a:lstStyle/>
        <a:p>
          <a:pPr/>
        </a:p>
      </xdr:txBody>
    </xdr:sp>
    <xdr:clientData/>
  </xdr:twoCellAnchor>
  <xdr:twoCellAnchor>
    <xdr:from>
      <xdr:col>6</xdr:col>
      <xdr:colOff>581025</xdr:colOff>
      <xdr:row>0</xdr:row>
      <xdr:rowOff>541020</xdr:rowOff>
    </xdr:from>
    <xdr:to>
      <xdr:col>15</xdr:col>
      <xdr:colOff>19050</xdr:colOff>
      <xdr:row>2</xdr:row>
      <xdr:rowOff>40005</xdr:rowOff>
    </xdr:to>
    <xdr:sp>
      <xdr:nvSpPr>
        <xdr:cNvPr id="5" name="Szövegdoboz 2"/>
        <xdr:cNvSpPr txBox="1"/>
      </xdr:nvSpPr>
      <xdr:spPr>
        <a:xfrm>
          <a:off x="7959725" y="541020"/>
          <a:ext cx="5026025" cy="613410"/>
        </a:xfrm>
        <a:prstGeom prst="rect">
          <a:avLst/>
        </a:prstGeom>
        <a:solidFill>
          <a:schemeClr val="accent6"/>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Válasszon nyelvet! /</a:t>
          </a:r>
          <a:endParaRPr b="1" baseline="0" cap="none" i="0" spc="0" strike="noStrike" sz="11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Choose your language!</a:t>
          </a:r>
        </a:p>
      </xdr:txBody>
    </xdr:sp>
    <xdr:clientData/>
  </xdr:twoCellAnchor>
  <xdr:twoCellAnchor>
    <xdr:from>
      <xdr:col>6</xdr:col>
      <xdr:colOff>581025</xdr:colOff>
      <xdr:row>3</xdr:row>
      <xdr:rowOff>65484</xdr:rowOff>
    </xdr:from>
    <xdr:to>
      <xdr:col>15</xdr:col>
      <xdr:colOff>19050</xdr:colOff>
      <xdr:row>5</xdr:row>
      <xdr:rowOff>153590</xdr:rowOff>
    </xdr:to>
    <xdr:sp>
      <xdr:nvSpPr>
        <xdr:cNvPr id="6" name="Szövegdoboz 6"/>
        <xdr:cNvSpPr txBox="1"/>
      </xdr:nvSpPr>
      <xdr:spPr>
        <a:xfrm>
          <a:off x="7959725" y="1437084"/>
          <a:ext cx="5026025" cy="602457"/>
        </a:xfrm>
        <a:prstGeom prst="rect">
          <a:avLst/>
        </a:prstGeom>
        <a:solidFill>
          <a:schemeClr val="accent6"/>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Válassza ki a termékcsoportot!</a:t>
          </a:r>
          <a:endParaRPr b="1" baseline="0" cap="none" i="0" spc="0" strike="noStrike" sz="11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Choose your product group!</a:t>
          </a:r>
        </a:p>
      </xdr:txBody>
    </xdr:sp>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142875</xdr:colOff>
      <xdr:row>0</xdr:row>
      <xdr:rowOff>114301</xdr:rowOff>
    </xdr:from>
    <xdr:to>
      <xdr:col>1</xdr:col>
      <xdr:colOff>312750</xdr:colOff>
      <xdr:row>0</xdr:row>
      <xdr:rowOff>827100</xdr:rowOff>
    </xdr:to>
    <xdr:pic>
      <xdr:nvPicPr>
        <xdr:cNvPr id="8" name="Kép 1" descr="Kép 1"/>
        <xdr:cNvPicPr>
          <a:picLocks noChangeAspect="1"/>
        </xdr:cNvPicPr>
      </xdr:nvPicPr>
      <xdr:blipFill>
        <a:blip r:embed="rId1">
          <a:extLst/>
        </a:blip>
        <a:stretch>
          <a:fillRect/>
        </a:stretch>
      </xdr:blipFill>
      <xdr:spPr>
        <a:xfrm>
          <a:off x="142875" y="114301"/>
          <a:ext cx="792175" cy="712800"/>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485775</xdr:colOff>
      <xdr:row>0</xdr:row>
      <xdr:rowOff>152400</xdr:rowOff>
    </xdr:from>
    <xdr:to>
      <xdr:col>1</xdr:col>
      <xdr:colOff>485775</xdr:colOff>
      <xdr:row>0</xdr:row>
      <xdr:rowOff>876300</xdr:rowOff>
    </xdr:to>
    <xdr:sp>
      <xdr:nvSpPr>
        <xdr:cNvPr id="9" name="Egyenes összekötő 2"/>
        <xdr:cNvSpPr/>
      </xdr:nvSpPr>
      <xdr:spPr>
        <a:xfrm flipH="1">
          <a:off x="1108074" y="152400"/>
          <a:ext cx="1" cy="723901"/>
        </a:xfrm>
        <a:prstGeom prst="line">
          <a:avLst/>
        </a:prstGeom>
        <a:noFill/>
        <a:ln w="57150" cap="flat">
          <a:solidFill>
            <a:srgbClr val="A6A6A6"/>
          </a:solidFill>
          <a:prstDash val="solid"/>
          <a:round/>
        </a:ln>
        <a:effectLst/>
      </xdr:spPr>
      <xdr:txBody>
        <a:bodyPr/>
        <a:lstStyle/>
        <a:p>
          <a:pP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142875</xdr:colOff>
      <xdr:row>0</xdr:row>
      <xdr:rowOff>114300</xdr:rowOff>
    </xdr:from>
    <xdr:to>
      <xdr:col>0</xdr:col>
      <xdr:colOff>855675</xdr:colOff>
      <xdr:row>0</xdr:row>
      <xdr:rowOff>827100</xdr:rowOff>
    </xdr:to>
    <xdr:pic>
      <xdr:nvPicPr>
        <xdr:cNvPr id="11" name="Kép 1" descr="Kép 1"/>
        <xdr:cNvPicPr>
          <a:picLocks noChangeAspect="1"/>
        </xdr:cNvPicPr>
      </xdr:nvPicPr>
      <xdr:blipFill>
        <a:blip r:embed="rId1">
          <a:extLst/>
        </a:blip>
        <a:stretch>
          <a:fillRect/>
        </a:stretch>
      </xdr:blipFill>
      <xdr:spPr>
        <a:xfrm>
          <a:off x="142875" y="114300"/>
          <a:ext cx="712800" cy="712800"/>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238125</xdr:colOff>
      <xdr:row>0</xdr:row>
      <xdr:rowOff>152400</xdr:rowOff>
    </xdr:from>
    <xdr:to>
      <xdr:col>1</xdr:col>
      <xdr:colOff>238125</xdr:colOff>
      <xdr:row>0</xdr:row>
      <xdr:rowOff>876300</xdr:rowOff>
    </xdr:to>
    <xdr:sp>
      <xdr:nvSpPr>
        <xdr:cNvPr id="12" name="Egyenes összekötő 2"/>
        <xdr:cNvSpPr/>
      </xdr:nvSpPr>
      <xdr:spPr>
        <a:xfrm flipH="1">
          <a:off x="1228724" y="152400"/>
          <a:ext cx="1" cy="723901"/>
        </a:xfrm>
        <a:prstGeom prst="line">
          <a:avLst/>
        </a:prstGeom>
        <a:noFill/>
        <a:ln w="57150" cap="flat">
          <a:solidFill>
            <a:srgbClr val="A6A6A6"/>
          </a:solidFill>
          <a:prstDash val="solid"/>
          <a:round/>
        </a:ln>
        <a:effectLst/>
      </xdr:spPr>
      <xdr:txBody>
        <a:bodyPr/>
        <a:lstStyle/>
        <a:p>
          <a:pPr/>
        </a:p>
      </xdr:txBody>
    </xdr:sp>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114301</xdr:rowOff>
    </xdr:from>
    <xdr:to>
      <xdr:col>1</xdr:col>
      <xdr:colOff>103200</xdr:colOff>
      <xdr:row>0</xdr:row>
      <xdr:rowOff>827100</xdr:rowOff>
    </xdr:to>
    <xdr:pic>
      <xdr:nvPicPr>
        <xdr:cNvPr id="14" name="Kép 1" descr="Kép 1"/>
        <xdr:cNvPicPr>
          <a:picLocks noChangeAspect="1"/>
        </xdr:cNvPicPr>
      </xdr:nvPicPr>
      <xdr:blipFill>
        <a:blip r:embed="rId1">
          <a:extLst/>
        </a:blip>
        <a:stretch>
          <a:fillRect/>
        </a:stretch>
      </xdr:blipFill>
      <xdr:spPr>
        <a:xfrm>
          <a:off x="0" y="114301"/>
          <a:ext cx="801700" cy="712800"/>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361950</xdr:colOff>
      <xdr:row>0</xdr:row>
      <xdr:rowOff>114300</xdr:rowOff>
    </xdr:from>
    <xdr:to>
      <xdr:col>1</xdr:col>
      <xdr:colOff>361950</xdr:colOff>
      <xdr:row>0</xdr:row>
      <xdr:rowOff>838200</xdr:rowOff>
    </xdr:to>
    <xdr:sp>
      <xdr:nvSpPr>
        <xdr:cNvPr id="15" name="Egyenes összekötő 2"/>
        <xdr:cNvSpPr/>
      </xdr:nvSpPr>
      <xdr:spPr>
        <a:xfrm flipH="1">
          <a:off x="1060449" y="114300"/>
          <a:ext cx="1" cy="723901"/>
        </a:xfrm>
        <a:prstGeom prst="line">
          <a:avLst/>
        </a:prstGeom>
        <a:noFill/>
        <a:ln w="57150" cap="flat">
          <a:solidFill>
            <a:srgbClr val="A6A6A6"/>
          </a:solidFill>
          <a:prstDash val="solid"/>
          <a:round/>
        </a:ln>
        <a:effectLst/>
      </xdr:spPr>
      <xdr:txBody>
        <a:bodyPr/>
        <a:lstStyle/>
        <a:p>
          <a:pPr/>
        </a:p>
      </xdr:txBody>
    </xdr:sp>
    <xdr:clientData/>
  </xdr:twoCellAnchor>
  <xdr:twoCellAnchor>
    <xdr:from>
      <xdr:col>0</xdr:col>
      <xdr:colOff>0</xdr:colOff>
      <xdr:row>0</xdr:row>
      <xdr:rowOff>114301</xdr:rowOff>
    </xdr:from>
    <xdr:to>
      <xdr:col>1</xdr:col>
      <xdr:colOff>103200</xdr:colOff>
      <xdr:row>0</xdr:row>
      <xdr:rowOff>827100</xdr:rowOff>
    </xdr:to>
    <xdr:pic>
      <xdr:nvPicPr>
        <xdr:cNvPr id="16" name="Kép 94" descr="Kép 94"/>
        <xdr:cNvPicPr>
          <a:picLocks noChangeAspect="1"/>
        </xdr:cNvPicPr>
      </xdr:nvPicPr>
      <xdr:blipFill>
        <a:blip r:embed="rId1">
          <a:extLst/>
        </a:blip>
        <a:stretch>
          <a:fillRect/>
        </a:stretch>
      </xdr:blipFill>
      <xdr:spPr>
        <a:xfrm>
          <a:off x="0" y="114301"/>
          <a:ext cx="801700" cy="712800"/>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361950</xdr:colOff>
      <xdr:row>0</xdr:row>
      <xdr:rowOff>114300</xdr:rowOff>
    </xdr:from>
    <xdr:to>
      <xdr:col>1</xdr:col>
      <xdr:colOff>361950</xdr:colOff>
      <xdr:row>0</xdr:row>
      <xdr:rowOff>838200</xdr:rowOff>
    </xdr:to>
    <xdr:sp>
      <xdr:nvSpPr>
        <xdr:cNvPr id="17" name="Egyenes összekötő 95"/>
        <xdr:cNvSpPr/>
      </xdr:nvSpPr>
      <xdr:spPr>
        <a:xfrm flipH="1">
          <a:off x="1060449" y="114300"/>
          <a:ext cx="1" cy="723901"/>
        </a:xfrm>
        <a:prstGeom prst="line">
          <a:avLst/>
        </a:prstGeom>
        <a:noFill/>
        <a:ln w="57150" cap="flat">
          <a:solidFill>
            <a:srgbClr val="A6A6A6"/>
          </a:solidFill>
          <a:prstDash val="solid"/>
          <a:round/>
        </a:ln>
        <a:effectLst/>
      </xdr:spPr>
      <xdr:txBody>
        <a:bodyPr/>
        <a:lstStyle/>
        <a:p>
          <a:pPr/>
        </a:p>
      </xdr:txBody>
    </xdr:sp>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114301</xdr:rowOff>
    </xdr:from>
    <xdr:to>
      <xdr:col>1</xdr:col>
      <xdr:colOff>103200</xdr:colOff>
      <xdr:row>0</xdr:row>
      <xdr:rowOff>827100</xdr:rowOff>
    </xdr:to>
    <xdr:pic>
      <xdr:nvPicPr>
        <xdr:cNvPr id="19" name="Kép 1" descr="Kép 1"/>
        <xdr:cNvPicPr>
          <a:picLocks noChangeAspect="1"/>
        </xdr:cNvPicPr>
      </xdr:nvPicPr>
      <xdr:blipFill>
        <a:blip r:embed="rId1">
          <a:extLst/>
        </a:blip>
        <a:stretch>
          <a:fillRect/>
        </a:stretch>
      </xdr:blipFill>
      <xdr:spPr>
        <a:xfrm>
          <a:off x="0" y="114301"/>
          <a:ext cx="801700" cy="712800"/>
        </a:xfrm>
        <a:prstGeom prst="rect">
          <a:avLst/>
        </a:prstGeom>
        <a:ln w="12700" cap="flat">
          <a:noFill/>
          <a:miter lim="400000"/>
        </a:ln>
        <a:effectLst>
          <a:outerShdw sx="100000" sy="100000" kx="0" ky="0" algn="b" rotWithShape="0" blurRad="292100" dist="139700" dir="2700000">
            <a:srgbClr val="333333">
              <a:alpha val="64999"/>
            </a:srgbClr>
          </a:outerShdw>
        </a:effectLst>
      </xdr:spPr>
    </xdr:pic>
    <xdr:clientData/>
  </xdr:twoCellAnchor>
  <xdr:twoCellAnchor>
    <xdr:from>
      <xdr:col>1</xdr:col>
      <xdr:colOff>361950</xdr:colOff>
      <xdr:row>0</xdr:row>
      <xdr:rowOff>114300</xdr:rowOff>
    </xdr:from>
    <xdr:to>
      <xdr:col>1</xdr:col>
      <xdr:colOff>361950</xdr:colOff>
      <xdr:row>0</xdr:row>
      <xdr:rowOff>838200</xdr:rowOff>
    </xdr:to>
    <xdr:sp>
      <xdr:nvSpPr>
        <xdr:cNvPr id="20" name="Egyenes összekötő 2"/>
        <xdr:cNvSpPr/>
      </xdr:nvSpPr>
      <xdr:spPr>
        <a:xfrm flipH="1">
          <a:off x="1060449" y="114300"/>
          <a:ext cx="1" cy="723901"/>
        </a:xfrm>
        <a:prstGeom prst="line">
          <a:avLst/>
        </a:prstGeom>
        <a:noFill/>
        <a:ln w="57150" cap="flat">
          <a:solidFill>
            <a:srgbClr val="A6A6A6"/>
          </a:solidFill>
          <a:prstDash val="solid"/>
          <a:round/>
        </a:ln>
        <a:effectLst/>
      </xdr:spPr>
      <xdr:txBody>
        <a:bodyPr/>
        <a:lstStyle/>
        <a:p>
          <a:pPr/>
        </a:p>
      </xdr:txBody>
    </xdr:sp>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3</xdr:col>
      <xdr:colOff>0</xdr:colOff>
      <xdr:row>122</xdr:row>
      <xdr:rowOff>127635</xdr:rowOff>
    </xdr:from>
    <xdr:to>
      <xdr:col>3</xdr:col>
      <xdr:colOff>66675</xdr:colOff>
      <xdr:row>123</xdr:row>
      <xdr:rowOff>20955</xdr:rowOff>
    </xdr:to>
    <xdr:pic>
      <xdr:nvPicPr>
        <xdr:cNvPr id="22" name="Bilde 1" descr="Bilde 1"/>
        <xdr:cNvPicPr>
          <a:picLocks noChangeAspect="1"/>
        </xdr:cNvPicPr>
      </xdr:nvPicPr>
      <xdr:blipFill>
        <a:blip r:embed="rId1">
          <a:extLst/>
        </a:blip>
        <a:stretch>
          <a:fillRect/>
        </a:stretch>
      </xdr:blipFill>
      <xdr:spPr>
        <a:xfrm>
          <a:off x="8343900" y="21326475"/>
          <a:ext cx="66675" cy="66675"/>
        </a:xfrm>
        <a:prstGeom prst="rect">
          <a:avLst/>
        </a:prstGeom>
        <a:ln w="12700" cap="flat">
          <a:noFill/>
          <a:miter lim="400000"/>
        </a:ln>
        <a:effectLst/>
      </xdr:spPr>
    </xdr:pic>
    <xdr:clientData/>
  </xdr:twoCellAnchor>
  <xdr:twoCellAnchor>
    <xdr:from>
      <xdr:col>3</xdr:col>
      <xdr:colOff>0</xdr:colOff>
      <xdr:row>120</xdr:row>
      <xdr:rowOff>139065</xdr:rowOff>
    </xdr:from>
    <xdr:to>
      <xdr:col>3</xdr:col>
      <xdr:colOff>66675</xdr:colOff>
      <xdr:row>121</xdr:row>
      <xdr:rowOff>43815</xdr:rowOff>
    </xdr:to>
    <xdr:pic>
      <xdr:nvPicPr>
        <xdr:cNvPr id="23" name="Bilde 1" descr="Bilde 1"/>
        <xdr:cNvPicPr>
          <a:picLocks noChangeAspect="1"/>
        </xdr:cNvPicPr>
      </xdr:nvPicPr>
      <xdr:blipFill>
        <a:blip r:embed="rId1">
          <a:extLst/>
        </a:blip>
        <a:stretch>
          <a:fillRect/>
        </a:stretch>
      </xdr:blipFill>
      <xdr:spPr>
        <a:xfrm>
          <a:off x="8343900" y="21002625"/>
          <a:ext cx="66675" cy="66675"/>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téma">
  <a:themeElements>
    <a:clrScheme name="Office-té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éma">
      <a:majorFont>
        <a:latin typeface="Helvetica Neue"/>
        <a:ea typeface="Helvetica Neue"/>
        <a:cs typeface="Helvetica Neue"/>
      </a:majorFont>
      <a:minorFont>
        <a:latin typeface="Helvetica Neue"/>
        <a:ea typeface="Helvetica Neue"/>
        <a:cs typeface="Helvetica Neue"/>
      </a:minorFont>
    </a:fontScheme>
    <a:fmtScheme name="Office-té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2.xml.rels><?xml version="1.0" encoding="UTF-8"?>
<Relationships xmlns="http://schemas.openxmlformats.org/package/2006/relationships"><Relationship Id="rId1" Type="http://schemas.openxmlformats.org/officeDocument/2006/relationships/drawing" Target="../drawings/drawing2.xml"/></Relationships>

</file>

<file path=xl/worksheets/_rels/sheet13.xml.rels><?xml version="1.0" encoding="UTF-8"?>
<Relationships xmlns="http://schemas.openxmlformats.org/package/2006/relationships"><Relationship Id="rId1" Type="http://schemas.openxmlformats.org/officeDocument/2006/relationships/drawing" Target="../drawings/drawing3.xml"/></Relationships>

</file>

<file path=xl/worksheets/_rels/sheet15.xml.rels><?xml version="1.0" encoding="UTF-8"?>
<Relationships xmlns="http://schemas.openxmlformats.org/package/2006/relationships"><Relationship Id="rId1" Type="http://schemas.openxmlformats.org/officeDocument/2006/relationships/drawing" Target="../drawings/drawing4.xml"/></Relationships>

</file>

<file path=xl/worksheets/_rels/sheet16.xml.rels><?xml version="1.0" encoding="UTF-8"?>
<Relationships xmlns="http://schemas.openxmlformats.org/package/2006/relationships"><Relationship Id="rId1" Type="http://schemas.openxmlformats.org/officeDocument/2006/relationships/drawing" Target="../drawings/drawing5.xml"/></Relationships>

</file>

<file path=xl/worksheets/_rels/sheet17.xml.rels><?xml version="1.0" encoding="UTF-8"?>
<Relationships xmlns="http://schemas.openxmlformats.org/package/2006/relationships"><Relationship Id="rId1" Type="http://schemas.openxmlformats.org/officeDocument/2006/relationships/hyperlink" Target="http://www.heraproject.com/files/36-F-05-Shor_H2O2_version1.pdf" TargetMode="External"/><Relationship Id="rId2" Type="http://schemas.openxmlformats.org/officeDocument/2006/relationships/drawing" Target="../drawings/drawing6.xml"/></Relationships>

</file>

<file path=xl/worksheets/_rels/sheet3.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24</v>
      </c>
      <c r="C11" s="3"/>
      <c r="D11" s="3"/>
    </row>
    <row r="12">
      <c r="B12" s="4"/>
      <c r="C12" t="s" s="4">
        <v>5</v>
      </c>
      <c r="D12" t="s" s="5">
        <v>24</v>
      </c>
    </row>
    <row r="13">
      <c r="B13" t="s" s="3">
        <v>120</v>
      </c>
      <c r="C13" s="3"/>
      <c r="D13" s="3"/>
    </row>
    <row r="14">
      <c r="B14" s="4"/>
      <c r="C14" t="s" s="4">
        <v>5</v>
      </c>
      <c r="D14" t="s" s="5">
        <v>120</v>
      </c>
    </row>
    <row r="15">
      <c r="B15" t="s" s="3">
        <v>164</v>
      </c>
      <c r="C15" s="3"/>
      <c r="D15" s="3"/>
    </row>
    <row r="16">
      <c r="B16" s="4"/>
      <c r="C16" t="s" s="4">
        <v>5</v>
      </c>
      <c r="D16" t="s" s="5">
        <v>164</v>
      </c>
    </row>
    <row r="17">
      <c r="B17" t="s" s="3">
        <v>198</v>
      </c>
      <c r="C17" s="3"/>
      <c r="D17" s="3"/>
    </row>
    <row r="18">
      <c r="B18" s="4"/>
      <c r="C18" t="s" s="4">
        <v>5</v>
      </c>
      <c r="D18" t="s" s="5">
        <v>198</v>
      </c>
    </row>
    <row r="19">
      <c r="B19" t="s" s="3">
        <v>265</v>
      </c>
      <c r="C19" s="3"/>
      <c r="D19" s="3"/>
    </row>
    <row r="20">
      <c r="B20" s="4"/>
      <c r="C20" t="s" s="4">
        <v>5</v>
      </c>
      <c r="D20" t="s" s="5">
        <v>265</v>
      </c>
    </row>
    <row r="21">
      <c r="B21" t="s" s="3">
        <v>309</v>
      </c>
      <c r="C21" s="3"/>
      <c r="D21" s="3"/>
    </row>
    <row r="22">
      <c r="B22" s="4"/>
      <c r="C22" t="s" s="4">
        <v>5</v>
      </c>
      <c r="D22" t="s" s="5">
        <v>309</v>
      </c>
    </row>
    <row r="23">
      <c r="B23" t="s" s="3">
        <v>334</v>
      </c>
      <c r="C23" s="3"/>
      <c r="D23" s="3"/>
    </row>
    <row r="24">
      <c r="B24" s="4"/>
      <c r="C24" t="s" s="4">
        <v>5</v>
      </c>
      <c r="D24" t="s" s="5">
        <v>334</v>
      </c>
    </row>
    <row r="25">
      <c r="B25" t="s" s="3">
        <v>348</v>
      </c>
      <c r="C25" s="3"/>
      <c r="D25" s="3"/>
    </row>
    <row r="26">
      <c r="B26" s="4"/>
      <c r="C26" t="s" s="4">
        <v>5</v>
      </c>
      <c r="D26" t="s" s="5">
        <v>348</v>
      </c>
    </row>
    <row r="27">
      <c r="B27" t="s" s="3">
        <v>384</v>
      </c>
      <c r="C27" s="3"/>
      <c r="D27" s="3"/>
    </row>
    <row r="28">
      <c r="B28" s="4"/>
      <c r="C28" t="s" s="4">
        <v>5</v>
      </c>
      <c r="D28" t="s" s="5">
        <v>384</v>
      </c>
    </row>
    <row r="29">
      <c r="B29" t="s" s="3">
        <v>392</v>
      </c>
      <c r="C29" s="3"/>
      <c r="D29" s="3"/>
    </row>
    <row r="30">
      <c r="B30" s="4"/>
      <c r="C30" t="s" s="4">
        <v>5</v>
      </c>
      <c r="D30" t="s" s="5">
        <v>392</v>
      </c>
    </row>
    <row r="31">
      <c r="B31" t="s" s="3">
        <v>422</v>
      </c>
      <c r="C31" s="3"/>
      <c r="D31" s="3"/>
    </row>
    <row r="32">
      <c r="B32" s="4"/>
      <c r="C32" t="s" s="4">
        <v>5</v>
      </c>
      <c r="D32" t="s" s="5">
        <v>422</v>
      </c>
    </row>
    <row r="33">
      <c r="B33" t="s" s="3">
        <v>442</v>
      </c>
      <c r="C33" s="3"/>
      <c r="D33" s="3"/>
    </row>
    <row r="34">
      <c r="B34" s="4"/>
      <c r="C34" t="s" s="4">
        <v>5</v>
      </c>
      <c r="D34" t="s" s="5">
        <v>442</v>
      </c>
    </row>
    <row r="35">
      <c r="B35" t="s" s="3">
        <v>464</v>
      </c>
      <c r="C35" s="3"/>
      <c r="D35" s="3"/>
    </row>
    <row r="36">
      <c r="B36" s="4"/>
      <c r="C36" t="s" s="4">
        <v>5</v>
      </c>
      <c r="D36" t="s" s="5">
        <v>464</v>
      </c>
    </row>
    <row r="37">
      <c r="B37" t="s" s="3">
        <v>809</v>
      </c>
      <c r="C37" s="3"/>
      <c r="D37" s="3"/>
    </row>
    <row r="38">
      <c r="B38" s="4"/>
      <c r="C38" t="s" s="4">
        <v>5</v>
      </c>
      <c r="D38" t="s" s="5">
        <v>809</v>
      </c>
    </row>
    <row r="39">
      <c r="B39" t="s" s="3">
        <v>946</v>
      </c>
      <c r="C39" s="3"/>
      <c r="D39" s="3"/>
    </row>
    <row r="40">
      <c r="B40" s="4"/>
      <c r="C40" t="s" s="4">
        <v>5</v>
      </c>
      <c r="D40" t="s" s="5">
        <v>946</v>
      </c>
    </row>
    <row r="41">
      <c r="B41" t="s" s="3">
        <v>1256</v>
      </c>
      <c r="C41" s="3"/>
      <c r="D41" s="3"/>
    </row>
    <row r="42">
      <c r="B42" s="4"/>
      <c r="C42" t="s" s="4">
        <v>5</v>
      </c>
      <c r="D42" t="s" s="5">
        <v>1256</v>
      </c>
    </row>
    <row r="43">
      <c r="B43" t="s" s="3">
        <v>2414</v>
      </c>
      <c r="C43" s="3"/>
      <c r="D43" s="3"/>
    </row>
    <row r="44">
      <c r="B44" s="4"/>
      <c r="C44" t="s" s="4">
        <v>5</v>
      </c>
      <c r="D44" t="s" s="5">
        <v>2414</v>
      </c>
    </row>
    <row r="45">
      <c r="B45" t="s" s="3">
        <v>2442</v>
      </c>
      <c r="C45" s="3"/>
      <c r="D45" s="3"/>
    </row>
    <row r="46">
      <c r="B46" s="4"/>
      <c r="C46" t="s" s="4">
        <v>5</v>
      </c>
      <c r="D46" t="s" s="5">
        <v>2442</v>
      </c>
    </row>
    <row r="47">
      <c r="B47" t="s" s="3">
        <v>2488</v>
      </c>
      <c r="C47" s="3"/>
      <c r="D47" s="3"/>
    </row>
    <row r="48">
      <c r="B48" s="4"/>
      <c r="C48" t="s" s="4">
        <v>5</v>
      </c>
      <c r="D48" t="s" s="5">
        <v>2488</v>
      </c>
    </row>
  </sheetData>
  <mergeCells count="1">
    <mergeCell ref="B3:D3"/>
  </mergeCells>
  <hyperlinks>
    <hyperlink ref="D10" location="'Útmutató'!R1C1" tooltip="" display="Útmutató"/>
    <hyperlink ref="D12" location="'Adatlap'!R1C1" tooltip="" display="Adatlap"/>
    <hyperlink ref="D14" location="'Termék'!R1C1" tooltip="" display="Termék"/>
    <hyperlink ref="D16" location="'Összetétel'!R1C1" tooltip="" display="Összetétel"/>
    <hyperlink ref="D18" location="'Alapanyagok'!R1C1" tooltip="" display="Alapanyagok"/>
    <hyperlink ref="D20" location="'Alapanyagok_DID'!R1C1" tooltip="" display="Alapanyagok_DID"/>
    <hyperlink ref="D22" location="'Eredmények-1'!R1C1" tooltip="" display="Eredmények-1"/>
    <hyperlink ref="D24" location="'Eredmények-2'!R1C1" tooltip="" display="Eredmények-2"/>
    <hyperlink ref="D26" location="'Kiszerelés 1-4'!R1C1" tooltip="" display="Kiszerelés 1-4"/>
    <hyperlink ref="D28" location="'Kiszerelés 5-8'!R1C1" tooltip="" display="Kiszerelés 5-8"/>
    <hyperlink ref="D30" location="'Nyilatkozatok_1'!R1C1" tooltip="" display="Nyilatkozatok_1"/>
    <hyperlink ref="D32" location="'Nyilatkozatok_2'!R1C1" tooltip="" display="Nyilatkozatok_2"/>
    <hyperlink ref="D34" location="'Nyilatkozatok_LD'!R1C1" tooltip="" display="Nyilatkozatok_LD"/>
    <hyperlink ref="D36" location="'Nyilatkozatok_3'!R1C1" tooltip="" display="Nyilatkozatok_3"/>
    <hyperlink ref="D38" location="'Nyilatkozatok_4'!R1C1" tooltip="" display="Nyilatkozatok_4"/>
    <hyperlink ref="D40" location="'DID List'!R1C1" tooltip="" display="DID List"/>
    <hyperlink ref="D42" location="'Fordítások'!R1C1" tooltip="" display="Fordítások"/>
    <hyperlink ref="D44" location="'Auswahldaten'!R1C1" tooltip="" display="Auswahldaten"/>
    <hyperlink ref="D46" location="'Document'!R1C1" tooltip="" display="Document"/>
    <hyperlink ref="D48" location="'Historie'!R1C1" tooltip="" display="Historie"/>
  </hyperlinks>
</worksheet>
</file>

<file path=xl/worksheets/sheet10.xml><?xml version="1.0" encoding="utf-8"?>
<worksheet xmlns:r="http://schemas.openxmlformats.org/officeDocument/2006/relationships" xmlns="http://schemas.openxmlformats.org/spreadsheetml/2006/main">
  <sheetPr>
    <pageSetUpPr fitToPage="1"/>
  </sheetPr>
  <dimension ref="A1:AF156"/>
  <sheetViews>
    <sheetView workbookViewId="0" showGridLines="0" defaultGridColor="1"/>
  </sheetViews>
  <sheetFormatPr defaultColWidth="11.5" defaultRowHeight="12.75" customHeight="1" outlineLevelRow="0" outlineLevelCol="0"/>
  <cols>
    <col min="1" max="1" width="26.6719" style="592" customWidth="1"/>
    <col min="2" max="3" width="14.3516" style="592" customWidth="1"/>
    <col min="4" max="4" width="12.6719" style="592" customWidth="1"/>
    <col min="5" max="5" width="15.6719" style="592" customWidth="1"/>
    <col min="6" max="6" width="12.3516" style="592" customWidth="1"/>
    <col min="7" max="7" width="4.35156" style="592" customWidth="1"/>
    <col min="8" max="8" width="26.6719" style="592" customWidth="1"/>
    <col min="9" max="10" width="14.3516" style="592" customWidth="1"/>
    <col min="11" max="11" width="12.6719" style="592" customWidth="1"/>
    <col min="12" max="12" width="15.6719" style="592" customWidth="1"/>
    <col min="13" max="13" width="12.3516" style="592" customWidth="1"/>
    <col min="14" max="14" width="4" style="592" customWidth="1"/>
    <col min="15" max="32" width="11.5" style="592" customWidth="1"/>
    <col min="33" max="16384" width="11.5" style="592" customWidth="1"/>
  </cols>
  <sheetData>
    <row r="1" ht="17.25" customHeight="1">
      <c r="A1" s="321"/>
      <c r="B1" s="507"/>
      <c r="C1" s="225"/>
      <c r="D1" s="593"/>
      <c r="E1" s="9"/>
      <c r="F1" s="594"/>
      <c r="G1" s="595"/>
      <c r="H1" t="s" s="134">
        <f>'Termék'!A1</f>
        <v>165</v>
      </c>
      <c r="I1" s="135"/>
      <c r="J1" t="s" s="596">
        <f>'Termék'!C1</f>
        <v>166</v>
      </c>
      <c r="K1" s="597"/>
      <c r="L1" s="597"/>
      <c r="M1" s="598"/>
      <c r="N1" s="329"/>
      <c r="O1" s="323"/>
      <c r="P1" s="323"/>
      <c r="Q1" s="9"/>
      <c r="R1" s="9"/>
      <c r="S1" s="9"/>
      <c r="T1" s="9"/>
      <c r="U1" s="9"/>
      <c r="V1" s="9"/>
      <c r="W1" s="9"/>
      <c r="X1" s="9"/>
      <c r="Y1" s="9"/>
      <c r="Z1" s="9"/>
      <c r="AA1" s="9"/>
      <c r="AB1" s="9"/>
      <c r="AC1" s="9"/>
      <c r="AD1" s="9"/>
      <c r="AE1" s="9"/>
      <c r="AF1" s="10"/>
    </row>
    <row r="2" ht="15.75" customHeight="1">
      <c r="A2" s="515"/>
      <c r="B2" s="39"/>
      <c r="C2" s="39"/>
      <c r="D2" s="516"/>
      <c r="E2" s="39"/>
      <c r="F2" s="39"/>
      <c r="G2" s="39"/>
      <c r="H2" s="190"/>
      <c r="I2" s="190"/>
      <c r="J2" s="340"/>
      <c r="K2" s="246"/>
      <c r="L2" s="332"/>
      <c r="M2" s="340"/>
      <c r="N2" s="151"/>
      <c r="O2" s="151"/>
      <c r="P2" s="151"/>
      <c r="Q2" s="13"/>
      <c r="R2" s="13"/>
      <c r="S2" s="13"/>
      <c r="T2" s="13"/>
      <c r="U2" s="13"/>
      <c r="V2" s="13"/>
      <c r="W2" s="13"/>
      <c r="X2" s="13"/>
      <c r="Y2" s="13"/>
      <c r="Z2" s="13"/>
      <c r="AA2" s="13"/>
      <c r="AB2" s="13"/>
      <c r="AC2" s="13"/>
      <c r="AD2" s="13"/>
      <c r="AE2" s="13"/>
      <c r="AF2" s="14"/>
    </row>
    <row r="3" ht="15.75" customHeight="1">
      <c r="A3" t="s" s="161">
        <f>'Termék'!A6</f>
        <v>168</v>
      </c>
      <c r="B3" s="162"/>
      <c r="C3" s="253">
        <f>'Termék'!C6</f>
        <v>0</v>
      </c>
      <c r="D3" s="164"/>
      <c r="E3" s="164"/>
      <c r="F3" s="164"/>
      <c r="G3" s="165"/>
      <c r="H3" s="196"/>
      <c r="I3" s="197"/>
      <c r="J3" s="599"/>
      <c r="K3" t="s" s="147">
        <f>'Termék'!A3</f>
        <v>167</v>
      </c>
      <c r="L3" t="s" s="338">
        <f>IF('Termék'!B3="","",'Termék'!B3)</f>
      </c>
      <c r="M3" s="149"/>
      <c r="N3" s="151"/>
      <c r="O3" s="151"/>
      <c r="P3" s="151"/>
      <c r="Q3" s="13"/>
      <c r="R3" s="13"/>
      <c r="S3" s="13"/>
      <c r="T3" s="13"/>
      <c r="U3" s="13"/>
      <c r="V3" s="13"/>
      <c r="W3" s="13"/>
      <c r="X3" s="13"/>
      <c r="Y3" s="13"/>
      <c r="Z3" s="13"/>
      <c r="AA3" s="13"/>
      <c r="AB3" s="13"/>
      <c r="AC3" s="13"/>
      <c r="AD3" s="13"/>
      <c r="AE3" s="13"/>
      <c r="AF3" s="14"/>
    </row>
    <row r="4" ht="15.75" customHeight="1">
      <c r="A4" t="s" s="161">
        <f>'Termék'!A7</f>
        <v>170</v>
      </c>
      <c r="B4" s="162"/>
      <c r="C4" t="s" s="171">
        <f>'Termék'!C7</f>
      </c>
      <c r="D4" s="164"/>
      <c r="E4" s="164"/>
      <c r="F4" s="164"/>
      <c r="G4" s="165"/>
      <c r="H4" s="196"/>
      <c r="I4" s="197"/>
      <c r="J4" s="599"/>
      <c r="K4" t="s" s="147">
        <f>'Termék'!A4</f>
        <v>169</v>
      </c>
      <c r="L4" t="s" s="338">
        <f>IF('Termék'!B4="","",'Termék'!B4)</f>
      </c>
      <c r="M4" s="149"/>
      <c r="N4" s="151"/>
      <c r="O4" s="151"/>
      <c r="P4" s="151"/>
      <c r="Q4" s="13"/>
      <c r="R4" s="13"/>
      <c r="S4" s="13"/>
      <c r="T4" s="13"/>
      <c r="U4" s="13"/>
      <c r="V4" s="13"/>
      <c r="W4" s="13"/>
      <c r="X4" s="13"/>
      <c r="Y4" s="13"/>
      <c r="Z4" s="13"/>
      <c r="AA4" s="13"/>
      <c r="AB4" s="13"/>
      <c r="AC4" s="13"/>
      <c r="AD4" s="13"/>
      <c r="AE4" s="13"/>
      <c r="AF4" s="14"/>
    </row>
    <row r="5" ht="15.75" customHeight="1">
      <c r="A5" t="s" s="161">
        <f>'Termék'!A24</f>
        <v>171</v>
      </c>
      <c r="B5" s="162"/>
      <c r="C5" s="253">
        <f>'Termék'!C24</f>
        <v>0</v>
      </c>
      <c r="D5" s="164"/>
      <c r="E5" s="164"/>
      <c r="F5" s="164"/>
      <c r="G5" s="165"/>
      <c r="H5" s="196"/>
      <c r="I5" s="197"/>
      <c r="J5" s="151"/>
      <c r="K5" s="340"/>
      <c r="L5" s="340"/>
      <c r="M5" s="151"/>
      <c r="N5" s="151"/>
      <c r="O5" s="151"/>
      <c r="P5" s="151"/>
      <c r="Q5" s="13"/>
      <c r="R5" s="13"/>
      <c r="S5" s="13"/>
      <c r="T5" s="13"/>
      <c r="U5" s="13"/>
      <c r="V5" s="13"/>
      <c r="W5" s="13"/>
      <c r="X5" s="13"/>
      <c r="Y5" s="13"/>
      <c r="Z5" s="13"/>
      <c r="AA5" s="13"/>
      <c r="AB5" s="13"/>
      <c r="AC5" s="13"/>
      <c r="AD5" s="13"/>
      <c r="AE5" s="13"/>
      <c r="AF5" s="14"/>
    </row>
    <row r="6" ht="15.75" customHeight="1">
      <c r="A6" t="s" s="161">
        <f>'Termék'!A26</f>
        <v>172</v>
      </c>
      <c r="B6" s="162"/>
      <c r="C6" s="253">
        <f>'Termék'!C26</f>
        <v>0</v>
      </c>
      <c r="D6" s="164"/>
      <c r="E6" s="164"/>
      <c r="F6" s="164"/>
      <c r="G6" s="165"/>
      <c r="H6" s="600"/>
      <c r="I6" s="601"/>
      <c r="J6" s="151"/>
      <c r="K6" s="151"/>
      <c r="L6" s="151"/>
      <c r="M6" s="151"/>
      <c r="N6" s="151"/>
      <c r="O6" s="151"/>
      <c r="P6" s="151"/>
      <c r="Q6" s="13"/>
      <c r="R6" s="13"/>
      <c r="S6" s="13"/>
      <c r="T6" s="13"/>
      <c r="U6" s="13"/>
      <c r="V6" s="13"/>
      <c r="W6" s="13"/>
      <c r="X6" s="13"/>
      <c r="Y6" s="13"/>
      <c r="Z6" s="13"/>
      <c r="AA6" s="13"/>
      <c r="AB6" s="13"/>
      <c r="AC6" s="13"/>
      <c r="AD6" s="13"/>
      <c r="AE6" s="13"/>
      <c r="AF6" s="14"/>
    </row>
    <row r="7" ht="15.75" customHeight="1">
      <c r="A7" t="s" s="602">
        <f>IF('Adatlap'!$L$1='Fordítások'!C3,'Fordítások'!C299,'Fordítások'!B299)</f>
        <v>153</v>
      </c>
      <c r="B7" s="603"/>
      <c r="C7" t="s" s="171">
        <f>'Termék'!C38</f>
      </c>
      <c r="D7" s="164"/>
      <c r="E7" s="164"/>
      <c r="F7" s="164"/>
      <c r="G7" s="165"/>
      <c r="H7" s="604">
        <f>'Termék'!C39</f>
        <v>0</v>
      </c>
      <c r="I7" s="605"/>
      <c r="J7" s="149"/>
      <c r="K7" s="151"/>
      <c r="L7" s="151"/>
      <c r="M7" s="151"/>
      <c r="N7" s="151"/>
      <c r="O7" s="151"/>
      <c r="P7" s="151"/>
      <c r="Q7" s="13"/>
      <c r="R7" s="13"/>
      <c r="S7" s="13"/>
      <c r="T7" s="13"/>
      <c r="U7" s="13"/>
      <c r="V7" s="13"/>
      <c r="W7" s="13"/>
      <c r="X7" s="13"/>
      <c r="Y7" s="13"/>
      <c r="Z7" s="13"/>
      <c r="AA7" s="13"/>
      <c r="AB7" s="13"/>
      <c r="AC7" s="13"/>
      <c r="AD7" s="13"/>
      <c r="AE7" s="13"/>
      <c r="AF7" s="14"/>
    </row>
    <row r="8" ht="15.75" customHeight="1">
      <c r="A8" s="606"/>
      <c r="B8" s="512"/>
      <c r="C8" s="512"/>
      <c r="D8" s="512"/>
      <c r="E8" s="512"/>
      <c r="F8" s="512"/>
      <c r="G8" s="512"/>
      <c r="H8" s="340"/>
      <c r="I8" s="340"/>
      <c r="J8" s="13"/>
      <c r="K8" s="13"/>
      <c r="L8" s="13"/>
      <c r="M8" s="13"/>
      <c r="N8" s="13"/>
      <c r="O8" s="13"/>
      <c r="P8" s="13"/>
      <c r="Q8" s="13"/>
      <c r="R8" s="13"/>
      <c r="S8" s="13"/>
      <c r="T8" s="13"/>
      <c r="U8" s="13"/>
      <c r="V8" s="13"/>
      <c r="W8" s="13"/>
      <c r="X8" s="13"/>
      <c r="Y8" s="13"/>
      <c r="Z8" s="13"/>
      <c r="AA8" s="13"/>
      <c r="AB8" s="13"/>
      <c r="AC8" s="13"/>
      <c r="AD8" s="13"/>
      <c r="AE8" s="13"/>
      <c r="AF8" s="14"/>
    </row>
    <row r="9" ht="15.75" customHeight="1">
      <c r="A9" s="607"/>
      <c r="B9" s="608"/>
      <c r="C9" s="608"/>
      <c r="D9" s="608"/>
      <c r="E9" s="608"/>
      <c r="F9" s="608"/>
      <c r="G9" s="185"/>
      <c r="H9" s="609"/>
      <c r="I9" s="609"/>
      <c r="J9" s="610"/>
      <c r="K9" s="610"/>
      <c r="L9" s="610"/>
      <c r="M9" s="610"/>
      <c r="N9" s="13"/>
      <c r="O9" s="13"/>
      <c r="P9" s="13"/>
      <c r="Q9" s="13"/>
      <c r="R9" s="13"/>
      <c r="S9" s="13"/>
      <c r="T9" s="13"/>
      <c r="U9" s="13"/>
      <c r="V9" s="13"/>
      <c r="W9" s="13"/>
      <c r="X9" s="13"/>
      <c r="Y9" s="13"/>
      <c r="Z9" s="13"/>
      <c r="AA9" s="13"/>
      <c r="AB9" s="13"/>
      <c r="AC9" s="13"/>
      <c r="AD9" s="13"/>
      <c r="AE9" s="13"/>
      <c r="AF9" s="14"/>
    </row>
    <row r="10" ht="15.75" customHeight="1">
      <c r="A10" s="611"/>
      <c r="B10" s="612"/>
      <c r="C10" t="s" s="613">
        <f>IF('Adatlap'!$L$1='Fordítások'!C3,'Fordítások'!C196,'Fordítások'!B196)</f>
        <v>349</v>
      </c>
      <c r="D10" s="614"/>
      <c r="E10" s="615"/>
      <c r="F10" s="616"/>
      <c r="G10" s="617"/>
      <c r="H10" s="611"/>
      <c r="I10" s="612"/>
      <c r="J10" t="s" s="613">
        <f>IF('Adatlap'!$L$1='Fordítások'!C3,'Fordítások'!C198,'Fordítások'!B198)</f>
        <v>350</v>
      </c>
      <c r="K10" s="614"/>
      <c r="L10" s="615"/>
      <c r="M10" s="616"/>
      <c r="N10" s="618"/>
      <c r="O10" s="13"/>
      <c r="P10" s="13"/>
      <c r="Q10" s="13"/>
      <c r="R10" s="13"/>
      <c r="S10" s="13"/>
      <c r="T10" s="13"/>
      <c r="U10" s="13"/>
      <c r="V10" s="13"/>
      <c r="W10" s="13"/>
      <c r="X10" s="13"/>
      <c r="Y10" s="13"/>
      <c r="Z10" s="13"/>
      <c r="AA10" s="13"/>
      <c r="AB10" s="13"/>
      <c r="AC10" s="13"/>
      <c r="AD10" s="13"/>
      <c r="AE10" s="13"/>
      <c r="AF10" s="14"/>
    </row>
    <row r="11" ht="19.5" customHeight="1">
      <c r="A11" t="s" s="619">
        <f>IF('Adatlap'!$L$1='Fordítások'!C3,'Fordítások'!C184,'Fordítások'!B184)</f>
        <v>351</v>
      </c>
      <c r="B11" s="603"/>
      <c r="C11" s="620"/>
      <c r="D11" s="621"/>
      <c r="E11" s="621"/>
      <c r="F11" s="622"/>
      <c r="G11" s="617"/>
      <c r="H11" t="s" s="623">
        <f>A11</f>
        <v>352</v>
      </c>
      <c r="I11" s="170"/>
      <c r="J11" s="620"/>
      <c r="K11" s="621"/>
      <c r="L11" s="621"/>
      <c r="M11" s="622"/>
      <c r="N11" s="618"/>
      <c r="O11" s="13"/>
      <c r="P11" s="13"/>
      <c r="Q11" s="13"/>
      <c r="R11" s="13"/>
      <c r="S11" s="13"/>
      <c r="T11" s="13"/>
      <c r="U11" s="13"/>
      <c r="V11" s="13"/>
      <c r="W11" s="13"/>
      <c r="X11" s="13"/>
      <c r="Y11" s="13"/>
      <c r="Z11" s="13"/>
      <c r="AA11" s="13"/>
      <c r="AB11" s="13"/>
      <c r="AC11" s="13"/>
      <c r="AD11" s="13"/>
      <c r="AE11" s="13"/>
      <c r="AF11" s="14"/>
    </row>
    <row r="12" ht="30.75" customHeight="1">
      <c r="A12" t="s" s="624">
        <f>IF('Adatlap'!$L$1='Fordítások'!C3,'Fordítások'!C300,'Fordítások'!B300)</f>
        <v>353</v>
      </c>
      <c r="B12" s="625"/>
      <c r="C12" s="626"/>
      <c r="D12" s="627"/>
      <c r="E12" s="627"/>
      <c r="F12" s="628"/>
      <c r="G12" s="617"/>
      <c r="H12" t="s" s="624">
        <f>A12</f>
        <v>354</v>
      </c>
      <c r="I12" s="625"/>
      <c r="J12" s="626"/>
      <c r="K12" s="627"/>
      <c r="L12" s="627"/>
      <c r="M12" s="628"/>
      <c r="N12" s="618"/>
      <c r="O12" s="13"/>
      <c r="P12" s="13"/>
      <c r="Q12" s="13"/>
      <c r="R12" s="13"/>
      <c r="S12" s="13"/>
      <c r="T12" s="13"/>
      <c r="U12" s="13"/>
      <c r="V12" s="13"/>
      <c r="W12" s="13"/>
      <c r="X12" s="13"/>
      <c r="Y12" s="13"/>
      <c r="Z12" s="13"/>
      <c r="AA12" s="13"/>
      <c r="AB12" s="13"/>
      <c r="AC12" s="13"/>
      <c r="AD12" s="13"/>
      <c r="AE12" s="13"/>
      <c r="AF12" s="14"/>
    </row>
    <row r="13" ht="72.75" customHeight="1">
      <c r="A13" t="s" s="624">
        <f>IF('Adatlap'!$L$1='Fordítások'!C3,'Fordítások'!C186,'Fordítások'!B186)</f>
        <v>355</v>
      </c>
      <c r="B13" s="625"/>
      <c r="C13" s="620"/>
      <c r="D13" s="621"/>
      <c r="E13" s="621"/>
      <c r="F13" s="622"/>
      <c r="G13" s="617"/>
      <c r="H13" t="s" s="629">
        <f>A13</f>
        <v>356</v>
      </c>
      <c r="I13" s="192"/>
      <c r="J13" s="620"/>
      <c r="K13" s="621"/>
      <c r="L13" s="621"/>
      <c r="M13" s="622"/>
      <c r="N13" s="618"/>
      <c r="O13" s="13"/>
      <c r="P13" s="13"/>
      <c r="Q13" s="13"/>
      <c r="R13" s="13"/>
      <c r="S13" s="13"/>
      <c r="T13" s="13"/>
      <c r="U13" s="13"/>
      <c r="V13" s="13"/>
      <c r="W13" s="13"/>
      <c r="X13" s="13"/>
      <c r="Y13" s="13"/>
      <c r="Z13" s="13"/>
      <c r="AA13" s="13"/>
      <c r="AB13" s="13"/>
      <c r="AC13" s="13"/>
      <c r="AD13" s="13"/>
      <c r="AE13" s="13"/>
      <c r="AF13" s="14"/>
    </row>
    <row r="14" ht="13.5" customHeight="1">
      <c r="A14" s="630"/>
      <c r="B14" s="631"/>
      <c r="C14" s="631"/>
      <c r="D14" s="631"/>
      <c r="E14" s="631"/>
      <c r="F14" s="632"/>
      <c r="G14" s="633"/>
      <c r="H14" s="630"/>
      <c r="I14" s="631"/>
      <c r="J14" s="631"/>
      <c r="K14" s="631"/>
      <c r="L14" s="631"/>
      <c r="M14" s="632"/>
      <c r="N14" s="618"/>
      <c r="O14" s="13"/>
      <c r="P14" s="13"/>
      <c r="Q14" s="13"/>
      <c r="R14" s="13"/>
      <c r="S14" s="13"/>
      <c r="T14" s="13"/>
      <c r="U14" s="13"/>
      <c r="V14" s="13"/>
      <c r="W14" s="13"/>
      <c r="X14" s="13"/>
      <c r="Y14" s="13"/>
      <c r="Z14" s="13"/>
      <c r="AA14" s="13"/>
      <c r="AB14" s="13"/>
      <c r="AC14" s="13"/>
      <c r="AD14" s="13"/>
      <c r="AE14" s="13"/>
      <c r="AF14" s="14"/>
    </row>
    <row r="15" ht="171.75" customHeight="1">
      <c r="A15" t="s" s="634">
        <f>IF('Adatlap'!$L$1='Fordítások'!C3,'Fordítások'!C188,'Fordítások'!B188)</f>
        <v>357</v>
      </c>
      <c r="B15" t="s" s="635">
        <f>IF('Adatlap'!$L$1='Fordítások'!C3,'Fordítások'!C189,'Fordítások'!B189)</f>
        <v>358</v>
      </c>
      <c r="C15" t="s" s="635">
        <f>IF('Adatlap'!$L$1='Fordítások'!C3,'Fordítások'!C190,'Fordítások'!B190)</f>
        <v>359</v>
      </c>
      <c r="D15" t="s" s="635">
        <f>IF('Adatlap'!$L$1='Fordítások'!C3,'Fordítások'!C191,'Fordítások'!B191)</f>
        <v>360</v>
      </c>
      <c r="E15" t="s" s="635">
        <v>361</v>
      </c>
      <c r="F15" t="s" s="636">
        <f>IF('Adatlap'!L1='Fordítások'!C3,'Fordítások'!C308,'Fordítások'!B308)</f>
        <v>362</v>
      </c>
      <c r="G15" s="633"/>
      <c r="H15" t="s" s="634">
        <f>A15</f>
        <v>363</v>
      </c>
      <c r="I15" t="s" s="635">
        <f>B15</f>
        <v>358</v>
      </c>
      <c r="J15" t="s" s="635">
        <f>C15</f>
        <v>359</v>
      </c>
      <c r="K15" t="s" s="635">
        <f>D15</f>
        <v>360</v>
      </c>
      <c r="L15" t="s" s="635">
        <f>E15</f>
        <v>364</v>
      </c>
      <c r="M15" t="s" s="636">
        <f>F15</f>
        <v>365</v>
      </c>
      <c r="N15" s="618"/>
      <c r="O15" s="13"/>
      <c r="P15" s="13"/>
      <c r="Q15" s="13"/>
      <c r="R15" s="13"/>
      <c r="S15" s="13"/>
      <c r="T15" s="13"/>
      <c r="U15" s="13"/>
      <c r="V15" s="13"/>
      <c r="W15" s="13"/>
      <c r="X15" s="13"/>
      <c r="Y15" s="13"/>
      <c r="Z15" s="13"/>
      <c r="AA15" s="13"/>
      <c r="AB15" s="13"/>
      <c r="AC15" s="13"/>
      <c r="AD15" s="13"/>
      <c r="AE15" s="13"/>
      <c r="AF15" s="14"/>
    </row>
    <row r="16" ht="15" customHeight="1">
      <c r="A16" s="637"/>
      <c r="B16" s="638"/>
      <c r="C16" s="638"/>
      <c r="D16" s="639"/>
      <c r="E16" t="s" s="381">
        <f>IF(A16="","",$C$13*1000/'Termék'!$C$38)</f>
      </c>
      <c r="F16" t="s" s="640">
        <f>IF(A16="","",((B16+C16)/(E16*D16)))</f>
      </c>
      <c r="G16" s="633"/>
      <c r="H16" s="637"/>
      <c r="I16" s="638"/>
      <c r="J16" s="638"/>
      <c r="K16" s="639"/>
      <c r="L16" t="s" s="381">
        <f>IF(H16="","",$J$13*1000/'Termék'!$C$38)</f>
      </c>
      <c r="M16" t="s" s="640">
        <f>IF(H16="","",((I16+J16)/(L16*K16)))</f>
      </c>
      <c r="N16" s="618"/>
      <c r="O16" s="13"/>
      <c r="P16" s="13"/>
      <c r="Q16" s="13"/>
      <c r="R16" s="13"/>
      <c r="S16" s="13"/>
      <c r="T16" s="13"/>
      <c r="U16" s="13"/>
      <c r="V16" s="13"/>
      <c r="W16" s="13"/>
      <c r="X16" s="13"/>
      <c r="Y16" s="13"/>
      <c r="Z16" s="13"/>
      <c r="AA16" s="13"/>
      <c r="AB16" s="13"/>
      <c r="AC16" s="13"/>
      <c r="AD16" s="13"/>
      <c r="AE16" s="13"/>
      <c r="AF16" s="14"/>
    </row>
    <row r="17" ht="15" customHeight="1">
      <c r="A17" s="641"/>
      <c r="B17" s="638"/>
      <c r="C17" s="638"/>
      <c r="D17" s="639"/>
      <c r="E17" t="s" s="381">
        <f>IF(A17="","",$C$13*1000/'Termék'!$C$38)</f>
      </c>
      <c r="F17" t="s" s="640">
        <f>IF(A17="","",((B17+C17)/(E17*D17)))</f>
      </c>
      <c r="G17" s="633"/>
      <c r="H17" s="641"/>
      <c r="I17" s="638"/>
      <c r="J17" s="638"/>
      <c r="K17" s="639"/>
      <c r="L17" t="s" s="381">
        <f>IF(H17="","",$J$13*1000/'Termék'!$C$38)</f>
      </c>
      <c r="M17" t="s" s="640">
        <f>IF(H17="","",((I17+J17)/(L17*K17)))</f>
      </c>
      <c r="N17" s="618"/>
      <c r="O17" s="13"/>
      <c r="P17" s="13"/>
      <c r="Q17" s="13"/>
      <c r="R17" s="13"/>
      <c r="S17" s="13"/>
      <c r="T17" s="13"/>
      <c r="U17" s="13"/>
      <c r="V17" s="13"/>
      <c r="W17" s="13"/>
      <c r="X17" s="13"/>
      <c r="Y17" s="13"/>
      <c r="Z17" s="13"/>
      <c r="AA17" s="13"/>
      <c r="AB17" s="13"/>
      <c r="AC17" s="13"/>
      <c r="AD17" s="13"/>
      <c r="AE17" s="13"/>
      <c r="AF17" s="14"/>
    </row>
    <row r="18" ht="15" customHeight="1">
      <c r="A18" s="641"/>
      <c r="B18" s="638"/>
      <c r="C18" s="638"/>
      <c r="D18" s="639"/>
      <c r="E18" t="s" s="381">
        <f>IF(A18="","",$C$13*1000/'Termék'!$C$38)</f>
      </c>
      <c r="F18" t="s" s="640">
        <f>IF(A18="","",((B18+C18)/(E18*D18)))</f>
      </c>
      <c r="G18" s="633"/>
      <c r="H18" s="641"/>
      <c r="I18" s="638"/>
      <c r="J18" s="638"/>
      <c r="K18" s="639"/>
      <c r="L18" t="s" s="381">
        <f>IF(H18="","",$J$13*1000/'Termék'!$C$38)</f>
      </c>
      <c r="M18" t="s" s="640">
        <f>IF(H18="","",((I18+J18)/(L18*K18)))</f>
      </c>
      <c r="N18" s="618"/>
      <c r="O18" s="13"/>
      <c r="P18" s="13"/>
      <c r="Q18" s="13"/>
      <c r="R18" s="13"/>
      <c r="S18" s="13"/>
      <c r="T18" s="13"/>
      <c r="U18" s="13"/>
      <c r="V18" s="13"/>
      <c r="W18" s="13"/>
      <c r="X18" s="13"/>
      <c r="Y18" s="13"/>
      <c r="Z18" s="13"/>
      <c r="AA18" s="13"/>
      <c r="AB18" s="13"/>
      <c r="AC18" s="13"/>
      <c r="AD18" s="13"/>
      <c r="AE18" s="13"/>
      <c r="AF18" s="14"/>
    </row>
    <row r="19" ht="15" customHeight="1">
      <c r="A19" s="641"/>
      <c r="B19" s="638"/>
      <c r="C19" s="638"/>
      <c r="D19" s="639"/>
      <c r="E19" t="s" s="381">
        <f>IF(A19="","",$C$13*1000/'Termék'!$C$38)</f>
      </c>
      <c r="F19" t="s" s="640">
        <f>IF(A19="","",((B19+C19)/(E19*D19)))</f>
      </c>
      <c r="G19" s="633"/>
      <c r="H19" s="641"/>
      <c r="I19" s="638"/>
      <c r="J19" s="638"/>
      <c r="K19" s="639"/>
      <c r="L19" t="s" s="381">
        <f>IF(H19="","",$J$13*1000/'Termék'!$C$38)</f>
      </c>
      <c r="M19" t="s" s="640">
        <f>IF(H19="","",((I19+J19)/(L19*K19)))</f>
      </c>
      <c r="N19" s="618"/>
      <c r="O19" s="13"/>
      <c r="P19" s="13"/>
      <c r="Q19" s="13"/>
      <c r="R19" s="13"/>
      <c r="S19" s="13"/>
      <c r="T19" s="13"/>
      <c r="U19" s="13"/>
      <c r="V19" s="13"/>
      <c r="W19" s="13"/>
      <c r="X19" s="13"/>
      <c r="Y19" s="13"/>
      <c r="Z19" s="13"/>
      <c r="AA19" s="13"/>
      <c r="AB19" s="13"/>
      <c r="AC19" s="13"/>
      <c r="AD19" s="13"/>
      <c r="AE19" s="13"/>
      <c r="AF19" s="14"/>
    </row>
    <row r="20" ht="15" customHeight="1">
      <c r="A20" s="642"/>
      <c r="B20" s="643"/>
      <c r="C20" s="643"/>
      <c r="D20" s="644"/>
      <c r="E20" t="s" s="645">
        <f>IF(A20="","",$C$13*1000/'Termék'!$C$38)</f>
      </c>
      <c r="F20" t="s" s="646">
        <f>IF(A20="","",((B20+C20)/(E20*D20)))</f>
      </c>
      <c r="G20" s="633"/>
      <c r="H20" s="642"/>
      <c r="I20" s="643"/>
      <c r="J20" s="643"/>
      <c r="K20" s="644"/>
      <c r="L20" t="s" s="645">
        <f>IF(H20="","",$J$13*1000/'Termék'!$C$38)</f>
      </c>
      <c r="M20" t="s" s="646">
        <f>IF(H20="","",((I20+J20)/(L20*K20)))</f>
      </c>
      <c r="N20" s="618"/>
      <c r="O20" s="13"/>
      <c r="P20" s="13"/>
      <c r="Q20" s="13"/>
      <c r="R20" s="13"/>
      <c r="S20" s="13"/>
      <c r="T20" s="13"/>
      <c r="U20" s="13"/>
      <c r="V20" s="13"/>
      <c r="W20" s="13"/>
      <c r="X20" s="13"/>
      <c r="Y20" s="13"/>
      <c r="Z20" s="13"/>
      <c r="AA20" s="13"/>
      <c r="AB20" s="13"/>
      <c r="AC20" s="13"/>
      <c r="AD20" s="13"/>
      <c r="AE20" s="13"/>
      <c r="AF20" s="14"/>
    </row>
    <row r="21" ht="17.25" customHeight="1">
      <c r="A21" s="647"/>
      <c r="B21" s="648"/>
      <c r="C21" s="649"/>
      <c r="D21" t="s" s="650">
        <f>IF('Adatlap'!$L$1='Fordítások'!C3,'Fordítások'!C24,'Fordítások'!B24)</f>
        <v>194</v>
      </c>
      <c r="E21" t="s" s="651">
        <f>IF('Adatlap'!$L$1='Fordítások'!C3,'Fordítások'!C195,'Fordítások'!B195)</f>
        <v>366</v>
      </c>
      <c r="F21" s="652">
        <f>SUM(F16:F20)</f>
        <v>0</v>
      </c>
      <c r="G21" s="633"/>
      <c r="H21" s="647"/>
      <c r="I21" s="648"/>
      <c r="J21" s="649"/>
      <c r="K21" t="s" s="650">
        <f>D21</f>
        <v>321</v>
      </c>
      <c r="L21" t="s" s="651">
        <f>E21</f>
        <v>367</v>
      </c>
      <c r="M21" s="652">
        <f>SUM(M16:M20)</f>
        <v>0</v>
      </c>
      <c r="N21" s="618"/>
      <c r="O21" s="13"/>
      <c r="P21" s="13"/>
      <c r="Q21" s="13"/>
      <c r="R21" s="13"/>
      <c r="S21" s="13"/>
      <c r="T21" s="13"/>
      <c r="U21" s="13"/>
      <c r="V21" s="13"/>
      <c r="W21" s="13"/>
      <c r="X21" s="13"/>
      <c r="Y21" s="13"/>
      <c r="Z21" s="13"/>
      <c r="AA21" s="13"/>
      <c r="AB21" s="13"/>
      <c r="AC21" s="13"/>
      <c r="AD21" s="13"/>
      <c r="AE21" s="13"/>
      <c r="AF21" s="14"/>
    </row>
    <row r="22" ht="17.25" customHeight="1">
      <c r="A22" s="653"/>
      <c r="B22" s="654"/>
      <c r="C22" s="654"/>
      <c r="D22" s="655"/>
      <c r="E22" t="s" s="552">
        <f>IF('Adatlap'!$L$1='Fordítások'!C3,'Fordítások'!C204,'Fordítások'!B204)</f>
        <v>330</v>
      </c>
      <c r="F22" s="656">
        <f>IF(OR(C12='Fordítások'!$C301,C12='Fordítások'!$B301),200,IF(OR(C12='Fordítások'!$C302,C12='Fordítások'!$B302),150,IF(OR(C12='Fordítások'!$C303,C12='Fordítások'!$B303),1.2,VLOOKUP('Termék'!$C$24,'Auswahldaten'!$A$113:$G$137,7,FALSE))))</f>
      </c>
      <c r="G22" s="633"/>
      <c r="H22" s="653"/>
      <c r="I22" s="654"/>
      <c r="J22" s="654"/>
      <c r="K22" s="655"/>
      <c r="L22" t="s" s="552">
        <f>E22</f>
        <v>368</v>
      </c>
      <c r="M22" s="656">
        <f>IF(OR(J12='Fordítások'!$C301,J12='Fordítások'!$B301),200,IF(OR(J12='Fordítások'!$C302,J12='Fordítások'!$B302),150,IF(OR(J12='Fordítások'!$C303,J12='Fordítások'!$B303),1.2,VLOOKUP('Termék'!$C$24,'Auswahldaten'!$A$113:$G$137,7,FALSE))))</f>
      </c>
      <c r="N22" s="618"/>
      <c r="O22" s="13"/>
      <c r="P22" s="13"/>
      <c r="Q22" s="13"/>
      <c r="R22" s="13"/>
      <c r="S22" s="13"/>
      <c r="T22" s="13"/>
      <c r="U22" s="13"/>
      <c r="V22" s="13"/>
      <c r="W22" s="13"/>
      <c r="X22" s="13"/>
      <c r="Y22" s="13"/>
      <c r="Z22" s="13"/>
      <c r="AA22" s="13"/>
      <c r="AB22" s="13"/>
      <c r="AC22" s="13"/>
      <c r="AD22" s="13"/>
      <c r="AE22" s="13"/>
      <c r="AF22" s="14"/>
    </row>
    <row r="23" ht="25.5" customHeight="1">
      <c r="A23" t="s" s="629">
        <f>IF('Adatlap'!$L$1='Fordítások'!C3,'Fordítások'!C304,'Fordítások'!B304)</f>
        <v>369</v>
      </c>
      <c r="B23" s="192"/>
      <c r="C23" t="s" s="657">
        <f>IF(C13="","",(SUM(B16:B20)-SUM(C16:C20))/SUM(B16:B20))</f>
      </c>
      <c r="D23" s="658"/>
      <c r="E23" t="s" s="659">
        <f>IF('Adatlap'!$L$1='Fordítások'!C3,'Fordítások'!C205,'Fordítások'!B205)</f>
        <v>331</v>
      </c>
      <c r="F23" s="660">
        <f>IF(OR(F21&lt;=F22,C23&gt;0.8),"ok","not ok")</f>
      </c>
      <c r="G23" s="633"/>
      <c r="H23" t="s" s="629">
        <f>A23</f>
        <v>370</v>
      </c>
      <c r="I23" s="192"/>
      <c r="J23" t="s" s="657">
        <f>IF(J13="","",(SUM(I16:I20)-SUM(J16:J20))/SUM(I16:I20))</f>
      </c>
      <c r="K23" s="658"/>
      <c r="L23" t="s" s="659">
        <f>E23</f>
        <v>371</v>
      </c>
      <c r="M23" s="660">
        <f>IF(OR(M21&lt;=M22,J23&gt;0.8),"ok","not ok")</f>
      </c>
      <c r="N23" s="618"/>
      <c r="O23" s="13"/>
      <c r="P23" s="13"/>
      <c r="Q23" s="13"/>
      <c r="R23" s="13"/>
      <c r="S23" s="13"/>
      <c r="T23" s="13"/>
      <c r="U23" s="13"/>
      <c r="V23" s="13"/>
      <c r="W23" s="13"/>
      <c r="X23" s="13"/>
      <c r="Y23" s="13"/>
      <c r="Z23" s="13"/>
      <c r="AA23" s="13"/>
      <c r="AB23" s="13"/>
      <c r="AC23" s="13"/>
      <c r="AD23" s="13"/>
      <c r="AE23" s="13"/>
      <c r="AF23" s="14"/>
    </row>
    <row r="24" ht="9.75" customHeight="1">
      <c r="A24" s="661"/>
      <c r="B24" s="68"/>
      <c r="C24" s="662"/>
      <c r="D24" s="663"/>
      <c r="E24" s="664"/>
      <c r="F24" s="665"/>
      <c r="G24" s="633"/>
      <c r="H24" s="661"/>
      <c r="I24" s="68"/>
      <c r="J24" s="662"/>
      <c r="K24" s="663"/>
      <c r="L24" s="664"/>
      <c r="M24" s="665"/>
      <c r="N24" s="618"/>
      <c r="O24" s="13"/>
      <c r="P24" s="13"/>
      <c r="Q24" s="13"/>
      <c r="R24" s="13"/>
      <c r="S24" s="13"/>
      <c r="T24" s="13"/>
      <c r="U24" s="13"/>
      <c r="V24" s="13"/>
      <c r="W24" s="13"/>
      <c r="X24" s="13"/>
      <c r="Y24" s="13"/>
      <c r="Z24" s="13"/>
      <c r="AA24" s="13"/>
      <c r="AB24" s="13"/>
      <c r="AC24" s="13"/>
      <c r="AD24" s="13"/>
      <c r="AE24" s="13"/>
      <c r="AF24" s="14"/>
    </row>
    <row r="25" ht="28.5" customHeight="1">
      <c r="A25" t="s" s="666">
        <f>IF('Adatlap'!$L$1='Fordítások'!C3,'Fordítások'!C143,'Fordítások'!B143)</f>
        <v>372</v>
      </c>
      <c r="B25" s="667"/>
      <c r="C25" s="667"/>
      <c r="D25" s="668"/>
      <c r="E25" s="669"/>
      <c r="F25" s="670"/>
      <c r="G25" s="671"/>
      <c r="H25" t="s" s="666">
        <f>A25</f>
        <v>373</v>
      </c>
      <c r="I25" s="667"/>
      <c r="J25" s="667"/>
      <c r="K25" s="668"/>
      <c r="L25" s="669"/>
      <c r="M25" s="670"/>
      <c r="N25" s="618"/>
      <c r="O25" s="13"/>
      <c r="P25" s="13"/>
      <c r="Q25" s="13"/>
      <c r="R25" s="13"/>
      <c r="S25" s="13"/>
      <c r="T25" s="13"/>
      <c r="U25" s="13"/>
      <c r="V25" s="13"/>
      <c r="W25" s="13"/>
      <c r="X25" s="13"/>
      <c r="Y25" s="13"/>
      <c r="Z25" s="13"/>
      <c r="AA25" s="13"/>
      <c r="AB25" s="13"/>
      <c r="AC25" s="13"/>
      <c r="AD25" s="13"/>
      <c r="AE25" s="13"/>
      <c r="AF25" s="14"/>
    </row>
    <row r="26" ht="15" customHeight="1">
      <c r="A26" t="s" s="666">
        <f>IF('Adatlap'!$L$1='Fordítások'!C3,'Fordítások'!C144,'Fordítások'!B144)</f>
        <v>374</v>
      </c>
      <c r="B26" s="667"/>
      <c r="C26" s="667"/>
      <c r="D26" s="379"/>
      <c r="E26" s="379"/>
      <c r="F26" s="672"/>
      <c r="G26" s="671"/>
      <c r="H26" t="s" s="666">
        <f>A26</f>
        <v>375</v>
      </c>
      <c r="I26" s="667"/>
      <c r="J26" s="667"/>
      <c r="K26" s="379"/>
      <c r="L26" s="379"/>
      <c r="M26" s="672"/>
      <c r="N26" s="618"/>
      <c r="O26" s="13"/>
      <c r="P26" s="13"/>
      <c r="Q26" s="13"/>
      <c r="R26" s="13"/>
      <c r="S26" s="13"/>
      <c r="T26" s="13"/>
      <c r="U26" s="13"/>
      <c r="V26" s="13"/>
      <c r="W26" s="13"/>
      <c r="X26" s="13"/>
      <c r="Y26" s="13"/>
      <c r="Z26" s="13"/>
      <c r="AA26" s="13"/>
      <c r="AB26" s="13"/>
      <c r="AC26" s="13"/>
      <c r="AD26" s="13"/>
      <c r="AE26" s="13"/>
      <c r="AF26" s="14"/>
    </row>
    <row r="27" ht="15" customHeight="1">
      <c r="A27" t="s" s="666">
        <f>IF('Adatlap'!$L$1='Fordítások'!C3,'Fordítások'!C145,'Fordítások'!B145)</f>
        <v>376</v>
      </c>
      <c r="B27" s="667"/>
      <c r="C27" s="667"/>
      <c r="D27" s="379"/>
      <c r="E27" s="379"/>
      <c r="F27" s="672"/>
      <c r="G27" s="671"/>
      <c r="H27" t="s" s="666">
        <f>A27</f>
        <v>377</v>
      </c>
      <c r="I27" s="667"/>
      <c r="J27" s="667"/>
      <c r="K27" s="379"/>
      <c r="L27" s="379"/>
      <c r="M27" s="672"/>
      <c r="N27" s="618"/>
      <c r="O27" s="13"/>
      <c r="P27" s="13"/>
      <c r="Q27" s="13"/>
      <c r="R27" s="13"/>
      <c r="S27" s="13"/>
      <c r="T27" s="13"/>
      <c r="U27" s="13"/>
      <c r="V27" s="13"/>
      <c r="W27" s="13"/>
      <c r="X27" s="13"/>
      <c r="Y27" s="13"/>
      <c r="Z27" s="13"/>
      <c r="AA27" s="13"/>
      <c r="AB27" s="13"/>
      <c r="AC27" s="13"/>
      <c r="AD27" s="13"/>
      <c r="AE27" s="13"/>
      <c r="AF27" s="14"/>
    </row>
    <row r="28" ht="15" customHeight="1">
      <c r="A28" t="s" s="666">
        <f>IF('Adatlap'!$L$1='Fordítások'!C3,'Fordítások'!C146,'Fordítások'!B146)</f>
        <v>378</v>
      </c>
      <c r="B28" s="667"/>
      <c r="C28" s="667"/>
      <c r="D28" s="379"/>
      <c r="E28" s="379"/>
      <c r="F28" s="672"/>
      <c r="G28" s="671"/>
      <c r="H28" t="s" s="666">
        <f>A28</f>
        <v>379</v>
      </c>
      <c r="I28" s="667"/>
      <c r="J28" s="667"/>
      <c r="K28" s="379"/>
      <c r="L28" s="379"/>
      <c r="M28" s="672"/>
      <c r="N28" s="618"/>
      <c r="O28" s="13"/>
      <c r="P28" s="13"/>
      <c r="Q28" s="13"/>
      <c r="R28" s="13"/>
      <c r="S28" s="13"/>
      <c r="T28" s="13"/>
      <c r="U28" s="13"/>
      <c r="V28" s="13"/>
      <c r="W28" s="13"/>
      <c r="X28" s="13"/>
      <c r="Y28" s="13"/>
      <c r="Z28" s="13"/>
      <c r="AA28" s="13"/>
      <c r="AB28" s="13"/>
      <c r="AC28" s="13"/>
      <c r="AD28" s="13"/>
      <c r="AE28" s="13"/>
      <c r="AF28" s="14"/>
    </row>
    <row r="29" ht="15" customHeight="1">
      <c r="A29" t="s" s="673">
        <f>IF('Adatlap'!$L$1='Fordítások'!C3,'Fordítások'!C147,'Fordítások'!B147)</f>
        <v>380</v>
      </c>
      <c r="B29" s="674"/>
      <c r="C29" s="674"/>
      <c r="D29" s="675"/>
      <c r="E29" s="675"/>
      <c r="F29" s="676"/>
      <c r="G29" s="671"/>
      <c r="H29" t="s" s="673">
        <f>A29</f>
        <v>381</v>
      </c>
      <c r="I29" s="674"/>
      <c r="J29" s="674"/>
      <c r="K29" s="675"/>
      <c r="L29" s="675"/>
      <c r="M29" s="676"/>
      <c r="N29" s="618"/>
      <c r="O29" s="13"/>
      <c r="P29" s="13"/>
      <c r="Q29" s="13"/>
      <c r="R29" s="13"/>
      <c r="S29" s="13"/>
      <c r="T29" s="13"/>
      <c r="U29" s="13"/>
      <c r="V29" s="13"/>
      <c r="W29" s="13"/>
      <c r="X29" s="13"/>
      <c r="Y29" s="13"/>
      <c r="Z29" s="13"/>
      <c r="AA29" s="13"/>
      <c r="AB29" s="13"/>
      <c r="AC29" s="13"/>
      <c r="AD29" s="13"/>
      <c r="AE29" s="13"/>
      <c r="AF29" s="14"/>
    </row>
    <row r="30" ht="10.5" customHeight="1">
      <c r="A30" s="677"/>
      <c r="B30" s="678"/>
      <c r="C30" s="679"/>
      <c r="D30" s="679"/>
      <c r="E30" s="680"/>
      <c r="F30" s="681"/>
      <c r="G30" s="185"/>
      <c r="H30" s="682"/>
      <c r="I30" s="678"/>
      <c r="J30" s="679"/>
      <c r="K30" s="679"/>
      <c r="L30" s="680"/>
      <c r="M30" s="681"/>
      <c r="N30" s="13"/>
      <c r="O30" s="13"/>
      <c r="P30" s="13"/>
      <c r="Q30" s="13"/>
      <c r="R30" s="13"/>
      <c r="S30" s="13"/>
      <c r="T30" s="13"/>
      <c r="U30" s="13"/>
      <c r="V30" s="13"/>
      <c r="W30" s="13"/>
      <c r="X30" s="13"/>
      <c r="Y30" s="13"/>
      <c r="Z30" s="13"/>
      <c r="AA30" s="13"/>
      <c r="AB30" s="13"/>
      <c r="AC30" s="13"/>
      <c r="AD30" s="13"/>
      <c r="AE30" s="13"/>
      <c r="AF30" s="14"/>
    </row>
    <row r="31" ht="15.75" customHeight="1">
      <c r="A31" s="611"/>
      <c r="B31" s="612"/>
      <c r="C31" t="s" s="613">
        <f>IF('Adatlap'!$L$1='Fordítások'!C3,'Fordítások'!C197,'Fordítások'!B197)</f>
        <v>382</v>
      </c>
      <c r="D31" s="614"/>
      <c r="E31" s="615"/>
      <c r="F31" s="616"/>
      <c r="G31" s="617"/>
      <c r="H31" s="683"/>
      <c r="I31" s="684"/>
      <c r="J31" t="s" s="613">
        <f>IF('Adatlap'!$L$1='Fordítások'!C3,'Fordítások'!C199,'Fordítások'!B199)</f>
        <v>383</v>
      </c>
      <c r="K31" s="614"/>
      <c r="L31" s="615"/>
      <c r="M31" s="616"/>
      <c r="N31" s="618"/>
      <c r="O31" s="13"/>
      <c r="P31" s="13"/>
      <c r="Q31" s="13"/>
      <c r="R31" s="13"/>
      <c r="S31" s="13"/>
      <c r="T31" s="13"/>
      <c r="U31" s="13"/>
      <c r="V31" s="13"/>
      <c r="W31" s="13"/>
      <c r="X31" s="13"/>
      <c r="Y31" s="13"/>
      <c r="Z31" s="13"/>
      <c r="AA31" s="13"/>
      <c r="AB31" s="13"/>
      <c r="AC31" s="13"/>
      <c r="AD31" s="13"/>
      <c r="AE31" s="13"/>
      <c r="AF31" s="14"/>
    </row>
    <row r="32" ht="19.5" customHeight="1">
      <c r="A32" t="s" s="623">
        <f>A11</f>
        <v>352</v>
      </c>
      <c r="B32" s="170"/>
      <c r="C32" s="620"/>
      <c r="D32" s="621"/>
      <c r="E32" s="621"/>
      <c r="F32" s="622"/>
      <c r="G32" s="617"/>
      <c r="H32" t="s" s="623">
        <f>H11</f>
        <v>352</v>
      </c>
      <c r="I32" s="170"/>
      <c r="J32" s="620"/>
      <c r="K32" s="621"/>
      <c r="L32" s="621"/>
      <c r="M32" s="622"/>
      <c r="N32" s="618"/>
      <c r="O32" s="13"/>
      <c r="P32" s="13"/>
      <c r="Q32" s="13"/>
      <c r="R32" s="13"/>
      <c r="S32" s="13"/>
      <c r="T32" s="13"/>
      <c r="U32" s="13"/>
      <c r="V32" s="13"/>
      <c r="W32" s="13"/>
      <c r="X32" s="13"/>
      <c r="Y32" s="13"/>
      <c r="Z32" s="13"/>
      <c r="AA32" s="13"/>
      <c r="AB32" s="13"/>
      <c r="AC32" s="13"/>
      <c r="AD32" s="13"/>
      <c r="AE32" s="13"/>
      <c r="AF32" s="14"/>
    </row>
    <row r="33" ht="30.75" customHeight="1">
      <c r="A33" t="s" s="629">
        <f>A12</f>
        <v>354</v>
      </c>
      <c r="B33" s="192"/>
      <c r="C33" s="626"/>
      <c r="D33" s="627"/>
      <c r="E33" s="627"/>
      <c r="F33" s="628"/>
      <c r="G33" s="617"/>
      <c r="H33" t="s" s="629">
        <f>H12</f>
        <v>354</v>
      </c>
      <c r="I33" s="192"/>
      <c r="J33" s="626"/>
      <c r="K33" s="627"/>
      <c r="L33" s="627"/>
      <c r="M33" s="628"/>
      <c r="N33" s="618"/>
      <c r="O33" s="13"/>
      <c r="P33" s="13"/>
      <c r="Q33" s="13"/>
      <c r="R33" s="13"/>
      <c r="S33" s="13"/>
      <c r="T33" s="13"/>
      <c r="U33" s="13"/>
      <c r="V33" s="13"/>
      <c r="W33" s="13"/>
      <c r="X33" s="13"/>
      <c r="Y33" s="13"/>
      <c r="Z33" s="13"/>
      <c r="AA33" s="13"/>
      <c r="AB33" s="13"/>
      <c r="AC33" s="13"/>
      <c r="AD33" s="13"/>
      <c r="AE33" s="13"/>
      <c r="AF33" s="14"/>
    </row>
    <row r="34" ht="75.75" customHeight="1">
      <c r="A34" t="s" s="629">
        <f>A13</f>
        <v>356</v>
      </c>
      <c r="B34" s="192"/>
      <c r="C34" s="620"/>
      <c r="D34" s="621"/>
      <c r="E34" s="621"/>
      <c r="F34" s="622"/>
      <c r="G34" s="617"/>
      <c r="H34" t="s" s="629">
        <f>H13</f>
        <v>356</v>
      </c>
      <c r="I34" s="192"/>
      <c r="J34" s="620"/>
      <c r="K34" s="621"/>
      <c r="L34" s="621"/>
      <c r="M34" s="622"/>
      <c r="N34" s="618"/>
      <c r="O34" s="13"/>
      <c r="P34" s="13"/>
      <c r="Q34" s="13"/>
      <c r="R34" s="13"/>
      <c r="S34" s="13"/>
      <c r="T34" s="13"/>
      <c r="U34" s="13"/>
      <c r="V34" s="13"/>
      <c r="W34" s="13"/>
      <c r="X34" s="13"/>
      <c r="Y34" s="13"/>
      <c r="Z34" s="13"/>
      <c r="AA34" s="13"/>
      <c r="AB34" s="13"/>
      <c r="AC34" s="13"/>
      <c r="AD34" s="13"/>
      <c r="AE34" s="13"/>
      <c r="AF34" s="14"/>
    </row>
    <row r="35" ht="13.5" customHeight="1">
      <c r="A35" s="630"/>
      <c r="B35" s="631"/>
      <c r="C35" s="631"/>
      <c r="D35" s="631"/>
      <c r="E35" s="631"/>
      <c r="F35" s="632"/>
      <c r="G35" s="633"/>
      <c r="H35" s="630"/>
      <c r="I35" s="631"/>
      <c r="J35" s="631"/>
      <c r="K35" s="631"/>
      <c r="L35" s="631"/>
      <c r="M35" s="632"/>
      <c r="N35" s="618"/>
      <c r="O35" s="13"/>
      <c r="P35" s="13"/>
      <c r="Q35" s="13"/>
      <c r="R35" s="13"/>
      <c r="S35" s="13"/>
      <c r="T35" s="13"/>
      <c r="U35" s="13"/>
      <c r="V35" s="13"/>
      <c r="W35" s="13"/>
      <c r="X35" s="13"/>
      <c r="Y35" s="13"/>
      <c r="Z35" s="13"/>
      <c r="AA35" s="13"/>
      <c r="AB35" s="13"/>
      <c r="AC35" s="13"/>
      <c r="AD35" s="13"/>
      <c r="AE35" s="13"/>
      <c r="AF35" s="14"/>
    </row>
    <row r="36" ht="172.5" customHeight="1">
      <c r="A36" t="s" s="634">
        <f>A15</f>
        <v>363</v>
      </c>
      <c r="B36" t="s" s="635">
        <f>B15</f>
        <v>358</v>
      </c>
      <c r="C36" t="s" s="635">
        <f>C15</f>
        <v>359</v>
      </c>
      <c r="D36" t="s" s="635">
        <f>D15</f>
        <v>360</v>
      </c>
      <c r="E36" t="s" s="635">
        <f>E15</f>
        <v>364</v>
      </c>
      <c r="F36" t="s" s="636">
        <f>F15</f>
        <v>365</v>
      </c>
      <c r="G36" s="633"/>
      <c r="H36" t="s" s="634">
        <f>H15</f>
        <v>363</v>
      </c>
      <c r="I36" t="s" s="635">
        <f>I15</f>
        <v>358</v>
      </c>
      <c r="J36" t="s" s="635">
        <f>J15</f>
        <v>359</v>
      </c>
      <c r="K36" t="s" s="635">
        <f>K15</f>
        <v>360</v>
      </c>
      <c r="L36" t="s" s="635">
        <f>L15</f>
        <v>364</v>
      </c>
      <c r="M36" t="s" s="636">
        <f>M15</f>
        <v>365</v>
      </c>
      <c r="N36" s="618"/>
      <c r="O36" s="13"/>
      <c r="P36" s="13"/>
      <c r="Q36" s="13"/>
      <c r="R36" s="13"/>
      <c r="S36" s="13"/>
      <c r="T36" s="13"/>
      <c r="U36" s="13"/>
      <c r="V36" s="13"/>
      <c r="W36" s="13"/>
      <c r="X36" s="13"/>
      <c r="Y36" s="13"/>
      <c r="Z36" s="13"/>
      <c r="AA36" s="13"/>
      <c r="AB36" s="13"/>
      <c r="AC36" s="13"/>
      <c r="AD36" s="13"/>
      <c r="AE36" s="13"/>
      <c r="AF36" s="14"/>
    </row>
    <row r="37" ht="15" customHeight="1">
      <c r="A37" s="637"/>
      <c r="B37" s="638"/>
      <c r="C37" s="638"/>
      <c r="D37" s="639"/>
      <c r="E37" t="s" s="381">
        <f>IF(A37="","",$C$34*1000/'Termék'!$C$38)</f>
      </c>
      <c r="F37" t="s" s="640">
        <f>IF(A37="","",((B37+C37)/(E37*D37)))</f>
      </c>
      <c r="G37" s="633"/>
      <c r="H37" s="637"/>
      <c r="I37" s="638"/>
      <c r="J37" s="638"/>
      <c r="K37" s="639"/>
      <c r="L37" t="s" s="381">
        <f>IF(H37="","",$J$34*1000/'Termék'!$C$38)</f>
      </c>
      <c r="M37" t="s" s="640">
        <f>IF(H37="","",((I37+J37)/(L37*K37)))</f>
      </c>
      <c r="N37" s="618"/>
      <c r="O37" s="13"/>
      <c r="P37" s="13"/>
      <c r="Q37" s="13"/>
      <c r="R37" s="13"/>
      <c r="S37" s="13"/>
      <c r="T37" s="13"/>
      <c r="U37" s="13"/>
      <c r="V37" s="13"/>
      <c r="W37" s="13"/>
      <c r="X37" s="13"/>
      <c r="Y37" s="13"/>
      <c r="Z37" s="13"/>
      <c r="AA37" s="13"/>
      <c r="AB37" s="13"/>
      <c r="AC37" s="13"/>
      <c r="AD37" s="13"/>
      <c r="AE37" s="13"/>
      <c r="AF37" s="14"/>
    </row>
    <row r="38" ht="15" customHeight="1">
      <c r="A38" s="641"/>
      <c r="B38" s="638"/>
      <c r="C38" s="638"/>
      <c r="D38" s="639"/>
      <c r="E38" t="s" s="381">
        <f>IF(A38="","",$C$34*1000/'Termék'!$C$38)</f>
      </c>
      <c r="F38" t="s" s="640">
        <f>IF(A38="","",((B38+C38)/(E38*D38)))</f>
      </c>
      <c r="G38" s="633"/>
      <c r="H38" s="641"/>
      <c r="I38" s="638"/>
      <c r="J38" s="638"/>
      <c r="K38" s="639"/>
      <c r="L38" t="s" s="381">
        <f>IF(H38="","",$J$34*1000/'Termék'!$C$38)</f>
      </c>
      <c r="M38" t="s" s="640">
        <f>IF(H38="","",((I38+J38)/(L38*K38)))</f>
      </c>
      <c r="N38" s="618"/>
      <c r="O38" s="13"/>
      <c r="P38" s="13"/>
      <c r="Q38" s="13"/>
      <c r="R38" s="13"/>
      <c r="S38" s="13"/>
      <c r="T38" s="13"/>
      <c r="U38" s="13"/>
      <c r="V38" s="13"/>
      <c r="W38" s="13"/>
      <c r="X38" s="13"/>
      <c r="Y38" s="13"/>
      <c r="Z38" s="13"/>
      <c r="AA38" s="13"/>
      <c r="AB38" s="13"/>
      <c r="AC38" s="13"/>
      <c r="AD38" s="13"/>
      <c r="AE38" s="13"/>
      <c r="AF38" s="14"/>
    </row>
    <row r="39" ht="15" customHeight="1">
      <c r="A39" s="641"/>
      <c r="B39" s="638"/>
      <c r="C39" s="638"/>
      <c r="D39" s="639"/>
      <c r="E39" t="s" s="381">
        <f>IF(A39="","",$C$34*1000/'Termék'!$C$38)</f>
      </c>
      <c r="F39" t="s" s="640">
        <f>IF(A39="","",((B39+C39)/(E39*D39)))</f>
      </c>
      <c r="G39" s="633"/>
      <c r="H39" s="641"/>
      <c r="I39" s="638"/>
      <c r="J39" s="638"/>
      <c r="K39" s="639"/>
      <c r="L39" t="s" s="381">
        <f>IF(H39="","",$J$34*1000/'Termék'!$C$38)</f>
      </c>
      <c r="M39" t="s" s="640">
        <f>IF(H39="","",((I39+J39)/(L39*K39)))</f>
      </c>
      <c r="N39" s="618"/>
      <c r="O39" s="13"/>
      <c r="P39" s="13"/>
      <c r="Q39" s="13"/>
      <c r="R39" s="13"/>
      <c r="S39" s="13"/>
      <c r="T39" s="13"/>
      <c r="U39" s="13"/>
      <c r="V39" s="13"/>
      <c r="W39" s="13"/>
      <c r="X39" s="13"/>
      <c r="Y39" s="13"/>
      <c r="Z39" s="13"/>
      <c r="AA39" s="13"/>
      <c r="AB39" s="13"/>
      <c r="AC39" s="13"/>
      <c r="AD39" s="13"/>
      <c r="AE39" s="13"/>
      <c r="AF39" s="14"/>
    </row>
    <row r="40" ht="15" customHeight="1">
      <c r="A40" s="641"/>
      <c r="B40" s="638"/>
      <c r="C40" s="638"/>
      <c r="D40" s="639"/>
      <c r="E40" t="s" s="381">
        <f>IF(A40="","",$C$34*1000/'Termék'!$C$38)</f>
      </c>
      <c r="F40" t="s" s="640">
        <f>IF(A40="","",((B40+C40)/(E40*D40)))</f>
      </c>
      <c r="G40" s="633"/>
      <c r="H40" s="641"/>
      <c r="I40" s="638"/>
      <c r="J40" s="638"/>
      <c r="K40" s="639"/>
      <c r="L40" t="s" s="381">
        <f>IF(H40="","",$J$34*1000/'Termék'!$C$38)</f>
      </c>
      <c r="M40" t="s" s="640">
        <f>IF(H40="","",((I40+J40)/(L40*K40)))</f>
      </c>
      <c r="N40" s="618"/>
      <c r="O40" s="13"/>
      <c r="P40" s="13"/>
      <c r="Q40" s="13"/>
      <c r="R40" s="13"/>
      <c r="S40" s="13"/>
      <c r="T40" s="13"/>
      <c r="U40" s="13"/>
      <c r="V40" s="13"/>
      <c r="W40" s="13"/>
      <c r="X40" s="13"/>
      <c r="Y40" s="13"/>
      <c r="Z40" s="13"/>
      <c r="AA40" s="13"/>
      <c r="AB40" s="13"/>
      <c r="AC40" s="13"/>
      <c r="AD40" s="13"/>
      <c r="AE40" s="13"/>
      <c r="AF40" s="14"/>
    </row>
    <row r="41" ht="15" customHeight="1">
      <c r="A41" s="642"/>
      <c r="B41" s="643"/>
      <c r="C41" s="643"/>
      <c r="D41" s="644"/>
      <c r="E41" t="s" s="645">
        <f>IF(A41="","",$C$34*1000/'Termék'!$C$38)</f>
      </c>
      <c r="F41" t="s" s="646">
        <f>IF(A41="","",((B41+C41)/(E41*D41)))</f>
      </c>
      <c r="G41" s="633"/>
      <c r="H41" s="642"/>
      <c r="I41" s="643"/>
      <c r="J41" s="643"/>
      <c r="K41" s="644"/>
      <c r="L41" t="s" s="645">
        <f>IF(H41="","",$J$34*1000/'Termék'!$C$38)</f>
      </c>
      <c r="M41" t="s" s="646">
        <f>IF(H41="","",((I41+J41)/(L41*K41)))</f>
      </c>
      <c r="N41" s="618"/>
      <c r="O41" s="13"/>
      <c r="P41" s="13"/>
      <c r="Q41" s="13"/>
      <c r="R41" s="13"/>
      <c r="S41" s="13"/>
      <c r="T41" s="13"/>
      <c r="U41" s="13"/>
      <c r="V41" s="13"/>
      <c r="W41" s="13"/>
      <c r="X41" s="13"/>
      <c r="Y41" s="13"/>
      <c r="Z41" s="13"/>
      <c r="AA41" s="13"/>
      <c r="AB41" s="13"/>
      <c r="AC41" s="13"/>
      <c r="AD41" s="13"/>
      <c r="AE41" s="13"/>
      <c r="AF41" s="14"/>
    </row>
    <row r="42" ht="17.25" customHeight="1">
      <c r="A42" s="647"/>
      <c r="B42" s="648"/>
      <c r="C42" s="649"/>
      <c r="D42" t="s" s="650">
        <f>D21</f>
        <v>321</v>
      </c>
      <c r="E42" t="s" s="651">
        <f>E21</f>
        <v>367</v>
      </c>
      <c r="F42" s="685">
        <f>SUM(F37:F41)</f>
        <v>0</v>
      </c>
      <c r="G42" s="633"/>
      <c r="H42" s="647"/>
      <c r="I42" s="648"/>
      <c r="J42" s="649"/>
      <c r="K42" t="s" s="650">
        <f>K21</f>
        <v>321</v>
      </c>
      <c r="L42" t="s" s="651">
        <f>L21</f>
        <v>367</v>
      </c>
      <c r="M42" s="685">
        <f>SUM(M37:M41)</f>
        <v>0</v>
      </c>
      <c r="N42" s="618"/>
      <c r="O42" s="13"/>
      <c r="P42" s="13"/>
      <c r="Q42" s="13"/>
      <c r="R42" s="13"/>
      <c r="S42" s="13"/>
      <c r="T42" s="13"/>
      <c r="U42" s="13"/>
      <c r="V42" s="13"/>
      <c r="W42" s="13"/>
      <c r="X42" s="13"/>
      <c r="Y42" s="13"/>
      <c r="Z42" s="13"/>
      <c r="AA42" s="13"/>
      <c r="AB42" s="13"/>
      <c r="AC42" s="13"/>
      <c r="AD42" s="13"/>
      <c r="AE42" s="13"/>
      <c r="AF42" s="14"/>
    </row>
    <row r="43" ht="17.25" customHeight="1">
      <c r="A43" s="653"/>
      <c r="B43" s="654"/>
      <c r="C43" s="654"/>
      <c r="D43" s="655"/>
      <c r="E43" t="s" s="552">
        <f>E22</f>
        <v>368</v>
      </c>
      <c r="F43" s="656">
        <f>IF(OR(C33='Fordítások'!$C301,C33='Fordítások'!$B301),200,IF(OR(C33='Fordítások'!$C302,C33='Fordítások'!$B302),150,IF(OR(C33='Fordítások'!$C303,C33='Fordítások'!$B303),1.2,VLOOKUP('Termék'!$C$24,'Auswahldaten'!$A$113:$G$137,7,FALSE))))</f>
      </c>
      <c r="G43" s="633"/>
      <c r="H43" s="653"/>
      <c r="I43" s="654"/>
      <c r="J43" s="654"/>
      <c r="K43" s="655"/>
      <c r="L43" t="s" s="552">
        <f>L22</f>
        <v>368</v>
      </c>
      <c r="M43" s="656">
        <f>IF(OR(J33='Fordítások'!$C301,J33='Fordítások'!$B301),200,IF(OR(J33='Fordítások'!$C302,J33='Fordítások'!$B302),150,IF(OR(J33='Fordítások'!$C303,J33='Fordítások'!$B303),1.2,VLOOKUP('Termék'!$C$24,'Auswahldaten'!$A$113:$G$137,7,FALSE))))</f>
      </c>
      <c r="N43" s="618"/>
      <c r="O43" s="13"/>
      <c r="P43" s="13"/>
      <c r="Q43" s="13"/>
      <c r="R43" s="13"/>
      <c r="S43" s="13"/>
      <c r="T43" s="13"/>
      <c r="U43" s="13"/>
      <c r="V43" s="13"/>
      <c r="W43" s="13"/>
      <c r="X43" s="13"/>
      <c r="Y43" s="13"/>
      <c r="Z43" s="13"/>
      <c r="AA43" s="13"/>
      <c r="AB43" s="13"/>
      <c r="AC43" s="13"/>
      <c r="AD43" s="13"/>
      <c r="AE43" s="13"/>
      <c r="AF43" s="14"/>
    </row>
    <row r="44" ht="25.5" customHeight="1">
      <c r="A44" t="s" s="629">
        <f>A23</f>
        <v>370</v>
      </c>
      <c r="B44" s="192"/>
      <c r="C44" t="s" s="657">
        <f>IF(C34="","",(SUM(B37:B41)-SUM(C37:C41))/SUM(B37:B41))</f>
      </c>
      <c r="D44" s="658"/>
      <c r="E44" t="s" s="659">
        <f>E23</f>
        <v>371</v>
      </c>
      <c r="F44" s="660">
        <f>IF(OR(F42&lt;=F43,C44&gt;0.8),"ok","not ok")</f>
      </c>
      <c r="G44" s="633"/>
      <c r="H44" t="s" s="629">
        <f>A23</f>
        <v>370</v>
      </c>
      <c r="I44" s="192"/>
      <c r="J44" t="s" s="657">
        <f>IF(J34="","",(SUM(I37:I41)-SUM(J37:J41))/SUM(I37:I41))</f>
      </c>
      <c r="K44" s="658"/>
      <c r="L44" t="s" s="659">
        <f>L23</f>
        <v>371</v>
      </c>
      <c r="M44" s="660">
        <f>IF(OR(M42&lt;=M43,J44&gt;0.8),"ok","not ok")</f>
      </c>
      <c r="N44" s="618"/>
      <c r="O44" s="13"/>
      <c r="P44" s="13"/>
      <c r="Q44" s="13"/>
      <c r="R44" s="13"/>
      <c r="S44" s="13"/>
      <c r="T44" s="13"/>
      <c r="U44" s="13"/>
      <c r="V44" s="13"/>
      <c r="W44" s="13"/>
      <c r="X44" s="13"/>
      <c r="Y44" s="13"/>
      <c r="Z44" s="13"/>
      <c r="AA44" s="13"/>
      <c r="AB44" s="13"/>
      <c r="AC44" s="13"/>
      <c r="AD44" s="13"/>
      <c r="AE44" s="13"/>
      <c r="AF44" s="14"/>
    </row>
    <row r="45" ht="16.5" customHeight="1">
      <c r="A45" s="686"/>
      <c r="B45" s="332"/>
      <c r="C45" s="332"/>
      <c r="D45" s="151"/>
      <c r="E45" s="340"/>
      <c r="F45" s="687"/>
      <c r="G45" s="633"/>
      <c r="H45" s="686"/>
      <c r="I45" s="332"/>
      <c r="J45" s="332"/>
      <c r="K45" s="151"/>
      <c r="L45" s="340"/>
      <c r="M45" s="687"/>
      <c r="N45" s="688"/>
      <c r="O45" s="151"/>
      <c r="P45" s="151"/>
      <c r="Q45" s="13"/>
      <c r="R45" s="13"/>
      <c r="S45" s="13"/>
      <c r="T45" s="13"/>
      <c r="U45" s="13"/>
      <c r="V45" s="13"/>
      <c r="W45" s="13"/>
      <c r="X45" s="13"/>
      <c r="Y45" s="13"/>
      <c r="Z45" s="13"/>
      <c r="AA45" s="13"/>
      <c r="AB45" s="13"/>
      <c r="AC45" s="13"/>
      <c r="AD45" s="13"/>
      <c r="AE45" s="13"/>
      <c r="AF45" s="14"/>
    </row>
    <row r="46" ht="28.5" customHeight="1">
      <c r="A46" t="s" s="666">
        <f>A25</f>
        <v>373</v>
      </c>
      <c r="B46" s="667"/>
      <c r="C46" s="667"/>
      <c r="D46" s="668"/>
      <c r="E46" s="669"/>
      <c r="F46" s="670"/>
      <c r="G46" s="671"/>
      <c r="H46" t="s" s="666">
        <f>A25</f>
        <v>373</v>
      </c>
      <c r="I46" s="667"/>
      <c r="J46" s="667"/>
      <c r="K46" s="668"/>
      <c r="L46" s="669"/>
      <c r="M46" s="670"/>
      <c r="N46" s="618"/>
      <c r="O46" s="13"/>
      <c r="P46" s="13"/>
      <c r="Q46" s="13"/>
      <c r="R46" s="13"/>
      <c r="S46" s="13"/>
      <c r="T46" s="13"/>
      <c r="U46" s="13"/>
      <c r="V46" s="13"/>
      <c r="W46" s="13"/>
      <c r="X46" s="13"/>
      <c r="Y46" s="13"/>
      <c r="Z46" s="13"/>
      <c r="AA46" s="13"/>
      <c r="AB46" s="13"/>
      <c r="AC46" s="13"/>
      <c r="AD46" s="13"/>
      <c r="AE46" s="13"/>
      <c r="AF46" s="14"/>
    </row>
    <row r="47" ht="15" customHeight="1">
      <c r="A47" t="s" s="666">
        <f>A26</f>
        <v>375</v>
      </c>
      <c r="B47" s="667"/>
      <c r="C47" s="667"/>
      <c r="D47" s="379"/>
      <c r="E47" s="379"/>
      <c r="F47" s="672"/>
      <c r="G47" s="671"/>
      <c r="H47" t="s" s="666">
        <f>A26</f>
        <v>375</v>
      </c>
      <c r="I47" s="667"/>
      <c r="J47" s="667"/>
      <c r="K47" s="379"/>
      <c r="L47" s="379"/>
      <c r="M47" s="672"/>
      <c r="N47" s="618"/>
      <c r="O47" s="13"/>
      <c r="P47" s="13"/>
      <c r="Q47" s="13"/>
      <c r="R47" s="13"/>
      <c r="S47" s="13"/>
      <c r="T47" s="13"/>
      <c r="U47" s="13"/>
      <c r="V47" s="13"/>
      <c r="W47" s="13"/>
      <c r="X47" s="13"/>
      <c r="Y47" s="13"/>
      <c r="Z47" s="13"/>
      <c r="AA47" s="13"/>
      <c r="AB47" s="13"/>
      <c r="AC47" s="13"/>
      <c r="AD47" s="13"/>
      <c r="AE47" s="13"/>
      <c r="AF47" s="14"/>
    </row>
    <row r="48" ht="15" customHeight="1">
      <c r="A48" t="s" s="666">
        <f>A27</f>
        <v>377</v>
      </c>
      <c r="B48" s="667"/>
      <c r="C48" s="667"/>
      <c r="D48" s="379"/>
      <c r="E48" s="379"/>
      <c r="F48" s="672"/>
      <c r="G48" s="671"/>
      <c r="H48" t="s" s="666">
        <f>A27</f>
        <v>377</v>
      </c>
      <c r="I48" s="667"/>
      <c r="J48" s="667"/>
      <c r="K48" s="379"/>
      <c r="L48" s="379"/>
      <c r="M48" s="672"/>
      <c r="N48" s="618"/>
      <c r="O48" s="13"/>
      <c r="P48" s="13"/>
      <c r="Q48" s="13"/>
      <c r="R48" s="13"/>
      <c r="S48" s="13"/>
      <c r="T48" s="13"/>
      <c r="U48" s="13"/>
      <c r="V48" s="13"/>
      <c r="W48" s="13"/>
      <c r="X48" s="13"/>
      <c r="Y48" s="13"/>
      <c r="Z48" s="13"/>
      <c r="AA48" s="13"/>
      <c r="AB48" s="13"/>
      <c r="AC48" s="13"/>
      <c r="AD48" s="13"/>
      <c r="AE48" s="13"/>
      <c r="AF48" s="14"/>
    </row>
    <row r="49" ht="15" customHeight="1">
      <c r="A49" t="s" s="666">
        <f>A28</f>
        <v>379</v>
      </c>
      <c r="B49" s="667"/>
      <c r="C49" s="667"/>
      <c r="D49" s="379"/>
      <c r="E49" s="379"/>
      <c r="F49" s="672"/>
      <c r="G49" s="671"/>
      <c r="H49" t="s" s="666">
        <f>A28</f>
        <v>379</v>
      </c>
      <c r="I49" s="667"/>
      <c r="J49" s="667"/>
      <c r="K49" s="379"/>
      <c r="L49" s="379"/>
      <c r="M49" s="672"/>
      <c r="N49" s="618"/>
      <c r="O49" s="13"/>
      <c r="P49" s="13"/>
      <c r="Q49" s="13"/>
      <c r="R49" s="13"/>
      <c r="S49" s="13"/>
      <c r="T49" s="13"/>
      <c r="U49" s="13"/>
      <c r="V49" s="13"/>
      <c r="W49" s="13"/>
      <c r="X49" s="13"/>
      <c r="Y49" s="13"/>
      <c r="Z49" s="13"/>
      <c r="AA49" s="13"/>
      <c r="AB49" s="13"/>
      <c r="AC49" s="13"/>
      <c r="AD49" s="13"/>
      <c r="AE49" s="13"/>
      <c r="AF49" s="14"/>
    </row>
    <row r="50" ht="15" customHeight="1">
      <c r="A50" t="s" s="673">
        <f>A29</f>
        <v>381</v>
      </c>
      <c r="B50" s="674"/>
      <c r="C50" s="674"/>
      <c r="D50" s="675"/>
      <c r="E50" s="675"/>
      <c r="F50" s="676"/>
      <c r="G50" s="671"/>
      <c r="H50" t="s" s="673">
        <f>A29</f>
        <v>381</v>
      </c>
      <c r="I50" s="674"/>
      <c r="J50" s="674"/>
      <c r="K50" s="675"/>
      <c r="L50" s="675"/>
      <c r="M50" s="676"/>
      <c r="N50" s="618"/>
      <c r="O50" s="13"/>
      <c r="P50" s="13"/>
      <c r="Q50" s="13"/>
      <c r="R50" s="13"/>
      <c r="S50" s="13"/>
      <c r="T50" s="13"/>
      <c r="U50" s="13"/>
      <c r="V50" s="13"/>
      <c r="W50" s="13"/>
      <c r="X50" s="13"/>
      <c r="Y50" s="13"/>
      <c r="Z50" s="13"/>
      <c r="AA50" s="13"/>
      <c r="AB50" s="13"/>
      <c r="AC50" s="13"/>
      <c r="AD50" s="13"/>
      <c r="AE50" s="13"/>
      <c r="AF50" s="14"/>
    </row>
    <row r="51" ht="15.75" customHeight="1">
      <c r="A51" s="689"/>
      <c r="B51" s="690"/>
      <c r="C51" s="690"/>
      <c r="D51" s="690"/>
      <c r="E51" s="690"/>
      <c r="F51" s="690"/>
      <c r="G51" s="517"/>
      <c r="H51" s="690"/>
      <c r="I51" s="690"/>
      <c r="J51" s="690"/>
      <c r="K51" s="690"/>
      <c r="L51" s="690"/>
      <c r="M51" s="690"/>
      <c r="N51" s="151"/>
      <c r="O51" s="151"/>
      <c r="P51" s="151"/>
      <c r="Q51" s="13"/>
      <c r="R51" s="13"/>
      <c r="S51" s="13"/>
      <c r="T51" s="13"/>
      <c r="U51" s="13"/>
      <c r="V51" s="13"/>
      <c r="W51" s="13"/>
      <c r="X51" s="13"/>
      <c r="Y51" s="13"/>
      <c r="Z51" s="13"/>
      <c r="AA51" s="13"/>
      <c r="AB51" s="13"/>
      <c r="AC51" s="13"/>
      <c r="AD51" s="13"/>
      <c r="AE51" s="13"/>
      <c r="AF51" s="14"/>
    </row>
    <row r="52" ht="34.5" customHeight="1">
      <c r="A52" t="s" s="313">
        <f>'Összetétel'!B67</f>
        <v>264</v>
      </c>
      <c r="B52" s="411"/>
      <c r="C52" s="411"/>
      <c r="D52" s="411"/>
      <c r="E52" s="411"/>
      <c r="F52" s="411"/>
      <c r="G52" s="411"/>
      <c r="H52" s="411"/>
      <c r="I52" s="411"/>
      <c r="J52" s="411"/>
      <c r="K52" s="411"/>
      <c r="L52" s="411"/>
      <c r="M52" s="407"/>
      <c r="N52" s="149"/>
      <c r="O52" s="151"/>
      <c r="P52" s="151"/>
      <c r="Q52" s="13"/>
      <c r="R52" s="13"/>
      <c r="S52" s="13"/>
      <c r="T52" s="13"/>
      <c r="U52" s="13"/>
      <c r="V52" s="13"/>
      <c r="W52" s="13"/>
      <c r="X52" s="13"/>
      <c r="Y52" s="13"/>
      <c r="Z52" s="13"/>
      <c r="AA52" s="13"/>
      <c r="AB52" s="13"/>
      <c r="AC52" s="13"/>
      <c r="AD52" s="13"/>
      <c r="AE52" s="13"/>
      <c r="AF52" s="14"/>
    </row>
    <row r="53" ht="15.75" customHeight="1">
      <c r="A53" s="691"/>
      <c r="B53" s="340"/>
      <c r="C53" s="340"/>
      <c r="D53" s="340"/>
      <c r="E53" s="340"/>
      <c r="F53" s="340"/>
      <c r="G53" s="512"/>
      <c r="H53" s="340"/>
      <c r="I53" s="340"/>
      <c r="J53" s="340"/>
      <c r="K53" s="340"/>
      <c r="L53" s="340"/>
      <c r="M53" s="340"/>
      <c r="N53" s="151"/>
      <c r="O53" s="151"/>
      <c r="P53" s="151"/>
      <c r="Q53" s="13"/>
      <c r="R53" s="13"/>
      <c r="S53" s="13"/>
      <c r="T53" s="13"/>
      <c r="U53" s="13"/>
      <c r="V53" s="13"/>
      <c r="W53" s="13"/>
      <c r="X53" s="13"/>
      <c r="Y53" s="13"/>
      <c r="Z53" s="13"/>
      <c r="AA53" s="13"/>
      <c r="AB53" s="13"/>
      <c r="AC53" s="13"/>
      <c r="AD53" s="13"/>
      <c r="AE53" s="13"/>
      <c r="AF53" s="14"/>
    </row>
    <row r="54" ht="15.75" customHeight="1">
      <c r="A54" s="692"/>
      <c r="B54" s="151"/>
      <c r="C54" s="151"/>
      <c r="D54" s="151"/>
      <c r="E54" s="151"/>
      <c r="F54" s="151"/>
      <c r="G54" s="185"/>
      <c r="H54" s="151"/>
      <c r="I54" s="151"/>
      <c r="J54" s="151"/>
      <c r="K54" s="151"/>
      <c r="L54" s="151"/>
      <c r="M54" s="151"/>
      <c r="N54" s="151"/>
      <c r="O54" s="151"/>
      <c r="P54" s="151"/>
      <c r="Q54" s="13"/>
      <c r="R54" s="13"/>
      <c r="S54" s="13"/>
      <c r="T54" s="13"/>
      <c r="U54" s="13"/>
      <c r="V54" s="13"/>
      <c r="W54" s="13"/>
      <c r="X54" s="13"/>
      <c r="Y54" s="13"/>
      <c r="Z54" s="13"/>
      <c r="AA54" s="13"/>
      <c r="AB54" s="13"/>
      <c r="AC54" s="13"/>
      <c r="AD54" s="13"/>
      <c r="AE54" s="13"/>
      <c r="AF54" s="14"/>
    </row>
    <row r="55" ht="15.75" customHeight="1">
      <c r="A55" s="692"/>
      <c r="B55" s="151"/>
      <c r="C55" s="151"/>
      <c r="D55" s="151"/>
      <c r="E55" s="151"/>
      <c r="F55" s="151"/>
      <c r="G55" s="185"/>
      <c r="H55" s="151"/>
      <c r="I55" s="151"/>
      <c r="J55" s="151"/>
      <c r="K55" s="151"/>
      <c r="L55" s="151"/>
      <c r="M55" s="151"/>
      <c r="N55" s="151"/>
      <c r="O55" s="151"/>
      <c r="P55" s="151"/>
      <c r="Q55" s="13"/>
      <c r="R55" s="13"/>
      <c r="S55" s="13"/>
      <c r="T55" s="13"/>
      <c r="U55" s="13"/>
      <c r="V55" s="13"/>
      <c r="W55" s="13"/>
      <c r="X55" s="13"/>
      <c r="Y55" s="13"/>
      <c r="Z55" s="13"/>
      <c r="AA55" s="13"/>
      <c r="AB55" s="13"/>
      <c r="AC55" s="13"/>
      <c r="AD55" s="13"/>
      <c r="AE55" s="13"/>
      <c r="AF55" s="14"/>
    </row>
    <row r="56" ht="15.75" customHeight="1">
      <c r="A56" s="692"/>
      <c r="B56" s="151"/>
      <c r="C56" s="151"/>
      <c r="D56" s="151"/>
      <c r="E56" s="151"/>
      <c r="F56" s="151"/>
      <c r="G56" s="185"/>
      <c r="H56" s="151"/>
      <c r="I56" s="151"/>
      <c r="J56" s="151"/>
      <c r="K56" s="151"/>
      <c r="L56" s="151"/>
      <c r="M56" s="151"/>
      <c r="N56" s="151"/>
      <c r="O56" s="151"/>
      <c r="P56" s="151"/>
      <c r="Q56" s="13"/>
      <c r="R56" s="13"/>
      <c r="S56" s="13"/>
      <c r="T56" s="13"/>
      <c r="U56" s="13"/>
      <c r="V56" s="13"/>
      <c r="W56" s="13"/>
      <c r="X56" s="13"/>
      <c r="Y56" s="13"/>
      <c r="Z56" s="13"/>
      <c r="AA56" s="13"/>
      <c r="AB56" s="13"/>
      <c r="AC56" s="13"/>
      <c r="AD56" s="13"/>
      <c r="AE56" s="13"/>
      <c r="AF56" s="14"/>
    </row>
    <row r="57" ht="15.75" customHeight="1">
      <c r="A57" s="692"/>
      <c r="B57" s="151"/>
      <c r="C57" s="151"/>
      <c r="D57" s="151"/>
      <c r="E57" s="151"/>
      <c r="F57" s="151"/>
      <c r="G57" s="185"/>
      <c r="H57" s="151"/>
      <c r="I57" s="151"/>
      <c r="J57" s="151"/>
      <c r="K57" s="151"/>
      <c r="L57" s="151"/>
      <c r="M57" s="151"/>
      <c r="N57" s="151"/>
      <c r="O57" s="151"/>
      <c r="P57" s="151"/>
      <c r="Q57" s="13"/>
      <c r="R57" s="13"/>
      <c r="S57" s="13"/>
      <c r="T57" s="13"/>
      <c r="U57" s="13"/>
      <c r="V57" s="13"/>
      <c r="W57" s="13"/>
      <c r="X57" s="13"/>
      <c r="Y57" s="13"/>
      <c r="Z57" s="13"/>
      <c r="AA57" s="13"/>
      <c r="AB57" s="13"/>
      <c r="AC57" s="13"/>
      <c r="AD57" s="13"/>
      <c r="AE57" s="13"/>
      <c r="AF57" s="14"/>
    </row>
    <row r="58" ht="15.75" customHeight="1">
      <c r="A58" s="692"/>
      <c r="B58" s="151"/>
      <c r="C58" s="151"/>
      <c r="D58" s="151"/>
      <c r="E58" s="151"/>
      <c r="F58" s="151"/>
      <c r="G58" s="185"/>
      <c r="H58" s="151"/>
      <c r="I58" s="151"/>
      <c r="J58" s="151"/>
      <c r="K58" s="151"/>
      <c r="L58" s="151"/>
      <c r="M58" s="151"/>
      <c r="N58" s="151"/>
      <c r="O58" s="151"/>
      <c r="P58" s="151"/>
      <c r="Q58" s="13"/>
      <c r="R58" s="13"/>
      <c r="S58" s="13"/>
      <c r="T58" s="13"/>
      <c r="U58" s="13"/>
      <c r="V58" s="13"/>
      <c r="W58" s="13"/>
      <c r="X58" s="13"/>
      <c r="Y58" s="13"/>
      <c r="Z58" s="13"/>
      <c r="AA58" s="13"/>
      <c r="AB58" s="13"/>
      <c r="AC58" s="13"/>
      <c r="AD58" s="13"/>
      <c r="AE58" s="13"/>
      <c r="AF58" s="14"/>
    </row>
    <row r="59" ht="15.75" customHeight="1">
      <c r="A59" s="692"/>
      <c r="B59" s="151"/>
      <c r="C59" s="151"/>
      <c r="D59" s="151"/>
      <c r="E59" s="151"/>
      <c r="F59" s="151"/>
      <c r="G59" s="185"/>
      <c r="H59" s="151"/>
      <c r="I59" s="151"/>
      <c r="J59" s="151"/>
      <c r="K59" s="151"/>
      <c r="L59" s="151"/>
      <c r="M59" s="151"/>
      <c r="N59" s="151"/>
      <c r="O59" s="151"/>
      <c r="P59" s="151"/>
      <c r="Q59" s="13"/>
      <c r="R59" s="13"/>
      <c r="S59" s="13"/>
      <c r="T59" s="13"/>
      <c r="U59" s="13"/>
      <c r="V59" s="13"/>
      <c r="W59" s="13"/>
      <c r="X59" s="13"/>
      <c r="Y59" s="13"/>
      <c r="Z59" s="13"/>
      <c r="AA59" s="13"/>
      <c r="AB59" s="13"/>
      <c r="AC59" s="13"/>
      <c r="AD59" s="13"/>
      <c r="AE59" s="13"/>
      <c r="AF59" s="14"/>
    </row>
    <row r="60" ht="15.75" customHeight="1">
      <c r="A60" s="692"/>
      <c r="B60" s="151"/>
      <c r="C60" s="151"/>
      <c r="D60" s="151"/>
      <c r="E60" s="151"/>
      <c r="F60" s="151"/>
      <c r="G60" s="185"/>
      <c r="H60" s="151"/>
      <c r="I60" s="151"/>
      <c r="J60" s="151"/>
      <c r="K60" s="151"/>
      <c r="L60" s="151"/>
      <c r="M60" s="151"/>
      <c r="N60" s="151"/>
      <c r="O60" s="151"/>
      <c r="P60" s="151"/>
      <c r="Q60" s="13"/>
      <c r="R60" s="13"/>
      <c r="S60" s="13"/>
      <c r="T60" s="13"/>
      <c r="U60" s="13"/>
      <c r="V60" s="13"/>
      <c r="W60" s="13"/>
      <c r="X60" s="13"/>
      <c r="Y60" s="13"/>
      <c r="Z60" s="13"/>
      <c r="AA60" s="13"/>
      <c r="AB60" s="13"/>
      <c r="AC60" s="13"/>
      <c r="AD60" s="13"/>
      <c r="AE60" s="13"/>
      <c r="AF60" s="14"/>
    </row>
    <row r="61" ht="15.75" customHeight="1">
      <c r="A61" s="692"/>
      <c r="B61" s="151"/>
      <c r="C61" s="151"/>
      <c r="D61" s="151"/>
      <c r="E61" s="151"/>
      <c r="F61" s="151"/>
      <c r="G61" s="185"/>
      <c r="H61" s="151"/>
      <c r="I61" s="151"/>
      <c r="J61" s="151"/>
      <c r="K61" s="151"/>
      <c r="L61" s="151"/>
      <c r="M61" s="151"/>
      <c r="N61" s="151"/>
      <c r="O61" s="151"/>
      <c r="P61" s="151"/>
      <c r="Q61" s="13"/>
      <c r="R61" s="13"/>
      <c r="S61" s="13"/>
      <c r="T61" s="13"/>
      <c r="U61" s="13"/>
      <c r="V61" s="13"/>
      <c r="W61" s="13"/>
      <c r="X61" s="13"/>
      <c r="Y61" s="13"/>
      <c r="Z61" s="13"/>
      <c r="AA61" s="13"/>
      <c r="AB61" s="13"/>
      <c r="AC61" s="13"/>
      <c r="AD61" s="13"/>
      <c r="AE61" s="13"/>
      <c r="AF61" s="14"/>
    </row>
    <row r="62" ht="15.75" customHeight="1">
      <c r="A62" s="692"/>
      <c r="B62" s="151"/>
      <c r="C62" s="151"/>
      <c r="D62" s="151"/>
      <c r="E62" s="151"/>
      <c r="F62" s="151"/>
      <c r="G62" s="185"/>
      <c r="H62" s="151"/>
      <c r="I62" s="151"/>
      <c r="J62" s="151"/>
      <c r="K62" s="151"/>
      <c r="L62" s="151"/>
      <c r="M62" s="151"/>
      <c r="N62" s="151"/>
      <c r="O62" s="151"/>
      <c r="P62" s="151"/>
      <c r="Q62" s="13"/>
      <c r="R62" s="13"/>
      <c r="S62" s="13"/>
      <c r="T62" s="13"/>
      <c r="U62" s="13"/>
      <c r="V62" s="13"/>
      <c r="W62" s="13"/>
      <c r="X62" s="13"/>
      <c r="Y62" s="13"/>
      <c r="Z62" s="13"/>
      <c r="AA62" s="13"/>
      <c r="AB62" s="13"/>
      <c r="AC62" s="13"/>
      <c r="AD62" s="13"/>
      <c r="AE62" s="13"/>
      <c r="AF62" s="14"/>
    </row>
    <row r="63" ht="15.75" customHeight="1">
      <c r="A63" s="692"/>
      <c r="B63" s="151"/>
      <c r="C63" s="151"/>
      <c r="D63" s="151"/>
      <c r="E63" s="151"/>
      <c r="F63" s="151"/>
      <c r="G63" s="185"/>
      <c r="H63" s="151"/>
      <c r="I63" s="151"/>
      <c r="J63" s="151"/>
      <c r="K63" s="151"/>
      <c r="L63" s="151"/>
      <c r="M63" s="151"/>
      <c r="N63" s="151"/>
      <c r="O63" s="151"/>
      <c r="P63" s="151"/>
      <c r="Q63" s="13"/>
      <c r="R63" s="13"/>
      <c r="S63" s="13"/>
      <c r="T63" s="13"/>
      <c r="U63" s="13"/>
      <c r="V63" s="13"/>
      <c r="W63" s="13"/>
      <c r="X63" s="13"/>
      <c r="Y63" s="13"/>
      <c r="Z63" s="13"/>
      <c r="AA63" s="13"/>
      <c r="AB63" s="13"/>
      <c r="AC63" s="13"/>
      <c r="AD63" s="13"/>
      <c r="AE63" s="13"/>
      <c r="AF63" s="14"/>
    </row>
    <row r="64" ht="15.75" customHeight="1">
      <c r="A64" s="692"/>
      <c r="B64" s="151"/>
      <c r="C64" s="151"/>
      <c r="D64" s="151"/>
      <c r="E64" s="151"/>
      <c r="F64" s="151"/>
      <c r="G64" s="185"/>
      <c r="H64" s="151"/>
      <c r="I64" s="151"/>
      <c r="J64" s="151"/>
      <c r="K64" s="151"/>
      <c r="L64" s="151"/>
      <c r="M64" s="151"/>
      <c r="N64" s="151"/>
      <c r="O64" s="151"/>
      <c r="P64" s="151"/>
      <c r="Q64" s="13"/>
      <c r="R64" s="13"/>
      <c r="S64" s="13"/>
      <c r="T64" s="13"/>
      <c r="U64" s="13"/>
      <c r="V64" s="13"/>
      <c r="W64" s="13"/>
      <c r="X64" s="13"/>
      <c r="Y64" s="13"/>
      <c r="Z64" s="13"/>
      <c r="AA64" s="13"/>
      <c r="AB64" s="13"/>
      <c r="AC64" s="13"/>
      <c r="AD64" s="13"/>
      <c r="AE64" s="13"/>
      <c r="AF64" s="14"/>
    </row>
    <row r="65" ht="15.75" customHeight="1">
      <c r="A65" s="692"/>
      <c r="B65" s="151"/>
      <c r="C65" s="151"/>
      <c r="D65" s="151"/>
      <c r="E65" s="151"/>
      <c r="F65" s="151"/>
      <c r="G65" s="185"/>
      <c r="H65" s="151"/>
      <c r="I65" s="151"/>
      <c r="J65" s="151"/>
      <c r="K65" s="151"/>
      <c r="L65" s="151"/>
      <c r="M65" s="151"/>
      <c r="N65" s="151"/>
      <c r="O65" s="151"/>
      <c r="P65" s="151"/>
      <c r="Q65" s="13"/>
      <c r="R65" s="13"/>
      <c r="S65" s="13"/>
      <c r="T65" s="13"/>
      <c r="U65" s="13"/>
      <c r="V65" s="13"/>
      <c r="W65" s="13"/>
      <c r="X65" s="13"/>
      <c r="Y65" s="13"/>
      <c r="Z65" s="13"/>
      <c r="AA65" s="13"/>
      <c r="AB65" s="13"/>
      <c r="AC65" s="13"/>
      <c r="AD65" s="13"/>
      <c r="AE65" s="13"/>
      <c r="AF65" s="14"/>
    </row>
    <row r="66" ht="15.75" customHeight="1">
      <c r="A66" s="692"/>
      <c r="B66" s="151"/>
      <c r="C66" s="151"/>
      <c r="D66" s="151"/>
      <c r="E66" s="151"/>
      <c r="F66" s="151"/>
      <c r="G66" s="151"/>
      <c r="H66" s="151"/>
      <c r="I66" s="151"/>
      <c r="J66" s="151"/>
      <c r="K66" s="151"/>
      <c r="L66" s="151"/>
      <c r="M66" s="151"/>
      <c r="N66" s="151"/>
      <c r="O66" s="151"/>
      <c r="P66" s="151"/>
      <c r="Q66" s="13"/>
      <c r="R66" s="13"/>
      <c r="S66" s="13"/>
      <c r="T66" s="13"/>
      <c r="U66" s="13"/>
      <c r="V66" s="13"/>
      <c r="W66" s="13"/>
      <c r="X66" s="13"/>
      <c r="Y66" s="13"/>
      <c r="Z66" s="13"/>
      <c r="AA66" s="13"/>
      <c r="AB66" s="13"/>
      <c r="AC66" s="13"/>
      <c r="AD66" s="13"/>
      <c r="AE66" s="13"/>
      <c r="AF66" s="14"/>
    </row>
    <row r="67" ht="15.75" customHeight="1">
      <c r="A67" s="692"/>
      <c r="B67" s="151"/>
      <c r="C67" s="151"/>
      <c r="D67" s="151"/>
      <c r="E67" s="151"/>
      <c r="F67" s="151"/>
      <c r="G67" s="151"/>
      <c r="H67" s="151"/>
      <c r="I67" s="151"/>
      <c r="J67" s="151"/>
      <c r="K67" s="151"/>
      <c r="L67" s="151"/>
      <c r="M67" s="151"/>
      <c r="N67" s="151"/>
      <c r="O67" s="151"/>
      <c r="P67" s="151"/>
      <c r="Q67" s="13"/>
      <c r="R67" s="13"/>
      <c r="S67" s="13"/>
      <c r="T67" s="13"/>
      <c r="U67" s="13"/>
      <c r="V67" s="13"/>
      <c r="W67" s="13"/>
      <c r="X67" s="13"/>
      <c r="Y67" s="13"/>
      <c r="Z67" s="13"/>
      <c r="AA67" s="13"/>
      <c r="AB67" s="13"/>
      <c r="AC67" s="13"/>
      <c r="AD67" s="13"/>
      <c r="AE67" s="13"/>
      <c r="AF67" s="14"/>
    </row>
    <row r="68" ht="15.75" customHeight="1">
      <c r="A68" s="692"/>
      <c r="B68" s="151"/>
      <c r="C68" s="151"/>
      <c r="D68" s="151"/>
      <c r="E68" s="151"/>
      <c r="F68" s="151"/>
      <c r="G68" s="151"/>
      <c r="H68" s="151"/>
      <c r="I68" s="151"/>
      <c r="J68" s="151"/>
      <c r="K68" s="151"/>
      <c r="L68" s="151"/>
      <c r="M68" s="151"/>
      <c r="N68" s="151"/>
      <c r="O68" s="151"/>
      <c r="P68" s="151"/>
      <c r="Q68" s="13"/>
      <c r="R68" s="13"/>
      <c r="S68" s="13"/>
      <c r="T68" s="13"/>
      <c r="U68" s="13"/>
      <c r="V68" s="13"/>
      <c r="W68" s="13"/>
      <c r="X68" s="13"/>
      <c r="Y68" s="13"/>
      <c r="Z68" s="13"/>
      <c r="AA68" s="13"/>
      <c r="AB68" s="13"/>
      <c r="AC68" s="13"/>
      <c r="AD68" s="13"/>
      <c r="AE68" s="13"/>
      <c r="AF68" s="14"/>
    </row>
    <row r="69" ht="15.75" customHeight="1">
      <c r="A69" s="692"/>
      <c r="B69" s="151"/>
      <c r="C69" s="151"/>
      <c r="D69" s="151"/>
      <c r="E69" s="151"/>
      <c r="F69" s="151"/>
      <c r="G69" s="151"/>
      <c r="H69" s="151"/>
      <c r="I69" s="151"/>
      <c r="J69" s="151"/>
      <c r="K69" s="151"/>
      <c r="L69" s="151"/>
      <c r="M69" s="151"/>
      <c r="N69" s="151"/>
      <c r="O69" s="151"/>
      <c r="P69" s="151"/>
      <c r="Q69" s="13"/>
      <c r="R69" s="13"/>
      <c r="S69" s="13"/>
      <c r="T69" s="13"/>
      <c r="U69" s="13"/>
      <c r="V69" s="13"/>
      <c r="W69" s="13"/>
      <c r="X69" s="13"/>
      <c r="Y69" s="13"/>
      <c r="Z69" s="13"/>
      <c r="AA69" s="13"/>
      <c r="AB69" s="13"/>
      <c r="AC69" s="13"/>
      <c r="AD69" s="13"/>
      <c r="AE69" s="13"/>
      <c r="AF69" s="14"/>
    </row>
    <row r="70" ht="15.75" customHeight="1">
      <c r="A70" s="692"/>
      <c r="B70" s="151"/>
      <c r="C70" s="151"/>
      <c r="D70" s="151"/>
      <c r="E70" s="151"/>
      <c r="F70" s="151"/>
      <c r="G70" s="151"/>
      <c r="H70" s="151"/>
      <c r="I70" s="151"/>
      <c r="J70" s="151"/>
      <c r="K70" s="151"/>
      <c r="L70" s="151"/>
      <c r="M70" s="151"/>
      <c r="N70" s="151"/>
      <c r="O70" s="151"/>
      <c r="P70" s="151"/>
      <c r="Q70" s="13"/>
      <c r="R70" s="13"/>
      <c r="S70" s="13"/>
      <c r="T70" s="13"/>
      <c r="U70" s="13"/>
      <c r="V70" s="13"/>
      <c r="W70" s="13"/>
      <c r="X70" s="13"/>
      <c r="Y70" s="13"/>
      <c r="Z70" s="13"/>
      <c r="AA70" s="13"/>
      <c r="AB70" s="13"/>
      <c r="AC70" s="13"/>
      <c r="AD70" s="13"/>
      <c r="AE70" s="13"/>
      <c r="AF70" s="14"/>
    </row>
    <row r="71" ht="15.75" customHeight="1">
      <c r="A71" s="692"/>
      <c r="B71" s="151"/>
      <c r="C71" s="151"/>
      <c r="D71" s="151"/>
      <c r="E71" s="151"/>
      <c r="F71" s="151"/>
      <c r="G71" s="151"/>
      <c r="H71" s="151"/>
      <c r="I71" s="151"/>
      <c r="J71" s="151"/>
      <c r="K71" s="151"/>
      <c r="L71" s="151"/>
      <c r="M71" s="151"/>
      <c r="N71" s="151"/>
      <c r="O71" s="151"/>
      <c r="P71" s="151"/>
      <c r="Q71" s="13"/>
      <c r="R71" s="13"/>
      <c r="S71" s="13"/>
      <c r="T71" s="13"/>
      <c r="U71" s="13"/>
      <c r="V71" s="13"/>
      <c r="W71" s="13"/>
      <c r="X71" s="13"/>
      <c r="Y71" s="13"/>
      <c r="Z71" s="13"/>
      <c r="AA71" s="13"/>
      <c r="AB71" s="13"/>
      <c r="AC71" s="13"/>
      <c r="AD71" s="13"/>
      <c r="AE71" s="13"/>
      <c r="AF71" s="14"/>
    </row>
    <row r="72" ht="15.75" customHeight="1">
      <c r="A72" s="692"/>
      <c r="B72" s="151"/>
      <c r="C72" s="151"/>
      <c r="D72" s="151"/>
      <c r="E72" s="151"/>
      <c r="F72" s="151"/>
      <c r="G72" s="151"/>
      <c r="H72" s="151"/>
      <c r="I72" s="151"/>
      <c r="J72" s="151"/>
      <c r="K72" s="151"/>
      <c r="L72" s="151"/>
      <c r="M72" s="151"/>
      <c r="N72" s="151"/>
      <c r="O72" s="151"/>
      <c r="P72" s="151"/>
      <c r="Q72" s="13"/>
      <c r="R72" s="13"/>
      <c r="S72" s="13"/>
      <c r="T72" s="13"/>
      <c r="U72" s="13"/>
      <c r="V72" s="13"/>
      <c r="W72" s="13"/>
      <c r="X72" s="13"/>
      <c r="Y72" s="13"/>
      <c r="Z72" s="13"/>
      <c r="AA72" s="13"/>
      <c r="AB72" s="13"/>
      <c r="AC72" s="13"/>
      <c r="AD72" s="13"/>
      <c r="AE72" s="13"/>
      <c r="AF72" s="14"/>
    </row>
    <row r="73" ht="15.75" customHeight="1">
      <c r="A73" s="692"/>
      <c r="B73" s="151"/>
      <c r="C73" s="151"/>
      <c r="D73" s="151"/>
      <c r="E73" s="151"/>
      <c r="F73" s="151"/>
      <c r="G73" s="151"/>
      <c r="H73" s="151"/>
      <c r="I73" s="151"/>
      <c r="J73" s="151"/>
      <c r="K73" s="151"/>
      <c r="L73" s="151"/>
      <c r="M73" s="151"/>
      <c r="N73" s="151"/>
      <c r="O73" s="151"/>
      <c r="P73" s="151"/>
      <c r="Q73" s="13"/>
      <c r="R73" s="13"/>
      <c r="S73" s="13"/>
      <c r="T73" s="13"/>
      <c r="U73" s="13"/>
      <c r="V73" s="13"/>
      <c r="W73" s="13"/>
      <c r="X73" s="13"/>
      <c r="Y73" s="13"/>
      <c r="Z73" s="13"/>
      <c r="AA73" s="13"/>
      <c r="AB73" s="13"/>
      <c r="AC73" s="13"/>
      <c r="AD73" s="13"/>
      <c r="AE73" s="13"/>
      <c r="AF73" s="14"/>
    </row>
    <row r="74" ht="15.75" customHeight="1">
      <c r="A74" s="692"/>
      <c r="B74" s="151"/>
      <c r="C74" s="151"/>
      <c r="D74" s="151"/>
      <c r="E74" s="151"/>
      <c r="F74" s="151"/>
      <c r="G74" s="151"/>
      <c r="H74" s="151"/>
      <c r="I74" s="151"/>
      <c r="J74" s="151"/>
      <c r="K74" s="151"/>
      <c r="L74" s="151"/>
      <c r="M74" s="151"/>
      <c r="N74" s="151"/>
      <c r="O74" s="151"/>
      <c r="P74" s="151"/>
      <c r="Q74" s="13"/>
      <c r="R74" s="13"/>
      <c r="S74" s="13"/>
      <c r="T74" s="13"/>
      <c r="U74" s="13"/>
      <c r="V74" s="13"/>
      <c r="W74" s="13"/>
      <c r="X74" s="13"/>
      <c r="Y74" s="13"/>
      <c r="Z74" s="13"/>
      <c r="AA74" s="13"/>
      <c r="AB74" s="13"/>
      <c r="AC74" s="13"/>
      <c r="AD74" s="13"/>
      <c r="AE74" s="13"/>
      <c r="AF74" s="14"/>
    </row>
    <row r="75" ht="15.75" customHeight="1">
      <c r="A75" s="692"/>
      <c r="B75" s="151"/>
      <c r="C75" s="151"/>
      <c r="D75" s="151"/>
      <c r="E75" s="151"/>
      <c r="F75" s="151"/>
      <c r="G75" s="151"/>
      <c r="H75" s="151"/>
      <c r="I75" s="151"/>
      <c r="J75" s="151"/>
      <c r="K75" s="151"/>
      <c r="L75" s="151"/>
      <c r="M75" s="151"/>
      <c r="N75" s="151"/>
      <c r="O75" s="151"/>
      <c r="P75" s="151"/>
      <c r="Q75" s="13"/>
      <c r="R75" s="13"/>
      <c r="S75" s="13"/>
      <c r="T75" s="13"/>
      <c r="U75" s="13"/>
      <c r="V75" s="13"/>
      <c r="W75" s="13"/>
      <c r="X75" s="13"/>
      <c r="Y75" s="13"/>
      <c r="Z75" s="13"/>
      <c r="AA75" s="13"/>
      <c r="AB75" s="13"/>
      <c r="AC75" s="13"/>
      <c r="AD75" s="13"/>
      <c r="AE75" s="13"/>
      <c r="AF75" s="14"/>
    </row>
    <row r="76" ht="15.75" customHeight="1">
      <c r="A76" s="692"/>
      <c r="B76" s="151"/>
      <c r="C76" s="151"/>
      <c r="D76" s="151"/>
      <c r="E76" s="151"/>
      <c r="F76" s="151"/>
      <c r="G76" s="151"/>
      <c r="H76" s="151"/>
      <c r="I76" s="151"/>
      <c r="J76" s="151"/>
      <c r="K76" s="151"/>
      <c r="L76" s="151"/>
      <c r="M76" s="151"/>
      <c r="N76" s="151"/>
      <c r="O76" s="151"/>
      <c r="P76" s="151"/>
      <c r="Q76" s="13"/>
      <c r="R76" s="13"/>
      <c r="S76" s="13"/>
      <c r="T76" s="13"/>
      <c r="U76" s="13"/>
      <c r="V76" s="13"/>
      <c r="W76" s="13"/>
      <c r="X76" s="13"/>
      <c r="Y76" s="13"/>
      <c r="Z76" s="13"/>
      <c r="AA76" s="13"/>
      <c r="AB76" s="13"/>
      <c r="AC76" s="13"/>
      <c r="AD76" s="13"/>
      <c r="AE76" s="13"/>
      <c r="AF76" s="14"/>
    </row>
    <row r="77" ht="15.75" customHeight="1">
      <c r="A77" s="692"/>
      <c r="B77" s="151"/>
      <c r="C77" s="151"/>
      <c r="D77" s="151"/>
      <c r="E77" s="151"/>
      <c r="F77" s="151"/>
      <c r="G77" s="151"/>
      <c r="H77" s="151"/>
      <c r="I77" s="151"/>
      <c r="J77" s="151"/>
      <c r="K77" s="151"/>
      <c r="L77" s="151"/>
      <c r="M77" s="151"/>
      <c r="N77" s="151"/>
      <c r="O77" s="151"/>
      <c r="P77" s="151"/>
      <c r="Q77" s="13"/>
      <c r="R77" s="13"/>
      <c r="S77" s="13"/>
      <c r="T77" s="13"/>
      <c r="U77" s="13"/>
      <c r="V77" s="13"/>
      <c r="W77" s="13"/>
      <c r="X77" s="13"/>
      <c r="Y77" s="13"/>
      <c r="Z77" s="13"/>
      <c r="AA77" s="13"/>
      <c r="AB77" s="13"/>
      <c r="AC77" s="13"/>
      <c r="AD77" s="13"/>
      <c r="AE77" s="13"/>
      <c r="AF77" s="14"/>
    </row>
    <row r="78" ht="15.75" customHeight="1">
      <c r="A78" s="692"/>
      <c r="B78" s="151"/>
      <c r="C78" s="151"/>
      <c r="D78" s="151"/>
      <c r="E78" s="151"/>
      <c r="F78" s="151"/>
      <c r="G78" s="151"/>
      <c r="H78" s="151"/>
      <c r="I78" s="151"/>
      <c r="J78" s="151"/>
      <c r="K78" s="151"/>
      <c r="L78" s="151"/>
      <c r="M78" s="151"/>
      <c r="N78" s="151"/>
      <c r="O78" s="151"/>
      <c r="P78" s="151"/>
      <c r="Q78" s="13"/>
      <c r="R78" s="13"/>
      <c r="S78" s="13"/>
      <c r="T78" s="13"/>
      <c r="U78" s="13"/>
      <c r="V78" s="13"/>
      <c r="W78" s="13"/>
      <c r="X78" s="13"/>
      <c r="Y78" s="13"/>
      <c r="Z78" s="13"/>
      <c r="AA78" s="13"/>
      <c r="AB78" s="13"/>
      <c r="AC78" s="13"/>
      <c r="AD78" s="13"/>
      <c r="AE78" s="13"/>
      <c r="AF78" s="14"/>
    </row>
    <row r="79" ht="15.75" customHeight="1">
      <c r="A79" s="227"/>
      <c r="B79" s="227"/>
      <c r="C79" s="227"/>
      <c r="D79" s="227"/>
      <c r="E79" s="227"/>
      <c r="F79" s="227"/>
      <c r="G79" s="130"/>
      <c r="H79" s="151"/>
      <c r="I79" s="151"/>
      <c r="J79" s="151"/>
      <c r="K79" s="151"/>
      <c r="L79" s="151"/>
      <c r="M79" s="151"/>
      <c r="N79" s="151"/>
      <c r="O79" s="151"/>
      <c r="P79" s="151"/>
      <c r="Q79" s="13"/>
      <c r="R79" s="13"/>
      <c r="S79" s="13"/>
      <c r="T79" s="13"/>
      <c r="U79" s="13"/>
      <c r="V79" s="13"/>
      <c r="W79" s="13"/>
      <c r="X79" s="13"/>
      <c r="Y79" s="13"/>
      <c r="Z79" s="13"/>
      <c r="AA79" s="13"/>
      <c r="AB79" s="13"/>
      <c r="AC79" s="13"/>
      <c r="AD79" s="13"/>
      <c r="AE79" s="13"/>
      <c r="AF79" s="14"/>
    </row>
    <row r="80" ht="15.75" customHeight="1">
      <c r="A80" s="142"/>
      <c r="B80" s="142"/>
      <c r="C80" s="142"/>
      <c r="D80" s="142"/>
      <c r="E80" s="142"/>
      <c r="F80" s="142"/>
      <c r="G80" s="146"/>
      <c r="H80" s="151"/>
      <c r="I80" s="151"/>
      <c r="J80" s="151"/>
      <c r="K80" s="151"/>
      <c r="L80" s="151"/>
      <c r="M80" s="151"/>
      <c r="N80" s="151"/>
      <c r="O80" s="151"/>
      <c r="P80" s="151"/>
      <c r="Q80" s="13"/>
      <c r="R80" s="13"/>
      <c r="S80" s="13"/>
      <c r="T80" s="13"/>
      <c r="U80" s="13"/>
      <c r="V80" s="13"/>
      <c r="W80" s="13"/>
      <c r="X80" s="13"/>
      <c r="Y80" s="13"/>
      <c r="Z80" s="13"/>
      <c r="AA80" s="13"/>
      <c r="AB80" s="13"/>
      <c r="AC80" s="13"/>
      <c r="AD80" s="13"/>
      <c r="AE80" s="13"/>
      <c r="AF80" s="14"/>
    </row>
    <row r="81" ht="15.75" customHeight="1">
      <c r="A81" s="142"/>
      <c r="B81" s="142"/>
      <c r="C81" s="142"/>
      <c r="D81" s="142"/>
      <c r="E81" s="142"/>
      <c r="F81" s="142"/>
      <c r="G81" s="146"/>
      <c r="H81" s="151"/>
      <c r="I81" s="151"/>
      <c r="J81" s="151"/>
      <c r="K81" s="151"/>
      <c r="L81" s="151"/>
      <c r="M81" s="151"/>
      <c r="N81" s="151"/>
      <c r="O81" s="151"/>
      <c r="P81" s="151"/>
      <c r="Q81" s="13"/>
      <c r="R81" s="13"/>
      <c r="S81" s="13"/>
      <c r="T81" s="13"/>
      <c r="U81" s="13"/>
      <c r="V81" s="13"/>
      <c r="W81" s="13"/>
      <c r="X81" s="13"/>
      <c r="Y81" s="13"/>
      <c r="Z81" s="13"/>
      <c r="AA81" s="13"/>
      <c r="AB81" s="13"/>
      <c r="AC81" s="13"/>
      <c r="AD81" s="13"/>
      <c r="AE81" s="13"/>
      <c r="AF81" s="14"/>
    </row>
    <row r="82" ht="15.75" customHeight="1">
      <c r="A82" s="142"/>
      <c r="B82" s="142"/>
      <c r="C82" s="142"/>
      <c r="D82" s="142"/>
      <c r="E82" s="142"/>
      <c r="F82" s="142"/>
      <c r="G82" s="146"/>
      <c r="H82" s="151"/>
      <c r="I82" s="151"/>
      <c r="J82" s="151"/>
      <c r="K82" s="151"/>
      <c r="L82" s="151"/>
      <c r="M82" s="151"/>
      <c r="N82" s="151"/>
      <c r="O82" s="151"/>
      <c r="P82" s="151"/>
      <c r="Q82" s="13"/>
      <c r="R82" s="13"/>
      <c r="S82" s="13"/>
      <c r="T82" s="13"/>
      <c r="U82" s="13"/>
      <c r="V82" s="13"/>
      <c r="W82" s="13"/>
      <c r="X82" s="13"/>
      <c r="Y82" s="13"/>
      <c r="Z82" s="13"/>
      <c r="AA82" s="13"/>
      <c r="AB82" s="13"/>
      <c r="AC82" s="13"/>
      <c r="AD82" s="13"/>
      <c r="AE82" s="13"/>
      <c r="AF82" s="14"/>
    </row>
    <row r="83" ht="13.65" customHeight="1">
      <c r="A83" s="142"/>
      <c r="B83" s="142"/>
      <c r="C83" s="142"/>
      <c r="D83" s="142"/>
      <c r="E83" s="142"/>
      <c r="F83" s="142"/>
      <c r="G83" s="142"/>
      <c r="H83" s="227"/>
      <c r="I83" s="227"/>
      <c r="J83" s="227"/>
      <c r="K83" s="227"/>
      <c r="L83" s="130"/>
      <c r="M83" s="13"/>
      <c r="N83" s="13"/>
      <c r="O83" s="13"/>
      <c r="P83" s="13"/>
      <c r="Q83" s="13"/>
      <c r="R83" s="13"/>
      <c r="S83" s="13"/>
      <c r="T83" s="13"/>
      <c r="U83" s="13"/>
      <c r="V83" s="13"/>
      <c r="W83" s="13"/>
      <c r="X83" s="13"/>
      <c r="Y83" s="13"/>
      <c r="Z83" s="13"/>
      <c r="AA83" s="13"/>
      <c r="AB83" s="13"/>
      <c r="AC83" s="13"/>
      <c r="AD83" s="13"/>
      <c r="AE83" s="13"/>
      <c r="AF83" s="14"/>
    </row>
    <row r="84" ht="13.65" customHeight="1">
      <c r="A84" s="142"/>
      <c r="B84" s="142"/>
      <c r="C84" s="142"/>
      <c r="D84" s="142"/>
      <c r="E84" s="142"/>
      <c r="F84" s="142"/>
      <c r="G84" s="142"/>
      <c r="H84" s="142"/>
      <c r="I84" s="142"/>
      <c r="J84" s="142"/>
      <c r="K84" s="142"/>
      <c r="L84" s="146"/>
      <c r="M84" s="13"/>
      <c r="N84" s="13"/>
      <c r="O84" s="13"/>
      <c r="P84" s="13"/>
      <c r="Q84" s="13"/>
      <c r="R84" s="13"/>
      <c r="S84" s="13"/>
      <c r="T84" s="13"/>
      <c r="U84" s="13"/>
      <c r="V84" s="13"/>
      <c r="W84" s="13"/>
      <c r="X84" s="13"/>
      <c r="Y84" s="13"/>
      <c r="Z84" s="13"/>
      <c r="AA84" s="13"/>
      <c r="AB84" s="13"/>
      <c r="AC84" s="13"/>
      <c r="AD84" s="13"/>
      <c r="AE84" s="13"/>
      <c r="AF84" s="14"/>
    </row>
    <row r="85" ht="13.65" customHeight="1">
      <c r="A85" s="142"/>
      <c r="B85" s="142"/>
      <c r="C85" s="142"/>
      <c r="D85" s="142"/>
      <c r="E85" s="142"/>
      <c r="F85" s="142"/>
      <c r="G85" s="142"/>
      <c r="H85" s="142"/>
      <c r="I85" s="142"/>
      <c r="J85" s="142"/>
      <c r="K85" s="142"/>
      <c r="L85" s="146"/>
      <c r="M85" s="13"/>
      <c r="N85" s="13"/>
      <c r="O85" s="13"/>
      <c r="P85" s="13"/>
      <c r="Q85" s="13"/>
      <c r="R85" s="13"/>
      <c r="S85" s="13"/>
      <c r="T85" s="13"/>
      <c r="U85" s="13"/>
      <c r="V85" s="13"/>
      <c r="W85" s="13"/>
      <c r="X85" s="13"/>
      <c r="Y85" s="13"/>
      <c r="Z85" s="13"/>
      <c r="AA85" s="13"/>
      <c r="AB85" s="13"/>
      <c r="AC85" s="13"/>
      <c r="AD85" s="13"/>
      <c r="AE85" s="13"/>
      <c r="AF85" s="14"/>
    </row>
    <row r="86" ht="13.65" customHeight="1">
      <c r="A86" s="142"/>
      <c r="B86" s="142"/>
      <c r="C86" s="142"/>
      <c r="D86" s="142"/>
      <c r="E86" s="142"/>
      <c r="F86" s="142"/>
      <c r="G86" s="142"/>
      <c r="H86" s="142"/>
      <c r="I86" s="142"/>
      <c r="J86" s="142"/>
      <c r="K86" s="142"/>
      <c r="L86" s="146"/>
      <c r="M86" s="13"/>
      <c r="N86" s="13"/>
      <c r="O86" s="13"/>
      <c r="P86" s="13"/>
      <c r="Q86" s="13"/>
      <c r="R86" s="13"/>
      <c r="S86" s="13"/>
      <c r="T86" s="13"/>
      <c r="U86" s="13"/>
      <c r="V86" s="13"/>
      <c r="W86" s="13"/>
      <c r="X86" s="13"/>
      <c r="Y86" s="13"/>
      <c r="Z86" s="13"/>
      <c r="AA86" s="13"/>
      <c r="AB86" s="13"/>
      <c r="AC86" s="13"/>
      <c r="AD86" s="13"/>
      <c r="AE86" s="13"/>
      <c r="AF86" s="14"/>
    </row>
    <row r="87" ht="13.65" customHeight="1">
      <c r="A87" s="142"/>
      <c r="B87" s="142"/>
      <c r="C87" s="142"/>
      <c r="D87" s="142"/>
      <c r="E87" s="142"/>
      <c r="F87" s="142"/>
      <c r="G87" s="142"/>
      <c r="H87" s="142"/>
      <c r="I87" s="142"/>
      <c r="J87" s="142"/>
      <c r="K87" s="142"/>
      <c r="L87" s="146"/>
      <c r="M87" s="13"/>
      <c r="N87" s="13"/>
      <c r="O87" s="13"/>
      <c r="P87" s="13"/>
      <c r="Q87" s="13"/>
      <c r="R87" s="13"/>
      <c r="S87" s="13"/>
      <c r="T87" s="13"/>
      <c r="U87" s="13"/>
      <c r="V87" s="13"/>
      <c r="W87" s="13"/>
      <c r="X87" s="13"/>
      <c r="Y87" s="13"/>
      <c r="Z87" s="13"/>
      <c r="AA87" s="13"/>
      <c r="AB87" s="13"/>
      <c r="AC87" s="13"/>
      <c r="AD87" s="13"/>
      <c r="AE87" s="13"/>
      <c r="AF87" s="14"/>
    </row>
    <row r="88" ht="13.65" customHeight="1">
      <c r="A88" s="142"/>
      <c r="B88" s="142"/>
      <c r="C88" s="142"/>
      <c r="D88" s="142"/>
      <c r="E88" s="142"/>
      <c r="F88" s="142"/>
      <c r="G88" s="142"/>
      <c r="H88" s="142"/>
      <c r="I88" s="142"/>
      <c r="J88" s="142"/>
      <c r="K88" s="142"/>
      <c r="L88" s="146"/>
      <c r="M88" s="13"/>
      <c r="N88" s="13"/>
      <c r="O88" s="13"/>
      <c r="P88" s="13"/>
      <c r="Q88" s="13"/>
      <c r="R88" s="13"/>
      <c r="S88" s="13"/>
      <c r="T88" s="13"/>
      <c r="U88" s="13"/>
      <c r="V88" s="13"/>
      <c r="W88" s="13"/>
      <c r="X88" s="13"/>
      <c r="Y88" s="13"/>
      <c r="Z88" s="13"/>
      <c r="AA88" s="13"/>
      <c r="AB88" s="13"/>
      <c r="AC88" s="13"/>
      <c r="AD88" s="13"/>
      <c r="AE88" s="13"/>
      <c r="AF88" s="14"/>
    </row>
    <row r="89" ht="13.65" customHeight="1">
      <c r="A89" s="142"/>
      <c r="B89" s="142"/>
      <c r="C89" s="142"/>
      <c r="D89" s="142"/>
      <c r="E89" s="142"/>
      <c r="F89" s="142"/>
      <c r="G89" s="142"/>
      <c r="H89" s="142"/>
      <c r="I89" s="142"/>
      <c r="J89" s="142"/>
      <c r="K89" s="142"/>
      <c r="L89" s="146"/>
      <c r="M89" s="13"/>
      <c r="N89" s="13"/>
      <c r="O89" s="13"/>
      <c r="P89" s="13"/>
      <c r="Q89" s="13"/>
      <c r="R89" s="13"/>
      <c r="S89" s="13"/>
      <c r="T89" s="13"/>
      <c r="U89" s="13"/>
      <c r="V89" s="13"/>
      <c r="W89" s="13"/>
      <c r="X89" s="13"/>
      <c r="Y89" s="13"/>
      <c r="Z89" s="13"/>
      <c r="AA89" s="13"/>
      <c r="AB89" s="13"/>
      <c r="AC89" s="13"/>
      <c r="AD89" s="13"/>
      <c r="AE89" s="13"/>
      <c r="AF89" s="14"/>
    </row>
    <row r="90" ht="13.65" customHeight="1">
      <c r="A90" s="142"/>
      <c r="B90" s="142"/>
      <c r="C90" s="142"/>
      <c r="D90" s="142"/>
      <c r="E90" s="142"/>
      <c r="F90" s="142"/>
      <c r="G90" s="142"/>
      <c r="H90" s="142"/>
      <c r="I90" s="142"/>
      <c r="J90" s="142"/>
      <c r="K90" s="142"/>
      <c r="L90" s="146"/>
      <c r="M90" s="13"/>
      <c r="N90" s="13"/>
      <c r="O90" s="13"/>
      <c r="P90" s="13"/>
      <c r="Q90" s="13"/>
      <c r="R90" s="13"/>
      <c r="S90" s="13"/>
      <c r="T90" s="13"/>
      <c r="U90" s="13"/>
      <c r="V90" s="13"/>
      <c r="W90" s="13"/>
      <c r="X90" s="13"/>
      <c r="Y90" s="13"/>
      <c r="Z90" s="13"/>
      <c r="AA90" s="13"/>
      <c r="AB90" s="13"/>
      <c r="AC90" s="13"/>
      <c r="AD90" s="13"/>
      <c r="AE90" s="13"/>
      <c r="AF90" s="14"/>
    </row>
    <row r="91" ht="13.65" customHeight="1">
      <c r="A91" s="142"/>
      <c r="B91" s="142"/>
      <c r="C91" s="142"/>
      <c r="D91" s="142"/>
      <c r="E91" s="142"/>
      <c r="F91" s="142"/>
      <c r="G91" s="142"/>
      <c r="H91" s="142"/>
      <c r="I91" s="142"/>
      <c r="J91" s="142"/>
      <c r="K91" s="142"/>
      <c r="L91" s="146"/>
      <c r="M91" s="13"/>
      <c r="N91" s="13"/>
      <c r="O91" s="13"/>
      <c r="P91" s="13"/>
      <c r="Q91" s="13"/>
      <c r="R91" s="13"/>
      <c r="S91" s="13"/>
      <c r="T91" s="13"/>
      <c r="U91" s="13"/>
      <c r="V91" s="13"/>
      <c r="W91" s="13"/>
      <c r="X91" s="13"/>
      <c r="Y91" s="13"/>
      <c r="Z91" s="13"/>
      <c r="AA91" s="13"/>
      <c r="AB91" s="13"/>
      <c r="AC91" s="13"/>
      <c r="AD91" s="13"/>
      <c r="AE91" s="13"/>
      <c r="AF91" s="14"/>
    </row>
    <row r="92" ht="13.65" customHeight="1">
      <c r="A92" s="142"/>
      <c r="B92" s="142"/>
      <c r="C92" s="142"/>
      <c r="D92" s="142"/>
      <c r="E92" s="142"/>
      <c r="F92" s="142"/>
      <c r="G92" s="142"/>
      <c r="H92" s="142"/>
      <c r="I92" s="142"/>
      <c r="J92" s="142"/>
      <c r="K92" s="142"/>
      <c r="L92" s="146"/>
      <c r="M92" s="13"/>
      <c r="N92" s="13"/>
      <c r="O92" s="13"/>
      <c r="P92" s="13"/>
      <c r="Q92" s="13"/>
      <c r="R92" s="13"/>
      <c r="S92" s="13"/>
      <c r="T92" s="13"/>
      <c r="U92" s="13"/>
      <c r="V92" s="13"/>
      <c r="W92" s="13"/>
      <c r="X92" s="13"/>
      <c r="Y92" s="13"/>
      <c r="Z92" s="13"/>
      <c r="AA92" s="13"/>
      <c r="AB92" s="13"/>
      <c r="AC92" s="13"/>
      <c r="AD92" s="13"/>
      <c r="AE92" s="13"/>
      <c r="AF92" s="14"/>
    </row>
    <row r="93" ht="13.65" customHeight="1">
      <c r="A93" s="142"/>
      <c r="B93" s="142"/>
      <c r="C93" s="142"/>
      <c r="D93" s="142"/>
      <c r="E93" s="142"/>
      <c r="F93" s="142"/>
      <c r="G93" s="142"/>
      <c r="H93" s="142"/>
      <c r="I93" s="142"/>
      <c r="J93" s="142"/>
      <c r="K93" s="142"/>
      <c r="L93" s="146"/>
      <c r="M93" s="13"/>
      <c r="N93" s="13"/>
      <c r="O93" s="13"/>
      <c r="P93" s="13"/>
      <c r="Q93" s="13"/>
      <c r="R93" s="13"/>
      <c r="S93" s="13"/>
      <c r="T93" s="13"/>
      <c r="U93" s="13"/>
      <c r="V93" s="13"/>
      <c r="W93" s="13"/>
      <c r="X93" s="13"/>
      <c r="Y93" s="13"/>
      <c r="Z93" s="13"/>
      <c r="AA93" s="13"/>
      <c r="AB93" s="13"/>
      <c r="AC93" s="13"/>
      <c r="AD93" s="13"/>
      <c r="AE93" s="13"/>
      <c r="AF93" s="14"/>
    </row>
    <row r="94" ht="13.65" customHeight="1">
      <c r="A94" s="142"/>
      <c r="B94" s="142"/>
      <c r="C94" s="142"/>
      <c r="D94" s="142"/>
      <c r="E94" s="142"/>
      <c r="F94" s="142"/>
      <c r="G94" s="142"/>
      <c r="H94" s="142"/>
      <c r="I94" s="142"/>
      <c r="J94" s="142"/>
      <c r="K94" s="142"/>
      <c r="L94" s="146"/>
      <c r="M94" s="13"/>
      <c r="N94" s="13"/>
      <c r="O94" s="13"/>
      <c r="P94" s="13"/>
      <c r="Q94" s="13"/>
      <c r="R94" s="13"/>
      <c r="S94" s="13"/>
      <c r="T94" s="13"/>
      <c r="U94" s="13"/>
      <c r="V94" s="13"/>
      <c r="W94" s="13"/>
      <c r="X94" s="13"/>
      <c r="Y94" s="13"/>
      <c r="Z94" s="13"/>
      <c r="AA94" s="13"/>
      <c r="AB94" s="13"/>
      <c r="AC94" s="13"/>
      <c r="AD94" s="13"/>
      <c r="AE94" s="13"/>
      <c r="AF94" s="14"/>
    </row>
    <row r="95" ht="13.65" customHeight="1">
      <c r="A95" s="142"/>
      <c r="B95" s="142"/>
      <c r="C95" s="142"/>
      <c r="D95" s="142"/>
      <c r="E95" s="142"/>
      <c r="F95" s="142"/>
      <c r="G95" s="142"/>
      <c r="H95" s="142"/>
      <c r="I95" s="142"/>
      <c r="J95" s="142"/>
      <c r="K95" s="142"/>
      <c r="L95" s="146"/>
      <c r="M95" s="13"/>
      <c r="N95" s="13"/>
      <c r="O95" s="13"/>
      <c r="P95" s="13"/>
      <c r="Q95" s="13"/>
      <c r="R95" s="13"/>
      <c r="S95" s="13"/>
      <c r="T95" s="13"/>
      <c r="U95" s="13"/>
      <c r="V95" s="13"/>
      <c r="W95" s="13"/>
      <c r="X95" s="13"/>
      <c r="Y95" s="13"/>
      <c r="Z95" s="13"/>
      <c r="AA95" s="13"/>
      <c r="AB95" s="13"/>
      <c r="AC95" s="13"/>
      <c r="AD95" s="13"/>
      <c r="AE95" s="13"/>
      <c r="AF95" s="14"/>
    </row>
    <row r="96" ht="13.65" customHeight="1">
      <c r="A96" s="142"/>
      <c r="B96" s="142"/>
      <c r="C96" s="142"/>
      <c r="D96" s="142"/>
      <c r="E96" s="142"/>
      <c r="F96" s="142"/>
      <c r="G96" s="142"/>
      <c r="H96" s="142"/>
      <c r="I96" s="142"/>
      <c r="J96" s="142"/>
      <c r="K96" s="142"/>
      <c r="L96" s="146"/>
      <c r="M96" s="13"/>
      <c r="N96" s="13"/>
      <c r="O96" s="13"/>
      <c r="P96" s="13"/>
      <c r="Q96" s="13"/>
      <c r="R96" s="13"/>
      <c r="S96" s="13"/>
      <c r="T96" s="13"/>
      <c r="U96" s="13"/>
      <c r="V96" s="13"/>
      <c r="W96" s="13"/>
      <c r="X96" s="13"/>
      <c r="Y96" s="13"/>
      <c r="Z96" s="13"/>
      <c r="AA96" s="13"/>
      <c r="AB96" s="13"/>
      <c r="AC96" s="13"/>
      <c r="AD96" s="13"/>
      <c r="AE96" s="13"/>
      <c r="AF96" s="14"/>
    </row>
    <row r="97" ht="13.65" customHeight="1">
      <c r="A97" s="142"/>
      <c r="B97" s="142"/>
      <c r="C97" s="142"/>
      <c r="D97" s="142"/>
      <c r="E97" s="142"/>
      <c r="F97" s="142"/>
      <c r="G97" s="142"/>
      <c r="H97" s="142"/>
      <c r="I97" s="142"/>
      <c r="J97" s="142"/>
      <c r="K97" s="142"/>
      <c r="L97" s="146"/>
      <c r="M97" s="13"/>
      <c r="N97" s="13"/>
      <c r="O97" s="13"/>
      <c r="P97" s="13"/>
      <c r="Q97" s="13"/>
      <c r="R97" s="13"/>
      <c r="S97" s="13"/>
      <c r="T97" s="13"/>
      <c r="U97" s="13"/>
      <c r="V97" s="13"/>
      <c r="W97" s="13"/>
      <c r="X97" s="13"/>
      <c r="Y97" s="13"/>
      <c r="Z97" s="13"/>
      <c r="AA97" s="13"/>
      <c r="AB97" s="13"/>
      <c r="AC97" s="13"/>
      <c r="AD97" s="13"/>
      <c r="AE97" s="13"/>
      <c r="AF97" s="14"/>
    </row>
    <row r="98" ht="13.65" customHeight="1">
      <c r="A98" s="142"/>
      <c r="B98" s="142"/>
      <c r="C98" s="142"/>
      <c r="D98" s="142"/>
      <c r="E98" s="142"/>
      <c r="F98" s="142"/>
      <c r="G98" s="142"/>
      <c r="H98" s="142"/>
      <c r="I98" s="142"/>
      <c r="J98" s="142"/>
      <c r="K98" s="142"/>
      <c r="L98" s="146"/>
      <c r="M98" s="13"/>
      <c r="N98" s="13"/>
      <c r="O98" s="13"/>
      <c r="P98" s="13"/>
      <c r="Q98" s="13"/>
      <c r="R98" s="13"/>
      <c r="S98" s="13"/>
      <c r="T98" s="13"/>
      <c r="U98" s="13"/>
      <c r="V98" s="13"/>
      <c r="W98" s="13"/>
      <c r="X98" s="13"/>
      <c r="Y98" s="13"/>
      <c r="Z98" s="13"/>
      <c r="AA98" s="13"/>
      <c r="AB98" s="13"/>
      <c r="AC98" s="13"/>
      <c r="AD98" s="13"/>
      <c r="AE98" s="13"/>
      <c r="AF98" s="14"/>
    </row>
    <row r="99" ht="13.65" customHeight="1">
      <c r="A99" s="142"/>
      <c r="B99" s="142"/>
      <c r="C99" s="142"/>
      <c r="D99" s="142"/>
      <c r="E99" s="142"/>
      <c r="F99" s="142"/>
      <c r="G99" s="142"/>
      <c r="H99" s="142"/>
      <c r="I99" s="142"/>
      <c r="J99" s="142"/>
      <c r="K99" s="142"/>
      <c r="L99" s="146"/>
      <c r="M99" s="13"/>
      <c r="N99" s="13"/>
      <c r="O99" s="13"/>
      <c r="P99" s="13"/>
      <c r="Q99" s="13"/>
      <c r="R99" s="13"/>
      <c r="S99" s="13"/>
      <c r="T99" s="13"/>
      <c r="U99" s="13"/>
      <c r="V99" s="13"/>
      <c r="W99" s="13"/>
      <c r="X99" s="13"/>
      <c r="Y99" s="13"/>
      <c r="Z99" s="13"/>
      <c r="AA99" s="13"/>
      <c r="AB99" s="13"/>
      <c r="AC99" s="13"/>
      <c r="AD99" s="13"/>
      <c r="AE99" s="13"/>
      <c r="AF99" s="14"/>
    </row>
    <row r="100" ht="13.65" customHeight="1">
      <c r="A100" s="142"/>
      <c r="B100" s="142"/>
      <c r="C100" s="142"/>
      <c r="D100" s="142"/>
      <c r="E100" s="142"/>
      <c r="F100" s="142"/>
      <c r="G100" s="142"/>
      <c r="H100" s="142"/>
      <c r="I100" s="142"/>
      <c r="J100" s="142"/>
      <c r="K100" s="142"/>
      <c r="L100" s="146"/>
      <c r="M100" s="13"/>
      <c r="N100" s="13"/>
      <c r="O100" s="13"/>
      <c r="P100" s="13"/>
      <c r="Q100" s="13"/>
      <c r="R100" s="13"/>
      <c r="S100" s="13"/>
      <c r="T100" s="13"/>
      <c r="U100" s="13"/>
      <c r="V100" s="13"/>
      <c r="W100" s="13"/>
      <c r="X100" s="13"/>
      <c r="Y100" s="13"/>
      <c r="Z100" s="13"/>
      <c r="AA100" s="13"/>
      <c r="AB100" s="13"/>
      <c r="AC100" s="13"/>
      <c r="AD100" s="13"/>
      <c r="AE100" s="13"/>
      <c r="AF100" s="14"/>
    </row>
    <row r="101" ht="13.65" customHeight="1">
      <c r="A101" s="142"/>
      <c r="B101" s="142"/>
      <c r="C101" s="142"/>
      <c r="D101" s="142"/>
      <c r="E101" s="142"/>
      <c r="F101" s="142"/>
      <c r="G101" s="142"/>
      <c r="H101" s="142"/>
      <c r="I101" s="142"/>
      <c r="J101" s="142"/>
      <c r="K101" s="142"/>
      <c r="L101" s="146"/>
      <c r="M101" s="13"/>
      <c r="N101" s="13"/>
      <c r="O101" s="13"/>
      <c r="P101" s="13"/>
      <c r="Q101" s="13"/>
      <c r="R101" s="13"/>
      <c r="S101" s="13"/>
      <c r="T101" s="13"/>
      <c r="U101" s="13"/>
      <c r="V101" s="13"/>
      <c r="W101" s="13"/>
      <c r="X101" s="13"/>
      <c r="Y101" s="13"/>
      <c r="Z101" s="13"/>
      <c r="AA101" s="13"/>
      <c r="AB101" s="13"/>
      <c r="AC101" s="13"/>
      <c r="AD101" s="13"/>
      <c r="AE101" s="13"/>
      <c r="AF101" s="14"/>
    </row>
    <row r="102" ht="13.65" customHeight="1">
      <c r="A102" s="142"/>
      <c r="B102" s="142"/>
      <c r="C102" s="142"/>
      <c r="D102" s="142"/>
      <c r="E102" s="142"/>
      <c r="F102" s="142"/>
      <c r="G102" s="142"/>
      <c r="H102" s="142"/>
      <c r="I102" s="142"/>
      <c r="J102" s="142"/>
      <c r="K102" s="142"/>
      <c r="L102" s="146"/>
      <c r="M102" s="13"/>
      <c r="N102" s="13"/>
      <c r="O102" s="13"/>
      <c r="P102" s="13"/>
      <c r="Q102" s="13"/>
      <c r="R102" s="13"/>
      <c r="S102" s="13"/>
      <c r="T102" s="13"/>
      <c r="U102" s="13"/>
      <c r="V102" s="13"/>
      <c r="W102" s="13"/>
      <c r="X102" s="13"/>
      <c r="Y102" s="13"/>
      <c r="Z102" s="13"/>
      <c r="AA102" s="13"/>
      <c r="AB102" s="13"/>
      <c r="AC102" s="13"/>
      <c r="AD102" s="13"/>
      <c r="AE102" s="13"/>
      <c r="AF102" s="14"/>
    </row>
    <row r="103" ht="13.65" customHeight="1">
      <c r="A103" s="142"/>
      <c r="B103" s="142"/>
      <c r="C103" s="142"/>
      <c r="D103" s="142"/>
      <c r="E103" s="142"/>
      <c r="F103" s="142"/>
      <c r="G103" s="142"/>
      <c r="H103" s="142"/>
      <c r="I103" s="142"/>
      <c r="J103" s="142"/>
      <c r="K103" s="142"/>
      <c r="L103" s="146"/>
      <c r="M103" s="13"/>
      <c r="N103" s="13"/>
      <c r="O103" s="13"/>
      <c r="P103" s="13"/>
      <c r="Q103" s="13"/>
      <c r="R103" s="13"/>
      <c r="S103" s="13"/>
      <c r="T103" s="13"/>
      <c r="U103" s="13"/>
      <c r="V103" s="13"/>
      <c r="W103" s="13"/>
      <c r="X103" s="13"/>
      <c r="Y103" s="13"/>
      <c r="Z103" s="13"/>
      <c r="AA103" s="13"/>
      <c r="AB103" s="13"/>
      <c r="AC103" s="13"/>
      <c r="AD103" s="13"/>
      <c r="AE103" s="13"/>
      <c r="AF103" s="14"/>
    </row>
    <row r="104" ht="13.65" customHeight="1">
      <c r="A104" s="142"/>
      <c r="B104" s="142"/>
      <c r="C104" s="142"/>
      <c r="D104" s="142"/>
      <c r="E104" s="142"/>
      <c r="F104" s="142"/>
      <c r="G104" s="142"/>
      <c r="H104" s="142"/>
      <c r="I104" s="142"/>
      <c r="J104" s="142"/>
      <c r="K104" s="142"/>
      <c r="L104" s="146"/>
      <c r="M104" s="13"/>
      <c r="N104" s="13"/>
      <c r="O104" s="13"/>
      <c r="P104" s="13"/>
      <c r="Q104" s="13"/>
      <c r="R104" s="13"/>
      <c r="S104" s="13"/>
      <c r="T104" s="13"/>
      <c r="U104" s="13"/>
      <c r="V104" s="13"/>
      <c r="W104" s="13"/>
      <c r="X104" s="13"/>
      <c r="Y104" s="13"/>
      <c r="Z104" s="13"/>
      <c r="AA104" s="13"/>
      <c r="AB104" s="13"/>
      <c r="AC104" s="13"/>
      <c r="AD104" s="13"/>
      <c r="AE104" s="13"/>
      <c r="AF104" s="14"/>
    </row>
    <row r="105" ht="13.65" customHeight="1">
      <c r="A105" s="142"/>
      <c r="B105" s="142"/>
      <c r="C105" s="142"/>
      <c r="D105" s="142"/>
      <c r="E105" s="142"/>
      <c r="F105" s="142"/>
      <c r="G105" s="142"/>
      <c r="H105" s="142"/>
      <c r="I105" s="142"/>
      <c r="J105" s="142"/>
      <c r="K105" s="142"/>
      <c r="L105" s="146"/>
      <c r="M105" s="13"/>
      <c r="N105" s="13"/>
      <c r="O105" s="13"/>
      <c r="P105" s="13"/>
      <c r="Q105" s="13"/>
      <c r="R105" s="13"/>
      <c r="S105" s="13"/>
      <c r="T105" s="13"/>
      <c r="U105" s="13"/>
      <c r="V105" s="13"/>
      <c r="W105" s="13"/>
      <c r="X105" s="13"/>
      <c r="Y105" s="13"/>
      <c r="Z105" s="13"/>
      <c r="AA105" s="13"/>
      <c r="AB105" s="13"/>
      <c r="AC105" s="13"/>
      <c r="AD105" s="13"/>
      <c r="AE105" s="13"/>
      <c r="AF105" s="14"/>
    </row>
    <row r="106" ht="13.65" customHeight="1">
      <c r="A106" s="142"/>
      <c r="B106" s="142"/>
      <c r="C106" s="142"/>
      <c r="D106" s="142"/>
      <c r="E106" s="142"/>
      <c r="F106" s="142"/>
      <c r="G106" s="142"/>
      <c r="H106" s="142"/>
      <c r="I106" s="142"/>
      <c r="J106" s="142"/>
      <c r="K106" s="142"/>
      <c r="L106" s="146"/>
      <c r="M106" s="13"/>
      <c r="N106" s="13"/>
      <c r="O106" s="13"/>
      <c r="P106" s="13"/>
      <c r="Q106" s="13"/>
      <c r="R106" s="13"/>
      <c r="S106" s="13"/>
      <c r="T106" s="13"/>
      <c r="U106" s="13"/>
      <c r="V106" s="13"/>
      <c r="W106" s="13"/>
      <c r="X106" s="13"/>
      <c r="Y106" s="13"/>
      <c r="Z106" s="13"/>
      <c r="AA106" s="13"/>
      <c r="AB106" s="13"/>
      <c r="AC106" s="13"/>
      <c r="AD106" s="13"/>
      <c r="AE106" s="13"/>
      <c r="AF106" s="14"/>
    </row>
    <row r="107" ht="13.65" customHeight="1">
      <c r="A107" s="142"/>
      <c r="B107" s="142"/>
      <c r="C107" s="142"/>
      <c r="D107" s="142"/>
      <c r="E107" s="142"/>
      <c r="F107" s="142"/>
      <c r="G107" s="142"/>
      <c r="H107" s="142"/>
      <c r="I107" s="142"/>
      <c r="J107" s="142"/>
      <c r="K107" s="142"/>
      <c r="L107" s="146"/>
      <c r="M107" s="13"/>
      <c r="N107" s="13"/>
      <c r="O107" s="13"/>
      <c r="P107" s="13"/>
      <c r="Q107" s="13"/>
      <c r="R107" s="13"/>
      <c r="S107" s="13"/>
      <c r="T107" s="13"/>
      <c r="U107" s="13"/>
      <c r="V107" s="13"/>
      <c r="W107" s="13"/>
      <c r="X107" s="13"/>
      <c r="Y107" s="13"/>
      <c r="Z107" s="13"/>
      <c r="AA107" s="13"/>
      <c r="AB107" s="13"/>
      <c r="AC107" s="13"/>
      <c r="AD107" s="13"/>
      <c r="AE107" s="13"/>
      <c r="AF107" s="14"/>
    </row>
    <row r="108" ht="13.65" customHeight="1">
      <c r="A108" s="142"/>
      <c r="B108" s="142"/>
      <c r="C108" s="142"/>
      <c r="D108" s="142"/>
      <c r="E108" s="142"/>
      <c r="F108" s="142"/>
      <c r="G108" s="142"/>
      <c r="H108" s="142"/>
      <c r="I108" s="142"/>
      <c r="J108" s="142"/>
      <c r="K108" s="142"/>
      <c r="L108" s="146"/>
      <c r="M108" s="13"/>
      <c r="N108" s="13"/>
      <c r="O108" s="13"/>
      <c r="P108" s="13"/>
      <c r="Q108" s="13"/>
      <c r="R108" s="13"/>
      <c r="S108" s="13"/>
      <c r="T108" s="13"/>
      <c r="U108" s="13"/>
      <c r="V108" s="13"/>
      <c r="W108" s="13"/>
      <c r="X108" s="13"/>
      <c r="Y108" s="13"/>
      <c r="Z108" s="13"/>
      <c r="AA108" s="13"/>
      <c r="AB108" s="13"/>
      <c r="AC108" s="13"/>
      <c r="AD108" s="13"/>
      <c r="AE108" s="13"/>
      <c r="AF108" s="14"/>
    </row>
    <row r="109" ht="13.65" customHeight="1">
      <c r="A109" s="142"/>
      <c r="B109" s="142"/>
      <c r="C109" s="142"/>
      <c r="D109" s="142"/>
      <c r="E109" s="142"/>
      <c r="F109" s="142"/>
      <c r="G109" s="142"/>
      <c r="H109" s="142"/>
      <c r="I109" s="142"/>
      <c r="J109" s="142"/>
      <c r="K109" s="142"/>
      <c r="L109" s="146"/>
      <c r="M109" s="13"/>
      <c r="N109" s="13"/>
      <c r="O109" s="13"/>
      <c r="P109" s="13"/>
      <c r="Q109" s="13"/>
      <c r="R109" s="13"/>
      <c r="S109" s="13"/>
      <c r="T109" s="13"/>
      <c r="U109" s="13"/>
      <c r="V109" s="13"/>
      <c r="W109" s="13"/>
      <c r="X109" s="13"/>
      <c r="Y109" s="13"/>
      <c r="Z109" s="13"/>
      <c r="AA109" s="13"/>
      <c r="AB109" s="13"/>
      <c r="AC109" s="13"/>
      <c r="AD109" s="13"/>
      <c r="AE109" s="13"/>
      <c r="AF109" s="14"/>
    </row>
    <row r="110" ht="13.65" customHeight="1">
      <c r="A110" s="142"/>
      <c r="B110" s="142"/>
      <c r="C110" s="142"/>
      <c r="D110" s="142"/>
      <c r="E110" s="142"/>
      <c r="F110" s="142"/>
      <c r="G110" s="142"/>
      <c r="H110" s="142"/>
      <c r="I110" s="142"/>
      <c r="J110" s="142"/>
      <c r="K110" s="142"/>
      <c r="L110" s="146"/>
      <c r="M110" s="13"/>
      <c r="N110" s="13"/>
      <c r="O110" s="13"/>
      <c r="P110" s="13"/>
      <c r="Q110" s="13"/>
      <c r="R110" s="13"/>
      <c r="S110" s="13"/>
      <c r="T110" s="13"/>
      <c r="U110" s="13"/>
      <c r="V110" s="13"/>
      <c r="W110" s="13"/>
      <c r="X110" s="13"/>
      <c r="Y110" s="13"/>
      <c r="Z110" s="13"/>
      <c r="AA110" s="13"/>
      <c r="AB110" s="13"/>
      <c r="AC110" s="13"/>
      <c r="AD110" s="13"/>
      <c r="AE110" s="13"/>
      <c r="AF110" s="14"/>
    </row>
    <row r="111" ht="13.65" customHeight="1">
      <c r="A111" s="142"/>
      <c r="B111" s="142"/>
      <c r="C111" s="142"/>
      <c r="D111" s="142"/>
      <c r="E111" s="142"/>
      <c r="F111" s="142"/>
      <c r="G111" s="142"/>
      <c r="H111" s="142"/>
      <c r="I111" s="142"/>
      <c r="J111" s="142"/>
      <c r="K111" s="142"/>
      <c r="L111" s="146"/>
      <c r="M111" s="13"/>
      <c r="N111" s="13"/>
      <c r="O111" s="13"/>
      <c r="P111" s="13"/>
      <c r="Q111" s="13"/>
      <c r="R111" s="13"/>
      <c r="S111" s="13"/>
      <c r="T111" s="13"/>
      <c r="U111" s="13"/>
      <c r="V111" s="13"/>
      <c r="W111" s="13"/>
      <c r="X111" s="13"/>
      <c r="Y111" s="13"/>
      <c r="Z111" s="13"/>
      <c r="AA111" s="13"/>
      <c r="AB111" s="13"/>
      <c r="AC111" s="13"/>
      <c r="AD111" s="13"/>
      <c r="AE111" s="13"/>
      <c r="AF111" s="14"/>
    </row>
    <row r="112" ht="13.65" customHeight="1">
      <c r="A112" s="142"/>
      <c r="B112" s="142"/>
      <c r="C112" s="142"/>
      <c r="D112" s="142"/>
      <c r="E112" s="142"/>
      <c r="F112" s="142"/>
      <c r="G112" s="142"/>
      <c r="H112" s="142"/>
      <c r="I112" s="142"/>
      <c r="J112" s="142"/>
      <c r="K112" s="142"/>
      <c r="L112" s="146"/>
      <c r="M112" s="13"/>
      <c r="N112" s="13"/>
      <c r="O112" s="13"/>
      <c r="P112" s="13"/>
      <c r="Q112" s="13"/>
      <c r="R112" s="13"/>
      <c r="S112" s="13"/>
      <c r="T112" s="13"/>
      <c r="U112" s="13"/>
      <c r="V112" s="13"/>
      <c r="W112" s="13"/>
      <c r="X112" s="13"/>
      <c r="Y112" s="13"/>
      <c r="Z112" s="13"/>
      <c r="AA112" s="13"/>
      <c r="AB112" s="13"/>
      <c r="AC112" s="13"/>
      <c r="AD112" s="13"/>
      <c r="AE112" s="13"/>
      <c r="AF112" s="14"/>
    </row>
    <row r="113" ht="13.65" customHeight="1">
      <c r="A113" s="142"/>
      <c r="B113" s="142"/>
      <c r="C113" s="142"/>
      <c r="D113" s="142"/>
      <c r="E113" s="142"/>
      <c r="F113" s="142"/>
      <c r="G113" s="142"/>
      <c r="H113" s="142"/>
      <c r="I113" s="142"/>
      <c r="J113" s="142"/>
      <c r="K113" s="142"/>
      <c r="L113" s="146"/>
      <c r="M113" s="13"/>
      <c r="N113" s="13"/>
      <c r="O113" s="13"/>
      <c r="P113" s="13"/>
      <c r="Q113" s="13"/>
      <c r="R113" s="13"/>
      <c r="S113" s="13"/>
      <c r="T113" s="13"/>
      <c r="U113" s="13"/>
      <c r="V113" s="13"/>
      <c r="W113" s="13"/>
      <c r="X113" s="13"/>
      <c r="Y113" s="13"/>
      <c r="Z113" s="13"/>
      <c r="AA113" s="13"/>
      <c r="AB113" s="13"/>
      <c r="AC113" s="13"/>
      <c r="AD113" s="13"/>
      <c r="AE113" s="13"/>
      <c r="AF113" s="14"/>
    </row>
    <row r="114" ht="13.65" customHeight="1">
      <c r="A114" s="142"/>
      <c r="B114" s="142"/>
      <c r="C114" s="142"/>
      <c r="D114" s="142"/>
      <c r="E114" s="142"/>
      <c r="F114" s="142"/>
      <c r="G114" s="142"/>
      <c r="H114" s="142"/>
      <c r="I114" s="142"/>
      <c r="J114" s="142"/>
      <c r="K114" s="142"/>
      <c r="L114" s="146"/>
      <c r="M114" s="13"/>
      <c r="N114" s="13"/>
      <c r="O114" s="13"/>
      <c r="P114" s="13"/>
      <c r="Q114" s="13"/>
      <c r="R114" s="13"/>
      <c r="S114" s="13"/>
      <c r="T114" s="13"/>
      <c r="U114" s="13"/>
      <c r="V114" s="13"/>
      <c r="W114" s="13"/>
      <c r="X114" s="13"/>
      <c r="Y114" s="13"/>
      <c r="Z114" s="13"/>
      <c r="AA114" s="13"/>
      <c r="AB114" s="13"/>
      <c r="AC114" s="13"/>
      <c r="AD114" s="13"/>
      <c r="AE114" s="13"/>
      <c r="AF114" s="14"/>
    </row>
    <row r="115" ht="13.65" customHeight="1">
      <c r="A115" s="142"/>
      <c r="B115" s="142"/>
      <c r="C115" s="142"/>
      <c r="D115" s="142"/>
      <c r="E115" s="142"/>
      <c r="F115" s="142"/>
      <c r="G115" s="142"/>
      <c r="H115" s="142"/>
      <c r="I115" s="142"/>
      <c r="J115" s="142"/>
      <c r="K115" s="142"/>
      <c r="L115" s="146"/>
      <c r="M115" s="13"/>
      <c r="N115" s="13"/>
      <c r="O115" s="13"/>
      <c r="P115" s="13"/>
      <c r="Q115" s="13"/>
      <c r="R115" s="13"/>
      <c r="S115" s="13"/>
      <c r="T115" s="13"/>
      <c r="U115" s="13"/>
      <c r="V115" s="13"/>
      <c r="W115" s="13"/>
      <c r="X115" s="13"/>
      <c r="Y115" s="13"/>
      <c r="Z115" s="13"/>
      <c r="AA115" s="13"/>
      <c r="AB115" s="13"/>
      <c r="AC115" s="13"/>
      <c r="AD115" s="13"/>
      <c r="AE115" s="13"/>
      <c r="AF115" s="14"/>
    </row>
    <row r="116" ht="13.65" customHeight="1">
      <c r="A116" s="142"/>
      <c r="B116" s="142"/>
      <c r="C116" s="142"/>
      <c r="D116" s="142"/>
      <c r="E116" s="142"/>
      <c r="F116" s="142"/>
      <c r="G116" s="142"/>
      <c r="H116" s="142"/>
      <c r="I116" s="142"/>
      <c r="J116" s="142"/>
      <c r="K116" s="142"/>
      <c r="L116" s="146"/>
      <c r="M116" s="13"/>
      <c r="N116" s="13"/>
      <c r="O116" s="13"/>
      <c r="P116" s="13"/>
      <c r="Q116" s="13"/>
      <c r="R116" s="13"/>
      <c r="S116" s="13"/>
      <c r="T116" s="13"/>
      <c r="U116" s="13"/>
      <c r="V116" s="13"/>
      <c r="W116" s="13"/>
      <c r="X116" s="13"/>
      <c r="Y116" s="13"/>
      <c r="Z116" s="13"/>
      <c r="AA116" s="13"/>
      <c r="AB116" s="13"/>
      <c r="AC116" s="13"/>
      <c r="AD116" s="13"/>
      <c r="AE116" s="13"/>
      <c r="AF116" s="14"/>
    </row>
    <row r="117" ht="13.65" customHeight="1">
      <c r="A117" s="142"/>
      <c r="B117" s="142"/>
      <c r="C117" s="142"/>
      <c r="D117" s="142"/>
      <c r="E117" s="142"/>
      <c r="F117" s="142"/>
      <c r="G117" s="142"/>
      <c r="H117" s="142"/>
      <c r="I117" s="142"/>
      <c r="J117" s="142"/>
      <c r="K117" s="142"/>
      <c r="L117" s="146"/>
      <c r="M117" s="13"/>
      <c r="N117" s="13"/>
      <c r="O117" s="13"/>
      <c r="P117" s="13"/>
      <c r="Q117" s="13"/>
      <c r="R117" s="13"/>
      <c r="S117" s="13"/>
      <c r="T117" s="13"/>
      <c r="U117" s="13"/>
      <c r="V117" s="13"/>
      <c r="W117" s="13"/>
      <c r="X117" s="13"/>
      <c r="Y117" s="13"/>
      <c r="Z117" s="13"/>
      <c r="AA117" s="13"/>
      <c r="AB117" s="13"/>
      <c r="AC117" s="13"/>
      <c r="AD117" s="13"/>
      <c r="AE117" s="13"/>
      <c r="AF117" s="14"/>
    </row>
    <row r="118" ht="13.65" customHeight="1">
      <c r="A118" s="142"/>
      <c r="B118" s="142"/>
      <c r="C118" s="142"/>
      <c r="D118" s="142"/>
      <c r="E118" s="142"/>
      <c r="F118" s="142"/>
      <c r="G118" s="142"/>
      <c r="H118" s="142"/>
      <c r="I118" s="142"/>
      <c r="J118" s="142"/>
      <c r="K118" s="142"/>
      <c r="L118" s="146"/>
      <c r="M118" s="13"/>
      <c r="N118" s="13"/>
      <c r="O118" s="13"/>
      <c r="P118" s="13"/>
      <c r="Q118" s="13"/>
      <c r="R118" s="13"/>
      <c r="S118" s="13"/>
      <c r="T118" s="13"/>
      <c r="U118" s="13"/>
      <c r="V118" s="13"/>
      <c r="W118" s="13"/>
      <c r="X118" s="13"/>
      <c r="Y118" s="13"/>
      <c r="Z118" s="13"/>
      <c r="AA118" s="13"/>
      <c r="AB118" s="13"/>
      <c r="AC118" s="13"/>
      <c r="AD118" s="13"/>
      <c r="AE118" s="13"/>
      <c r="AF118" s="14"/>
    </row>
    <row r="119" ht="13.65" customHeight="1">
      <c r="A119" s="142"/>
      <c r="B119" s="142"/>
      <c r="C119" s="142"/>
      <c r="D119" s="142"/>
      <c r="E119" s="142"/>
      <c r="F119" s="142"/>
      <c r="G119" s="142"/>
      <c r="H119" s="142"/>
      <c r="I119" s="142"/>
      <c r="J119" s="142"/>
      <c r="K119" s="142"/>
      <c r="L119" s="146"/>
      <c r="M119" s="13"/>
      <c r="N119" s="13"/>
      <c r="O119" s="13"/>
      <c r="P119" s="13"/>
      <c r="Q119" s="13"/>
      <c r="R119" s="13"/>
      <c r="S119" s="13"/>
      <c r="T119" s="13"/>
      <c r="U119" s="13"/>
      <c r="V119" s="13"/>
      <c r="W119" s="13"/>
      <c r="X119" s="13"/>
      <c r="Y119" s="13"/>
      <c r="Z119" s="13"/>
      <c r="AA119" s="13"/>
      <c r="AB119" s="13"/>
      <c r="AC119" s="13"/>
      <c r="AD119" s="13"/>
      <c r="AE119" s="13"/>
      <c r="AF119" s="14"/>
    </row>
    <row r="120" ht="13.65" customHeight="1">
      <c r="A120" s="142"/>
      <c r="B120" s="142"/>
      <c r="C120" s="142"/>
      <c r="D120" s="142"/>
      <c r="E120" s="142"/>
      <c r="F120" s="142"/>
      <c r="G120" s="142"/>
      <c r="H120" s="142"/>
      <c r="I120" s="142"/>
      <c r="J120" s="142"/>
      <c r="K120" s="142"/>
      <c r="L120" s="146"/>
      <c r="M120" s="13"/>
      <c r="N120" s="13"/>
      <c r="O120" s="13"/>
      <c r="P120" s="13"/>
      <c r="Q120" s="13"/>
      <c r="R120" s="13"/>
      <c r="S120" s="13"/>
      <c r="T120" s="13"/>
      <c r="U120" s="13"/>
      <c r="V120" s="13"/>
      <c r="W120" s="13"/>
      <c r="X120" s="13"/>
      <c r="Y120" s="13"/>
      <c r="Z120" s="13"/>
      <c r="AA120" s="13"/>
      <c r="AB120" s="13"/>
      <c r="AC120" s="13"/>
      <c r="AD120" s="13"/>
      <c r="AE120" s="13"/>
      <c r="AF120" s="14"/>
    </row>
    <row r="121" ht="13.65" customHeight="1">
      <c r="A121" s="142"/>
      <c r="B121" s="142"/>
      <c r="C121" s="142"/>
      <c r="D121" s="142"/>
      <c r="E121" s="142"/>
      <c r="F121" s="142"/>
      <c r="G121" s="142"/>
      <c r="H121" s="142"/>
      <c r="I121" s="142"/>
      <c r="J121" s="142"/>
      <c r="K121" s="142"/>
      <c r="L121" s="146"/>
      <c r="M121" s="13"/>
      <c r="N121" s="13"/>
      <c r="O121" s="13"/>
      <c r="P121" s="13"/>
      <c r="Q121" s="13"/>
      <c r="R121" s="13"/>
      <c r="S121" s="13"/>
      <c r="T121" s="13"/>
      <c r="U121" s="13"/>
      <c r="V121" s="13"/>
      <c r="W121" s="13"/>
      <c r="X121" s="13"/>
      <c r="Y121" s="13"/>
      <c r="Z121" s="13"/>
      <c r="AA121" s="13"/>
      <c r="AB121" s="13"/>
      <c r="AC121" s="13"/>
      <c r="AD121" s="13"/>
      <c r="AE121" s="13"/>
      <c r="AF121" s="14"/>
    </row>
    <row r="122" ht="13.65" customHeight="1">
      <c r="A122" s="142"/>
      <c r="B122" s="142"/>
      <c r="C122" s="142"/>
      <c r="D122" s="142"/>
      <c r="E122" s="142"/>
      <c r="F122" s="142"/>
      <c r="G122" s="142"/>
      <c r="H122" s="142"/>
      <c r="I122" s="142"/>
      <c r="J122" s="142"/>
      <c r="K122" s="142"/>
      <c r="L122" s="146"/>
      <c r="M122" s="13"/>
      <c r="N122" s="13"/>
      <c r="O122" s="13"/>
      <c r="P122" s="13"/>
      <c r="Q122" s="13"/>
      <c r="R122" s="13"/>
      <c r="S122" s="13"/>
      <c r="T122" s="13"/>
      <c r="U122" s="13"/>
      <c r="V122" s="13"/>
      <c r="W122" s="13"/>
      <c r="X122" s="13"/>
      <c r="Y122" s="13"/>
      <c r="Z122" s="13"/>
      <c r="AA122" s="13"/>
      <c r="AB122" s="13"/>
      <c r="AC122" s="13"/>
      <c r="AD122" s="13"/>
      <c r="AE122" s="13"/>
      <c r="AF122" s="14"/>
    </row>
    <row r="123" ht="13.65" customHeight="1">
      <c r="A123" s="142"/>
      <c r="B123" s="142"/>
      <c r="C123" s="142"/>
      <c r="D123" s="142"/>
      <c r="E123" s="142"/>
      <c r="F123" s="142"/>
      <c r="G123" s="142"/>
      <c r="H123" s="142"/>
      <c r="I123" s="142"/>
      <c r="J123" s="142"/>
      <c r="K123" s="142"/>
      <c r="L123" s="146"/>
      <c r="M123" s="13"/>
      <c r="N123" s="13"/>
      <c r="O123" s="13"/>
      <c r="P123" s="13"/>
      <c r="Q123" s="13"/>
      <c r="R123" s="13"/>
      <c r="S123" s="13"/>
      <c r="T123" s="13"/>
      <c r="U123" s="13"/>
      <c r="V123" s="13"/>
      <c r="W123" s="13"/>
      <c r="X123" s="13"/>
      <c r="Y123" s="13"/>
      <c r="Z123" s="13"/>
      <c r="AA123" s="13"/>
      <c r="AB123" s="13"/>
      <c r="AC123" s="13"/>
      <c r="AD123" s="13"/>
      <c r="AE123" s="13"/>
      <c r="AF123" s="14"/>
    </row>
    <row r="124" ht="13.65" customHeight="1">
      <c r="A124" s="142"/>
      <c r="B124" s="142"/>
      <c r="C124" s="142"/>
      <c r="D124" s="142"/>
      <c r="E124" s="142"/>
      <c r="F124" s="142"/>
      <c r="G124" s="142"/>
      <c r="H124" s="142"/>
      <c r="I124" s="142"/>
      <c r="J124" s="142"/>
      <c r="K124" s="142"/>
      <c r="L124" s="146"/>
      <c r="M124" s="13"/>
      <c r="N124" s="13"/>
      <c r="O124" s="13"/>
      <c r="P124" s="13"/>
      <c r="Q124" s="13"/>
      <c r="R124" s="13"/>
      <c r="S124" s="13"/>
      <c r="T124" s="13"/>
      <c r="U124" s="13"/>
      <c r="V124" s="13"/>
      <c r="W124" s="13"/>
      <c r="X124" s="13"/>
      <c r="Y124" s="13"/>
      <c r="Z124" s="13"/>
      <c r="AA124" s="13"/>
      <c r="AB124" s="13"/>
      <c r="AC124" s="13"/>
      <c r="AD124" s="13"/>
      <c r="AE124" s="13"/>
      <c r="AF124" s="14"/>
    </row>
    <row r="125" ht="13.65" customHeight="1">
      <c r="A125" s="142"/>
      <c r="B125" s="142"/>
      <c r="C125" s="142"/>
      <c r="D125" s="142"/>
      <c r="E125" s="142"/>
      <c r="F125" s="142"/>
      <c r="G125" s="142"/>
      <c r="H125" s="142"/>
      <c r="I125" s="142"/>
      <c r="J125" s="142"/>
      <c r="K125" s="142"/>
      <c r="L125" s="146"/>
      <c r="M125" s="13"/>
      <c r="N125" s="13"/>
      <c r="O125" s="13"/>
      <c r="P125" s="13"/>
      <c r="Q125" s="13"/>
      <c r="R125" s="13"/>
      <c r="S125" s="13"/>
      <c r="T125" s="13"/>
      <c r="U125" s="13"/>
      <c r="V125" s="13"/>
      <c r="W125" s="13"/>
      <c r="X125" s="13"/>
      <c r="Y125" s="13"/>
      <c r="Z125" s="13"/>
      <c r="AA125" s="13"/>
      <c r="AB125" s="13"/>
      <c r="AC125" s="13"/>
      <c r="AD125" s="13"/>
      <c r="AE125" s="13"/>
      <c r="AF125" s="14"/>
    </row>
    <row r="126" ht="13.65" customHeight="1">
      <c r="A126" s="142"/>
      <c r="B126" s="142"/>
      <c r="C126" s="142"/>
      <c r="D126" s="142"/>
      <c r="E126" s="142"/>
      <c r="F126" s="142"/>
      <c r="G126" s="142"/>
      <c r="H126" s="142"/>
      <c r="I126" s="142"/>
      <c r="J126" s="142"/>
      <c r="K126" s="142"/>
      <c r="L126" s="146"/>
      <c r="M126" s="13"/>
      <c r="N126" s="13"/>
      <c r="O126" s="13"/>
      <c r="P126" s="13"/>
      <c r="Q126" s="13"/>
      <c r="R126" s="13"/>
      <c r="S126" s="13"/>
      <c r="T126" s="13"/>
      <c r="U126" s="13"/>
      <c r="V126" s="13"/>
      <c r="W126" s="13"/>
      <c r="X126" s="13"/>
      <c r="Y126" s="13"/>
      <c r="Z126" s="13"/>
      <c r="AA126" s="13"/>
      <c r="AB126" s="13"/>
      <c r="AC126" s="13"/>
      <c r="AD126" s="13"/>
      <c r="AE126" s="13"/>
      <c r="AF126" s="14"/>
    </row>
    <row r="127" ht="13.65" customHeight="1">
      <c r="A127" s="142"/>
      <c r="B127" s="142"/>
      <c r="C127" s="142"/>
      <c r="D127" s="142"/>
      <c r="E127" s="142"/>
      <c r="F127" s="142"/>
      <c r="G127" s="142"/>
      <c r="H127" s="142"/>
      <c r="I127" s="142"/>
      <c r="J127" s="142"/>
      <c r="K127" s="142"/>
      <c r="L127" s="146"/>
      <c r="M127" s="13"/>
      <c r="N127" s="13"/>
      <c r="O127" s="13"/>
      <c r="P127" s="13"/>
      <c r="Q127" s="13"/>
      <c r="R127" s="13"/>
      <c r="S127" s="13"/>
      <c r="T127" s="13"/>
      <c r="U127" s="13"/>
      <c r="V127" s="13"/>
      <c r="W127" s="13"/>
      <c r="X127" s="13"/>
      <c r="Y127" s="13"/>
      <c r="Z127" s="13"/>
      <c r="AA127" s="13"/>
      <c r="AB127" s="13"/>
      <c r="AC127" s="13"/>
      <c r="AD127" s="13"/>
      <c r="AE127" s="13"/>
      <c r="AF127" s="14"/>
    </row>
    <row r="128" ht="13.65" customHeight="1">
      <c r="A128" s="142"/>
      <c r="B128" s="142"/>
      <c r="C128" s="142"/>
      <c r="D128" s="142"/>
      <c r="E128" s="142"/>
      <c r="F128" s="142"/>
      <c r="G128" s="142"/>
      <c r="H128" s="142"/>
      <c r="I128" s="142"/>
      <c r="J128" s="142"/>
      <c r="K128" s="142"/>
      <c r="L128" s="146"/>
      <c r="M128" s="13"/>
      <c r="N128" s="13"/>
      <c r="O128" s="13"/>
      <c r="P128" s="13"/>
      <c r="Q128" s="13"/>
      <c r="R128" s="13"/>
      <c r="S128" s="13"/>
      <c r="T128" s="13"/>
      <c r="U128" s="13"/>
      <c r="V128" s="13"/>
      <c r="W128" s="13"/>
      <c r="X128" s="13"/>
      <c r="Y128" s="13"/>
      <c r="Z128" s="13"/>
      <c r="AA128" s="13"/>
      <c r="AB128" s="13"/>
      <c r="AC128" s="13"/>
      <c r="AD128" s="13"/>
      <c r="AE128" s="13"/>
      <c r="AF128" s="14"/>
    </row>
    <row r="129" ht="13.65" customHeight="1">
      <c r="A129" s="142"/>
      <c r="B129" s="142"/>
      <c r="C129" s="142"/>
      <c r="D129" s="142"/>
      <c r="E129" s="142"/>
      <c r="F129" s="142"/>
      <c r="G129" s="142"/>
      <c r="H129" s="142"/>
      <c r="I129" s="142"/>
      <c r="J129" s="142"/>
      <c r="K129" s="142"/>
      <c r="L129" s="146"/>
      <c r="M129" s="13"/>
      <c r="N129" s="13"/>
      <c r="O129" s="13"/>
      <c r="P129" s="13"/>
      <c r="Q129" s="13"/>
      <c r="R129" s="13"/>
      <c r="S129" s="13"/>
      <c r="T129" s="13"/>
      <c r="U129" s="13"/>
      <c r="V129" s="13"/>
      <c r="W129" s="13"/>
      <c r="X129" s="13"/>
      <c r="Y129" s="13"/>
      <c r="Z129" s="13"/>
      <c r="AA129" s="13"/>
      <c r="AB129" s="13"/>
      <c r="AC129" s="13"/>
      <c r="AD129" s="13"/>
      <c r="AE129" s="13"/>
      <c r="AF129" s="14"/>
    </row>
    <row r="130" ht="13.65" customHeight="1">
      <c r="A130" s="142"/>
      <c r="B130" s="142"/>
      <c r="C130" s="142"/>
      <c r="D130" s="142"/>
      <c r="E130" s="142"/>
      <c r="F130" s="142"/>
      <c r="G130" s="142"/>
      <c r="H130" s="142"/>
      <c r="I130" s="142"/>
      <c r="J130" s="142"/>
      <c r="K130" s="142"/>
      <c r="L130" s="146"/>
      <c r="M130" s="13"/>
      <c r="N130" s="13"/>
      <c r="O130" s="13"/>
      <c r="P130" s="13"/>
      <c r="Q130" s="13"/>
      <c r="R130" s="13"/>
      <c r="S130" s="13"/>
      <c r="T130" s="13"/>
      <c r="U130" s="13"/>
      <c r="V130" s="13"/>
      <c r="W130" s="13"/>
      <c r="X130" s="13"/>
      <c r="Y130" s="13"/>
      <c r="Z130" s="13"/>
      <c r="AA130" s="13"/>
      <c r="AB130" s="13"/>
      <c r="AC130" s="13"/>
      <c r="AD130" s="13"/>
      <c r="AE130" s="13"/>
      <c r="AF130" s="14"/>
    </row>
    <row r="131" ht="13.65" customHeight="1">
      <c r="A131" s="142"/>
      <c r="B131" s="142"/>
      <c r="C131" s="142"/>
      <c r="D131" s="142"/>
      <c r="E131" s="142"/>
      <c r="F131" s="142"/>
      <c r="G131" s="142"/>
      <c r="H131" s="142"/>
      <c r="I131" s="142"/>
      <c r="J131" s="142"/>
      <c r="K131" s="142"/>
      <c r="L131" s="146"/>
      <c r="M131" s="13"/>
      <c r="N131" s="13"/>
      <c r="O131" s="13"/>
      <c r="P131" s="13"/>
      <c r="Q131" s="13"/>
      <c r="R131" s="13"/>
      <c r="S131" s="13"/>
      <c r="T131" s="13"/>
      <c r="U131" s="13"/>
      <c r="V131" s="13"/>
      <c r="W131" s="13"/>
      <c r="X131" s="13"/>
      <c r="Y131" s="13"/>
      <c r="Z131" s="13"/>
      <c r="AA131" s="13"/>
      <c r="AB131" s="13"/>
      <c r="AC131" s="13"/>
      <c r="AD131" s="13"/>
      <c r="AE131" s="13"/>
      <c r="AF131" s="14"/>
    </row>
    <row r="132" ht="13.65" customHeight="1">
      <c r="A132" s="142"/>
      <c r="B132" s="142"/>
      <c r="C132" s="142"/>
      <c r="D132" s="142"/>
      <c r="E132" s="142"/>
      <c r="F132" s="142"/>
      <c r="G132" s="142"/>
      <c r="H132" s="142"/>
      <c r="I132" s="142"/>
      <c r="J132" s="142"/>
      <c r="K132" s="142"/>
      <c r="L132" s="146"/>
      <c r="M132" s="13"/>
      <c r="N132" s="13"/>
      <c r="O132" s="13"/>
      <c r="P132" s="13"/>
      <c r="Q132" s="13"/>
      <c r="R132" s="13"/>
      <c r="S132" s="13"/>
      <c r="T132" s="13"/>
      <c r="U132" s="13"/>
      <c r="V132" s="13"/>
      <c r="W132" s="13"/>
      <c r="X132" s="13"/>
      <c r="Y132" s="13"/>
      <c r="Z132" s="13"/>
      <c r="AA132" s="13"/>
      <c r="AB132" s="13"/>
      <c r="AC132" s="13"/>
      <c r="AD132" s="13"/>
      <c r="AE132" s="13"/>
      <c r="AF132" s="14"/>
    </row>
    <row r="133" ht="13.65" customHeight="1">
      <c r="A133" s="142"/>
      <c r="B133" s="142"/>
      <c r="C133" s="142"/>
      <c r="D133" s="142"/>
      <c r="E133" s="142"/>
      <c r="F133" s="142"/>
      <c r="G133" s="142"/>
      <c r="H133" s="142"/>
      <c r="I133" s="142"/>
      <c r="J133" s="142"/>
      <c r="K133" s="142"/>
      <c r="L133" s="146"/>
      <c r="M133" s="13"/>
      <c r="N133" s="13"/>
      <c r="O133" s="13"/>
      <c r="P133" s="13"/>
      <c r="Q133" s="13"/>
      <c r="R133" s="13"/>
      <c r="S133" s="13"/>
      <c r="T133" s="13"/>
      <c r="U133" s="13"/>
      <c r="V133" s="13"/>
      <c r="W133" s="13"/>
      <c r="X133" s="13"/>
      <c r="Y133" s="13"/>
      <c r="Z133" s="13"/>
      <c r="AA133" s="13"/>
      <c r="AB133" s="13"/>
      <c r="AC133" s="13"/>
      <c r="AD133" s="13"/>
      <c r="AE133" s="13"/>
      <c r="AF133" s="14"/>
    </row>
    <row r="134" ht="13.65" customHeight="1">
      <c r="A134" s="142"/>
      <c r="B134" s="142"/>
      <c r="C134" s="142"/>
      <c r="D134" s="142"/>
      <c r="E134" s="142"/>
      <c r="F134" s="142"/>
      <c r="G134" s="142"/>
      <c r="H134" s="142"/>
      <c r="I134" s="142"/>
      <c r="J134" s="142"/>
      <c r="K134" s="142"/>
      <c r="L134" s="146"/>
      <c r="M134" s="13"/>
      <c r="N134" s="13"/>
      <c r="O134" s="13"/>
      <c r="P134" s="13"/>
      <c r="Q134" s="13"/>
      <c r="R134" s="13"/>
      <c r="S134" s="13"/>
      <c r="T134" s="13"/>
      <c r="U134" s="13"/>
      <c r="V134" s="13"/>
      <c r="W134" s="13"/>
      <c r="X134" s="13"/>
      <c r="Y134" s="13"/>
      <c r="Z134" s="13"/>
      <c r="AA134" s="13"/>
      <c r="AB134" s="13"/>
      <c r="AC134" s="13"/>
      <c r="AD134" s="13"/>
      <c r="AE134" s="13"/>
      <c r="AF134" s="14"/>
    </row>
    <row r="135" ht="13.65" customHeight="1">
      <c r="A135" s="142"/>
      <c r="B135" s="142"/>
      <c r="C135" s="142"/>
      <c r="D135" s="142"/>
      <c r="E135" s="142"/>
      <c r="F135" s="142"/>
      <c r="G135" s="142"/>
      <c r="H135" s="142"/>
      <c r="I135" s="142"/>
      <c r="J135" s="142"/>
      <c r="K135" s="142"/>
      <c r="L135" s="146"/>
      <c r="M135" s="13"/>
      <c r="N135" s="13"/>
      <c r="O135" s="13"/>
      <c r="P135" s="13"/>
      <c r="Q135" s="13"/>
      <c r="R135" s="13"/>
      <c r="S135" s="13"/>
      <c r="T135" s="13"/>
      <c r="U135" s="13"/>
      <c r="V135" s="13"/>
      <c r="W135" s="13"/>
      <c r="X135" s="13"/>
      <c r="Y135" s="13"/>
      <c r="Z135" s="13"/>
      <c r="AA135" s="13"/>
      <c r="AB135" s="13"/>
      <c r="AC135" s="13"/>
      <c r="AD135" s="13"/>
      <c r="AE135" s="13"/>
      <c r="AF135" s="14"/>
    </row>
    <row r="136" ht="13.65" customHeight="1">
      <c r="A136" s="142"/>
      <c r="B136" s="142"/>
      <c r="C136" s="142"/>
      <c r="D136" s="142"/>
      <c r="E136" s="142"/>
      <c r="F136" s="142"/>
      <c r="G136" s="142"/>
      <c r="H136" s="142"/>
      <c r="I136" s="142"/>
      <c r="J136" s="142"/>
      <c r="K136" s="142"/>
      <c r="L136" s="146"/>
      <c r="M136" s="13"/>
      <c r="N136" s="13"/>
      <c r="O136" s="13"/>
      <c r="P136" s="13"/>
      <c r="Q136" s="13"/>
      <c r="R136" s="13"/>
      <c r="S136" s="13"/>
      <c r="T136" s="13"/>
      <c r="U136" s="13"/>
      <c r="V136" s="13"/>
      <c r="W136" s="13"/>
      <c r="X136" s="13"/>
      <c r="Y136" s="13"/>
      <c r="Z136" s="13"/>
      <c r="AA136" s="13"/>
      <c r="AB136" s="13"/>
      <c r="AC136" s="13"/>
      <c r="AD136" s="13"/>
      <c r="AE136" s="13"/>
      <c r="AF136" s="14"/>
    </row>
    <row r="137" ht="13.65" customHeight="1">
      <c r="A137" s="142"/>
      <c r="B137" s="142"/>
      <c r="C137" s="142"/>
      <c r="D137" s="142"/>
      <c r="E137" s="142"/>
      <c r="F137" s="142"/>
      <c r="G137" s="142"/>
      <c r="H137" s="142"/>
      <c r="I137" s="142"/>
      <c r="J137" s="142"/>
      <c r="K137" s="142"/>
      <c r="L137" s="146"/>
      <c r="M137" s="13"/>
      <c r="N137" s="13"/>
      <c r="O137" s="13"/>
      <c r="P137" s="13"/>
      <c r="Q137" s="13"/>
      <c r="R137" s="13"/>
      <c r="S137" s="13"/>
      <c r="T137" s="13"/>
      <c r="U137" s="13"/>
      <c r="V137" s="13"/>
      <c r="W137" s="13"/>
      <c r="X137" s="13"/>
      <c r="Y137" s="13"/>
      <c r="Z137" s="13"/>
      <c r="AA137" s="13"/>
      <c r="AB137" s="13"/>
      <c r="AC137" s="13"/>
      <c r="AD137" s="13"/>
      <c r="AE137" s="13"/>
      <c r="AF137" s="14"/>
    </row>
    <row r="138" ht="13.65" customHeight="1">
      <c r="A138" s="142"/>
      <c r="B138" s="142"/>
      <c r="C138" s="142"/>
      <c r="D138" s="142"/>
      <c r="E138" s="142"/>
      <c r="F138" s="142"/>
      <c r="G138" s="142"/>
      <c r="H138" s="142"/>
      <c r="I138" s="142"/>
      <c r="J138" s="142"/>
      <c r="K138" s="142"/>
      <c r="L138" s="146"/>
      <c r="M138" s="13"/>
      <c r="N138" s="13"/>
      <c r="O138" s="13"/>
      <c r="P138" s="13"/>
      <c r="Q138" s="13"/>
      <c r="R138" s="13"/>
      <c r="S138" s="13"/>
      <c r="T138" s="13"/>
      <c r="U138" s="13"/>
      <c r="V138" s="13"/>
      <c r="W138" s="13"/>
      <c r="X138" s="13"/>
      <c r="Y138" s="13"/>
      <c r="Z138" s="13"/>
      <c r="AA138" s="13"/>
      <c r="AB138" s="13"/>
      <c r="AC138" s="13"/>
      <c r="AD138" s="13"/>
      <c r="AE138" s="13"/>
      <c r="AF138" s="14"/>
    </row>
    <row r="139" ht="13.65" customHeight="1">
      <c r="A139" s="142"/>
      <c r="B139" s="142"/>
      <c r="C139" s="142"/>
      <c r="D139" s="142"/>
      <c r="E139" s="142"/>
      <c r="F139" s="142"/>
      <c r="G139" s="142"/>
      <c r="H139" s="142"/>
      <c r="I139" s="142"/>
      <c r="J139" s="142"/>
      <c r="K139" s="142"/>
      <c r="L139" s="146"/>
      <c r="M139" s="13"/>
      <c r="N139" s="13"/>
      <c r="O139" s="13"/>
      <c r="P139" s="13"/>
      <c r="Q139" s="13"/>
      <c r="R139" s="13"/>
      <c r="S139" s="13"/>
      <c r="T139" s="13"/>
      <c r="U139" s="13"/>
      <c r="V139" s="13"/>
      <c r="W139" s="13"/>
      <c r="X139" s="13"/>
      <c r="Y139" s="13"/>
      <c r="Z139" s="13"/>
      <c r="AA139" s="13"/>
      <c r="AB139" s="13"/>
      <c r="AC139" s="13"/>
      <c r="AD139" s="13"/>
      <c r="AE139" s="13"/>
      <c r="AF139" s="14"/>
    </row>
    <row r="140" ht="13.65" customHeight="1">
      <c r="A140" s="142"/>
      <c r="B140" s="142"/>
      <c r="C140" s="142"/>
      <c r="D140" s="142"/>
      <c r="E140" s="142"/>
      <c r="F140" s="142"/>
      <c r="G140" s="142"/>
      <c r="H140" s="142"/>
      <c r="I140" s="142"/>
      <c r="J140" s="142"/>
      <c r="K140" s="142"/>
      <c r="L140" s="146"/>
      <c r="M140" s="13"/>
      <c r="N140" s="13"/>
      <c r="O140" s="13"/>
      <c r="P140" s="13"/>
      <c r="Q140" s="13"/>
      <c r="R140" s="13"/>
      <c r="S140" s="13"/>
      <c r="T140" s="13"/>
      <c r="U140" s="13"/>
      <c r="V140" s="13"/>
      <c r="W140" s="13"/>
      <c r="X140" s="13"/>
      <c r="Y140" s="13"/>
      <c r="Z140" s="13"/>
      <c r="AA140" s="13"/>
      <c r="AB140" s="13"/>
      <c r="AC140" s="13"/>
      <c r="AD140" s="13"/>
      <c r="AE140" s="13"/>
      <c r="AF140" s="14"/>
    </row>
    <row r="141" ht="13.65" customHeight="1">
      <c r="A141" s="142"/>
      <c r="B141" s="142"/>
      <c r="C141" s="142"/>
      <c r="D141" s="142"/>
      <c r="E141" s="142"/>
      <c r="F141" s="142"/>
      <c r="G141" s="142"/>
      <c r="H141" s="142"/>
      <c r="I141" s="142"/>
      <c r="J141" s="142"/>
      <c r="K141" s="142"/>
      <c r="L141" s="146"/>
      <c r="M141" s="13"/>
      <c r="N141" s="13"/>
      <c r="O141" s="13"/>
      <c r="P141" s="13"/>
      <c r="Q141" s="13"/>
      <c r="R141" s="13"/>
      <c r="S141" s="13"/>
      <c r="T141" s="13"/>
      <c r="U141" s="13"/>
      <c r="V141" s="13"/>
      <c r="W141" s="13"/>
      <c r="X141" s="13"/>
      <c r="Y141" s="13"/>
      <c r="Z141" s="13"/>
      <c r="AA141" s="13"/>
      <c r="AB141" s="13"/>
      <c r="AC141" s="13"/>
      <c r="AD141" s="13"/>
      <c r="AE141" s="13"/>
      <c r="AF141" s="14"/>
    </row>
    <row r="142" ht="13.65" customHeight="1">
      <c r="A142" s="142"/>
      <c r="B142" s="142"/>
      <c r="C142" s="142"/>
      <c r="D142" s="142"/>
      <c r="E142" s="142"/>
      <c r="F142" s="142"/>
      <c r="G142" s="142"/>
      <c r="H142" s="142"/>
      <c r="I142" s="142"/>
      <c r="J142" s="142"/>
      <c r="K142" s="142"/>
      <c r="L142" s="146"/>
      <c r="M142" s="13"/>
      <c r="N142" s="13"/>
      <c r="O142" s="13"/>
      <c r="P142" s="13"/>
      <c r="Q142" s="13"/>
      <c r="R142" s="13"/>
      <c r="S142" s="13"/>
      <c r="T142" s="13"/>
      <c r="U142" s="13"/>
      <c r="V142" s="13"/>
      <c r="W142" s="13"/>
      <c r="X142" s="13"/>
      <c r="Y142" s="13"/>
      <c r="Z142" s="13"/>
      <c r="AA142" s="13"/>
      <c r="AB142" s="13"/>
      <c r="AC142" s="13"/>
      <c r="AD142" s="13"/>
      <c r="AE142" s="13"/>
      <c r="AF142" s="14"/>
    </row>
    <row r="143" ht="13.65" customHeight="1">
      <c r="A143" s="142"/>
      <c r="B143" s="142"/>
      <c r="C143" s="142"/>
      <c r="D143" s="142"/>
      <c r="E143" s="142"/>
      <c r="F143" s="142"/>
      <c r="G143" s="142"/>
      <c r="H143" s="142"/>
      <c r="I143" s="142"/>
      <c r="J143" s="142"/>
      <c r="K143" s="142"/>
      <c r="L143" s="146"/>
      <c r="M143" s="13"/>
      <c r="N143" s="13"/>
      <c r="O143" s="13"/>
      <c r="P143" s="13"/>
      <c r="Q143" s="13"/>
      <c r="R143" s="13"/>
      <c r="S143" s="13"/>
      <c r="T143" s="13"/>
      <c r="U143" s="13"/>
      <c r="V143" s="13"/>
      <c r="W143" s="13"/>
      <c r="X143" s="13"/>
      <c r="Y143" s="13"/>
      <c r="Z143" s="13"/>
      <c r="AA143" s="13"/>
      <c r="AB143" s="13"/>
      <c r="AC143" s="13"/>
      <c r="AD143" s="13"/>
      <c r="AE143" s="13"/>
      <c r="AF143" s="14"/>
    </row>
    <row r="144" ht="13.65" customHeight="1">
      <c r="A144" s="142"/>
      <c r="B144" s="142"/>
      <c r="C144" s="142"/>
      <c r="D144" s="142"/>
      <c r="E144" s="142"/>
      <c r="F144" s="142"/>
      <c r="G144" s="142"/>
      <c r="H144" s="142"/>
      <c r="I144" s="142"/>
      <c r="J144" s="142"/>
      <c r="K144" s="142"/>
      <c r="L144" s="146"/>
      <c r="M144" s="13"/>
      <c r="N144" s="13"/>
      <c r="O144" s="13"/>
      <c r="P144" s="13"/>
      <c r="Q144" s="13"/>
      <c r="R144" s="13"/>
      <c r="S144" s="13"/>
      <c r="T144" s="13"/>
      <c r="U144" s="13"/>
      <c r="V144" s="13"/>
      <c r="W144" s="13"/>
      <c r="X144" s="13"/>
      <c r="Y144" s="13"/>
      <c r="Z144" s="13"/>
      <c r="AA144" s="13"/>
      <c r="AB144" s="13"/>
      <c r="AC144" s="13"/>
      <c r="AD144" s="13"/>
      <c r="AE144" s="13"/>
      <c r="AF144" s="14"/>
    </row>
    <row r="145" ht="13.65" customHeight="1">
      <c r="A145" s="142"/>
      <c r="B145" s="142"/>
      <c r="C145" s="142"/>
      <c r="D145" s="142"/>
      <c r="E145" s="142"/>
      <c r="F145" s="142"/>
      <c r="G145" s="142"/>
      <c r="H145" s="142"/>
      <c r="I145" s="142"/>
      <c r="J145" s="142"/>
      <c r="K145" s="142"/>
      <c r="L145" s="146"/>
      <c r="M145" s="13"/>
      <c r="N145" s="13"/>
      <c r="O145" s="13"/>
      <c r="P145" s="13"/>
      <c r="Q145" s="13"/>
      <c r="R145" s="13"/>
      <c r="S145" s="13"/>
      <c r="T145" s="13"/>
      <c r="U145" s="13"/>
      <c r="V145" s="13"/>
      <c r="W145" s="13"/>
      <c r="X145" s="13"/>
      <c r="Y145" s="13"/>
      <c r="Z145" s="13"/>
      <c r="AA145" s="13"/>
      <c r="AB145" s="13"/>
      <c r="AC145" s="13"/>
      <c r="AD145" s="13"/>
      <c r="AE145" s="13"/>
      <c r="AF145" s="14"/>
    </row>
    <row r="146" ht="13.65" customHeight="1">
      <c r="A146" s="142"/>
      <c r="B146" s="142"/>
      <c r="C146" s="142"/>
      <c r="D146" s="142"/>
      <c r="E146" s="142"/>
      <c r="F146" s="142"/>
      <c r="G146" s="142"/>
      <c r="H146" s="142"/>
      <c r="I146" s="142"/>
      <c r="J146" s="142"/>
      <c r="K146" s="142"/>
      <c r="L146" s="146"/>
      <c r="M146" s="13"/>
      <c r="N146" s="13"/>
      <c r="O146" s="13"/>
      <c r="P146" s="13"/>
      <c r="Q146" s="13"/>
      <c r="R146" s="13"/>
      <c r="S146" s="13"/>
      <c r="T146" s="13"/>
      <c r="U146" s="13"/>
      <c r="V146" s="13"/>
      <c r="W146" s="13"/>
      <c r="X146" s="13"/>
      <c r="Y146" s="13"/>
      <c r="Z146" s="13"/>
      <c r="AA146" s="13"/>
      <c r="AB146" s="13"/>
      <c r="AC146" s="13"/>
      <c r="AD146" s="13"/>
      <c r="AE146" s="13"/>
      <c r="AF146" s="14"/>
    </row>
    <row r="147" ht="13.65" customHeight="1">
      <c r="A147" s="142"/>
      <c r="B147" s="142"/>
      <c r="C147" s="142"/>
      <c r="D147" s="142"/>
      <c r="E147" s="142"/>
      <c r="F147" s="142"/>
      <c r="G147" s="142"/>
      <c r="H147" s="142"/>
      <c r="I147" s="142"/>
      <c r="J147" s="142"/>
      <c r="K147" s="142"/>
      <c r="L147" s="146"/>
      <c r="M147" s="13"/>
      <c r="N147" s="13"/>
      <c r="O147" s="13"/>
      <c r="P147" s="13"/>
      <c r="Q147" s="13"/>
      <c r="R147" s="13"/>
      <c r="S147" s="13"/>
      <c r="T147" s="13"/>
      <c r="U147" s="13"/>
      <c r="V147" s="13"/>
      <c r="W147" s="13"/>
      <c r="X147" s="13"/>
      <c r="Y147" s="13"/>
      <c r="Z147" s="13"/>
      <c r="AA147" s="13"/>
      <c r="AB147" s="13"/>
      <c r="AC147" s="13"/>
      <c r="AD147" s="13"/>
      <c r="AE147" s="13"/>
      <c r="AF147" s="14"/>
    </row>
    <row r="148" ht="13.65" customHeight="1">
      <c r="A148" s="142"/>
      <c r="B148" s="142"/>
      <c r="C148" s="142"/>
      <c r="D148" s="142"/>
      <c r="E148" s="142"/>
      <c r="F148" s="142"/>
      <c r="G148" s="142"/>
      <c r="H148" s="142"/>
      <c r="I148" s="142"/>
      <c r="J148" s="142"/>
      <c r="K148" s="142"/>
      <c r="L148" s="146"/>
      <c r="M148" s="13"/>
      <c r="N148" s="13"/>
      <c r="O148" s="13"/>
      <c r="P148" s="13"/>
      <c r="Q148" s="13"/>
      <c r="R148" s="13"/>
      <c r="S148" s="13"/>
      <c r="T148" s="13"/>
      <c r="U148" s="13"/>
      <c r="V148" s="13"/>
      <c r="W148" s="13"/>
      <c r="X148" s="13"/>
      <c r="Y148" s="13"/>
      <c r="Z148" s="13"/>
      <c r="AA148" s="13"/>
      <c r="AB148" s="13"/>
      <c r="AC148" s="13"/>
      <c r="AD148" s="13"/>
      <c r="AE148" s="13"/>
      <c r="AF148" s="14"/>
    </row>
    <row r="149" ht="13.65" customHeight="1">
      <c r="A149" s="142"/>
      <c r="B149" s="142"/>
      <c r="C149" s="142"/>
      <c r="D149" s="142"/>
      <c r="E149" s="142"/>
      <c r="F149" s="142"/>
      <c r="G149" s="142"/>
      <c r="H149" s="142"/>
      <c r="I149" s="142"/>
      <c r="J149" s="142"/>
      <c r="K149" s="142"/>
      <c r="L149" s="146"/>
      <c r="M149" s="13"/>
      <c r="N149" s="13"/>
      <c r="O149" s="13"/>
      <c r="P149" s="13"/>
      <c r="Q149" s="13"/>
      <c r="R149" s="13"/>
      <c r="S149" s="13"/>
      <c r="T149" s="13"/>
      <c r="U149" s="13"/>
      <c r="V149" s="13"/>
      <c r="W149" s="13"/>
      <c r="X149" s="13"/>
      <c r="Y149" s="13"/>
      <c r="Z149" s="13"/>
      <c r="AA149" s="13"/>
      <c r="AB149" s="13"/>
      <c r="AC149" s="13"/>
      <c r="AD149" s="13"/>
      <c r="AE149" s="13"/>
      <c r="AF149" s="14"/>
    </row>
    <row r="150" ht="13.65" customHeight="1">
      <c r="A150" s="142"/>
      <c r="B150" s="142"/>
      <c r="C150" s="142"/>
      <c r="D150" s="142"/>
      <c r="E150" s="142"/>
      <c r="F150" s="142"/>
      <c r="G150" s="142"/>
      <c r="H150" s="142"/>
      <c r="I150" s="142"/>
      <c r="J150" s="142"/>
      <c r="K150" s="142"/>
      <c r="L150" s="146"/>
      <c r="M150" s="13"/>
      <c r="N150" s="13"/>
      <c r="O150" s="13"/>
      <c r="P150" s="13"/>
      <c r="Q150" s="13"/>
      <c r="R150" s="13"/>
      <c r="S150" s="13"/>
      <c r="T150" s="13"/>
      <c r="U150" s="13"/>
      <c r="V150" s="13"/>
      <c r="W150" s="13"/>
      <c r="X150" s="13"/>
      <c r="Y150" s="13"/>
      <c r="Z150" s="13"/>
      <c r="AA150" s="13"/>
      <c r="AB150" s="13"/>
      <c r="AC150" s="13"/>
      <c r="AD150" s="13"/>
      <c r="AE150" s="13"/>
      <c r="AF150" s="14"/>
    </row>
    <row r="151" ht="13.65" customHeight="1">
      <c r="A151" s="142"/>
      <c r="B151" s="142"/>
      <c r="C151" s="142"/>
      <c r="D151" s="142"/>
      <c r="E151" s="142"/>
      <c r="F151" s="142"/>
      <c r="G151" s="142"/>
      <c r="H151" s="142"/>
      <c r="I151" s="142"/>
      <c r="J151" s="142"/>
      <c r="K151" s="142"/>
      <c r="L151" s="146"/>
      <c r="M151" s="13"/>
      <c r="N151" s="13"/>
      <c r="O151" s="13"/>
      <c r="P151" s="13"/>
      <c r="Q151" s="13"/>
      <c r="R151" s="13"/>
      <c r="S151" s="13"/>
      <c r="T151" s="13"/>
      <c r="U151" s="13"/>
      <c r="V151" s="13"/>
      <c r="W151" s="13"/>
      <c r="X151" s="13"/>
      <c r="Y151" s="13"/>
      <c r="Z151" s="13"/>
      <c r="AA151" s="13"/>
      <c r="AB151" s="13"/>
      <c r="AC151" s="13"/>
      <c r="AD151" s="13"/>
      <c r="AE151" s="13"/>
      <c r="AF151" s="14"/>
    </row>
    <row r="152" ht="13.65" customHeight="1">
      <c r="A152" s="142"/>
      <c r="B152" s="142"/>
      <c r="C152" s="142"/>
      <c r="D152" s="142"/>
      <c r="E152" s="142"/>
      <c r="F152" s="142"/>
      <c r="G152" s="142"/>
      <c r="H152" s="142"/>
      <c r="I152" s="142"/>
      <c r="J152" s="142"/>
      <c r="K152" s="142"/>
      <c r="L152" s="146"/>
      <c r="M152" s="13"/>
      <c r="N152" s="13"/>
      <c r="O152" s="13"/>
      <c r="P152" s="13"/>
      <c r="Q152" s="13"/>
      <c r="R152" s="13"/>
      <c r="S152" s="13"/>
      <c r="T152" s="13"/>
      <c r="U152" s="13"/>
      <c r="V152" s="13"/>
      <c r="W152" s="13"/>
      <c r="X152" s="13"/>
      <c r="Y152" s="13"/>
      <c r="Z152" s="13"/>
      <c r="AA152" s="13"/>
      <c r="AB152" s="13"/>
      <c r="AC152" s="13"/>
      <c r="AD152" s="13"/>
      <c r="AE152" s="13"/>
      <c r="AF152" s="14"/>
    </row>
    <row r="153" ht="13.65" customHeight="1">
      <c r="A153" s="142"/>
      <c r="B153" s="142"/>
      <c r="C153" s="142"/>
      <c r="D153" s="142"/>
      <c r="E153" s="142"/>
      <c r="F153" s="142"/>
      <c r="G153" s="142"/>
      <c r="H153" s="142"/>
      <c r="I153" s="142"/>
      <c r="J153" s="142"/>
      <c r="K153" s="142"/>
      <c r="L153" s="146"/>
      <c r="M153" s="13"/>
      <c r="N153" s="13"/>
      <c r="O153" s="13"/>
      <c r="P153" s="13"/>
      <c r="Q153" s="13"/>
      <c r="R153" s="13"/>
      <c r="S153" s="13"/>
      <c r="T153" s="13"/>
      <c r="U153" s="13"/>
      <c r="V153" s="13"/>
      <c r="W153" s="13"/>
      <c r="X153" s="13"/>
      <c r="Y153" s="13"/>
      <c r="Z153" s="13"/>
      <c r="AA153" s="13"/>
      <c r="AB153" s="13"/>
      <c r="AC153" s="13"/>
      <c r="AD153" s="13"/>
      <c r="AE153" s="13"/>
      <c r="AF153" s="14"/>
    </row>
    <row r="154" ht="13.65" customHeight="1">
      <c r="A154" s="142"/>
      <c r="B154" s="142"/>
      <c r="C154" s="142"/>
      <c r="D154" s="142"/>
      <c r="E154" s="142"/>
      <c r="F154" s="142"/>
      <c r="G154" s="142"/>
      <c r="H154" s="142"/>
      <c r="I154" s="142"/>
      <c r="J154" s="142"/>
      <c r="K154" s="142"/>
      <c r="L154" s="146"/>
      <c r="M154" s="13"/>
      <c r="N154" s="13"/>
      <c r="O154" s="13"/>
      <c r="P154" s="13"/>
      <c r="Q154" s="13"/>
      <c r="R154" s="13"/>
      <c r="S154" s="13"/>
      <c r="T154" s="13"/>
      <c r="U154" s="13"/>
      <c r="V154" s="13"/>
      <c r="W154" s="13"/>
      <c r="X154" s="13"/>
      <c r="Y154" s="13"/>
      <c r="Z154" s="13"/>
      <c r="AA154" s="13"/>
      <c r="AB154" s="13"/>
      <c r="AC154" s="13"/>
      <c r="AD154" s="13"/>
      <c r="AE154" s="13"/>
      <c r="AF154" s="14"/>
    </row>
    <row r="155" ht="13.65" customHeight="1">
      <c r="A155" s="142"/>
      <c r="B155" s="142"/>
      <c r="C155" s="142"/>
      <c r="D155" s="142"/>
      <c r="E155" s="142"/>
      <c r="F155" s="142"/>
      <c r="G155" s="142"/>
      <c r="H155" s="142"/>
      <c r="I155" s="142"/>
      <c r="J155" s="142"/>
      <c r="K155" s="142"/>
      <c r="L155" s="146"/>
      <c r="M155" s="13"/>
      <c r="N155" s="13"/>
      <c r="O155" s="13"/>
      <c r="P155" s="13"/>
      <c r="Q155" s="13"/>
      <c r="R155" s="13"/>
      <c r="S155" s="13"/>
      <c r="T155" s="13"/>
      <c r="U155" s="13"/>
      <c r="V155" s="13"/>
      <c r="W155" s="13"/>
      <c r="X155" s="13"/>
      <c r="Y155" s="13"/>
      <c r="Z155" s="13"/>
      <c r="AA155" s="13"/>
      <c r="AB155" s="13"/>
      <c r="AC155" s="13"/>
      <c r="AD155" s="13"/>
      <c r="AE155" s="13"/>
      <c r="AF155" s="14"/>
    </row>
    <row r="156" ht="13.65" customHeight="1">
      <c r="A156" s="142"/>
      <c r="B156" s="142"/>
      <c r="C156" s="142"/>
      <c r="D156" s="142"/>
      <c r="E156" s="142"/>
      <c r="F156" s="142"/>
      <c r="G156" s="142"/>
      <c r="H156" s="142"/>
      <c r="I156" s="142"/>
      <c r="J156" s="142"/>
      <c r="K156" s="142"/>
      <c r="L156" s="146"/>
      <c r="M156" s="17"/>
      <c r="N156" s="17"/>
      <c r="O156" s="17"/>
      <c r="P156" s="17"/>
      <c r="Q156" s="17"/>
      <c r="R156" s="17"/>
      <c r="S156" s="17"/>
      <c r="T156" s="17"/>
      <c r="U156" s="17"/>
      <c r="V156" s="17"/>
      <c r="W156" s="17"/>
      <c r="X156" s="17"/>
      <c r="Y156" s="17"/>
      <c r="Z156" s="17"/>
      <c r="AA156" s="17"/>
      <c r="AB156" s="17"/>
      <c r="AC156" s="17"/>
      <c r="AD156" s="17"/>
      <c r="AE156" s="17"/>
      <c r="AF156" s="18"/>
    </row>
  </sheetData>
  <mergeCells count="86">
    <mergeCell ref="H1:I1"/>
    <mergeCell ref="J1:M1"/>
    <mergeCell ref="H7:I7"/>
    <mergeCell ref="A23:B23"/>
    <mergeCell ref="H23:I23"/>
    <mergeCell ref="C12:F12"/>
    <mergeCell ref="A12:B12"/>
    <mergeCell ref="H12:I12"/>
    <mergeCell ref="J12:M12"/>
    <mergeCell ref="A13:B13"/>
    <mergeCell ref="C13:F13"/>
    <mergeCell ref="H13:I13"/>
    <mergeCell ref="J13:M13"/>
    <mergeCell ref="A22:C22"/>
    <mergeCell ref="H22:J22"/>
    <mergeCell ref="A11:B11"/>
    <mergeCell ref="A52:M52"/>
    <mergeCell ref="A34:B34"/>
    <mergeCell ref="C34:F34"/>
    <mergeCell ref="H34:I34"/>
    <mergeCell ref="J34:M34"/>
    <mergeCell ref="A44:B44"/>
    <mergeCell ref="H44:I44"/>
    <mergeCell ref="A43:C43"/>
    <mergeCell ref="H43:J43"/>
    <mergeCell ref="D48:F48"/>
    <mergeCell ref="D49:F49"/>
    <mergeCell ref="D50:F50"/>
    <mergeCell ref="A46:C46"/>
    <mergeCell ref="A47:C47"/>
    <mergeCell ref="A48:C48"/>
    <mergeCell ref="A49:C49"/>
    <mergeCell ref="C11:F11"/>
    <mergeCell ref="H11:I11"/>
    <mergeCell ref="J11:M11"/>
    <mergeCell ref="J10:M10"/>
    <mergeCell ref="A3:B3"/>
    <mergeCell ref="C3:G3"/>
    <mergeCell ref="A4:B4"/>
    <mergeCell ref="C4:G4"/>
    <mergeCell ref="A5:B5"/>
    <mergeCell ref="C5:G5"/>
    <mergeCell ref="A6:B6"/>
    <mergeCell ref="C6:G6"/>
    <mergeCell ref="A7:B7"/>
    <mergeCell ref="C10:F10"/>
    <mergeCell ref="C7:G7"/>
    <mergeCell ref="A50:C50"/>
    <mergeCell ref="A28:C28"/>
    <mergeCell ref="D28:F28"/>
    <mergeCell ref="A29:C29"/>
    <mergeCell ref="D29:F29"/>
    <mergeCell ref="D47:F47"/>
    <mergeCell ref="C31:F31"/>
    <mergeCell ref="A32:B32"/>
    <mergeCell ref="C32:F32"/>
    <mergeCell ref="A33:B33"/>
    <mergeCell ref="C33:F33"/>
    <mergeCell ref="A25:C25"/>
    <mergeCell ref="A26:C26"/>
    <mergeCell ref="D26:F26"/>
    <mergeCell ref="A27:C27"/>
    <mergeCell ref="D27:F27"/>
    <mergeCell ref="H25:J25"/>
    <mergeCell ref="H26:J26"/>
    <mergeCell ref="K26:M26"/>
    <mergeCell ref="H27:J27"/>
    <mergeCell ref="K27:M27"/>
    <mergeCell ref="H28:J28"/>
    <mergeCell ref="K28:M28"/>
    <mergeCell ref="H29:J29"/>
    <mergeCell ref="K29:M29"/>
    <mergeCell ref="H46:J46"/>
    <mergeCell ref="J31:M31"/>
    <mergeCell ref="H32:I32"/>
    <mergeCell ref="J32:M32"/>
    <mergeCell ref="H33:I33"/>
    <mergeCell ref="J33:M33"/>
    <mergeCell ref="H50:J50"/>
    <mergeCell ref="K50:M50"/>
    <mergeCell ref="H47:J47"/>
    <mergeCell ref="K47:M47"/>
    <mergeCell ref="H48:J48"/>
    <mergeCell ref="K48:M48"/>
    <mergeCell ref="H49:J49"/>
    <mergeCell ref="K49:M49"/>
  </mergeCells>
  <conditionalFormatting sqref="D23 F23 K23 M23 A24:F24 H24:M24 A30:F30 H30:M30 D44 F44 K44 M44">
    <cfRule type="beginsWith" dxfId="5" priority="1" stopIfTrue="1" text="not">
      <formula>FIND(UPPER("not"),UPPER(D23))=1</formula>
      <formula>"not"</formula>
    </cfRule>
    <cfRule type="beginsWith" dxfId="6" priority="2" stopIfTrue="1" text="ok">
      <formula>FIND(UPPER("ok"),UPPER(D23))=1</formula>
      <formula>"ok"</formula>
    </cfRule>
  </conditionalFormatting>
  <dataValidations count="6">
    <dataValidation type="list" allowBlank="1" showInputMessage="1" showErrorMessage="1" sqref="I6">
      <formula1>"Por,Egyéb"</formula1>
    </dataValidation>
    <dataValidation type="list" allowBlank="1" showInputMessage="1" showErrorMessage="1" sqref="C12:F12 J12:M12 C33:F33 J33:M33">
      <formula1>"Csak kemény felületekre szánt (használatra kész) tisztítószereknél: Szórófejes palack,Csak kemény felületekre szánt tisztítószereknél: a szórófejes palackok újratöltésére szánt hígítatlan termék"</formula1>
    </dataValidation>
    <dataValidation type="list" allowBlank="1" showInputMessage="1" showErrorMessage="1" sqref="D26 G26 K26:M26 D47:G47 K47:M47">
      <formula1>"PET – polietilén-tereftalát,PP – polipropilén,HDPE – nagy sűrűségű polietilén"</formula1>
    </dataValidation>
    <dataValidation type="list" allowBlank="1" showInputMessage="1" showErrorMessage="1" sqref="D27:G27 K27:M27 D48:G48 K48:M48">
      <formula1>"PS – polisztirol,PVC – polivinil-klorid,PETG – glikol-módosított polietilén-tereftalát,1 g/cm3-nél nagyobb sűrűségű egyéb műanyagok,1 g/cm3-nél kisebb egyéb műanyagok,nemlétező"</formula1>
    </dataValidation>
    <dataValidation type="list" allowBlank="1" showInputMessage="1" showErrorMessage="1" sqref="D28:F28 K28:M28 G29 D49:F49 K49:M49 G50">
      <formula1>"PS – polisztirol,PVC – polivinil-klorid,Üveg,Fém,EVA – etilén-vinil-acetát"</formula1>
    </dataValidation>
    <dataValidation type="list" allowBlank="1" showInputMessage="1" showErrorMessage="1" sqref="D29:F29 K29:M29 D50:F50 K50:M50 C51 G51">
      <formula1>"poliamid,EVOH - Etilén-vinil-alkohol,funkcionális poliolefinek,fémezett és fényvédő zárórétegek,nemlétező"</formula1>
    </dataValidation>
  </dataValidations>
  <pageMargins left="0.787402" right="0.787402" top="0.984252" bottom="0.984252" header="0.511811" footer="0.511811"/>
  <pageSetup firstPageNumber="1" fitToHeight="1" fitToWidth="1" scale="65" useFirstPageNumber="0" orientation="landscape"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BD156"/>
  <sheetViews>
    <sheetView workbookViewId="0" showGridLines="0" defaultGridColor="1"/>
  </sheetViews>
  <sheetFormatPr defaultColWidth="11.5" defaultRowHeight="12.75" customHeight="1" outlineLevelRow="0" outlineLevelCol="0"/>
  <cols>
    <col min="1" max="1" width="26.6719" style="693" customWidth="1"/>
    <col min="2" max="3" width="14.3516" style="693" customWidth="1"/>
    <col min="4" max="4" width="12.6719" style="693" customWidth="1"/>
    <col min="5" max="5" width="15.6719" style="693" customWidth="1"/>
    <col min="6" max="6" width="12.3516" style="693" customWidth="1"/>
    <col min="7" max="7" width="4.35156" style="693" customWidth="1"/>
    <col min="8" max="8" width="26.6719" style="693" customWidth="1"/>
    <col min="9" max="10" width="14.3516" style="693" customWidth="1"/>
    <col min="11" max="11" width="12.6719" style="693" customWidth="1"/>
    <col min="12" max="12" width="15.6719" style="693" customWidth="1"/>
    <col min="13" max="13" width="12.3516" style="693" customWidth="1"/>
    <col min="14" max="14" width="4" style="693" customWidth="1"/>
    <col min="15" max="18" width="11.5" style="693" customWidth="1"/>
    <col min="19" max="20" hidden="1" width="11.5" style="693" customWidth="1"/>
    <col min="21" max="56" width="11.5" style="693" customWidth="1"/>
    <col min="57" max="16384" width="11.5" style="693" customWidth="1"/>
  </cols>
  <sheetData>
    <row r="1" ht="17.25" customHeight="1">
      <c r="A1" s="321"/>
      <c r="B1" s="507"/>
      <c r="C1" s="225"/>
      <c r="D1" s="593"/>
      <c r="E1" s="9"/>
      <c r="F1" s="594"/>
      <c r="G1" s="595"/>
      <c r="H1" t="s" s="134">
        <f>'Termék'!A1</f>
        <v>165</v>
      </c>
      <c r="I1" s="135"/>
      <c r="J1" t="s" s="694">
        <f>'Termék'!C1</f>
        <v>166</v>
      </c>
      <c r="K1" s="695"/>
      <c r="L1" s="695"/>
      <c r="M1" s="696"/>
      <c r="N1" s="329"/>
      <c r="O1" s="323"/>
      <c r="P1" s="323"/>
      <c r="Q1" s="9"/>
      <c r="R1" s="9"/>
      <c r="S1" s="697"/>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10"/>
    </row>
    <row r="2" ht="15.75" customHeight="1">
      <c r="A2" s="515"/>
      <c r="B2" s="39"/>
      <c r="C2" s="39"/>
      <c r="D2" s="516"/>
      <c r="E2" s="39"/>
      <c r="F2" s="39"/>
      <c r="G2" s="39"/>
      <c r="H2" s="190"/>
      <c r="I2" s="190"/>
      <c r="J2" s="340"/>
      <c r="K2" s="246"/>
      <c r="L2" s="332"/>
      <c r="M2" s="340"/>
      <c r="N2" s="151"/>
      <c r="O2" s="151"/>
      <c r="P2" s="151"/>
      <c r="Q2" s="13"/>
      <c r="R2" s="13"/>
      <c r="S2" s="497"/>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4"/>
    </row>
    <row r="3" ht="15.75" customHeight="1">
      <c r="A3" t="s" s="161">
        <f>'Termék'!A6</f>
        <v>168</v>
      </c>
      <c r="B3" s="162"/>
      <c r="C3" s="253">
        <f>'Termék'!C6</f>
        <v>0</v>
      </c>
      <c r="D3" s="164"/>
      <c r="E3" s="164"/>
      <c r="F3" s="164"/>
      <c r="G3" s="165"/>
      <c r="H3" s="196"/>
      <c r="I3" s="197"/>
      <c r="J3" s="599"/>
      <c r="K3" t="s" s="147">
        <f>'Termék'!A3</f>
        <v>167</v>
      </c>
      <c r="L3" t="s" s="338">
        <f>IF('Termék'!B3="","",'Termék'!B3)</f>
      </c>
      <c r="M3" s="149"/>
      <c r="N3" s="151"/>
      <c r="O3" s="151"/>
      <c r="P3" s="151"/>
      <c r="Q3" s="13"/>
      <c r="R3" s="13"/>
      <c r="S3" s="497"/>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4"/>
    </row>
    <row r="4" ht="15.75" customHeight="1">
      <c r="A4" t="s" s="161">
        <f>'Termék'!A7</f>
        <v>170</v>
      </c>
      <c r="B4" s="162"/>
      <c r="C4" t="s" s="171">
        <f>'Termék'!C7</f>
      </c>
      <c r="D4" s="164"/>
      <c r="E4" s="164"/>
      <c r="F4" s="164"/>
      <c r="G4" s="165"/>
      <c r="H4" s="196"/>
      <c r="I4" s="197"/>
      <c r="J4" s="599"/>
      <c r="K4" t="s" s="147">
        <f>'Termék'!A4</f>
        <v>169</v>
      </c>
      <c r="L4" t="s" s="338">
        <f>IF('Termék'!B4="","",'Termék'!B4)</f>
      </c>
      <c r="M4" s="149"/>
      <c r="N4" s="151"/>
      <c r="O4" s="151"/>
      <c r="P4" s="151"/>
      <c r="Q4" s="13"/>
      <c r="R4" s="13"/>
      <c r="S4" s="497"/>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4"/>
    </row>
    <row r="5" ht="15.75" customHeight="1">
      <c r="A5" t="s" s="161">
        <f>'Termék'!A24</f>
        <v>171</v>
      </c>
      <c r="B5" s="162"/>
      <c r="C5" s="253">
        <f>'Termék'!C24</f>
        <v>0</v>
      </c>
      <c r="D5" s="164"/>
      <c r="E5" s="164"/>
      <c r="F5" s="164"/>
      <c r="G5" s="165"/>
      <c r="H5" s="196"/>
      <c r="I5" s="197"/>
      <c r="J5" s="151"/>
      <c r="K5" s="340"/>
      <c r="L5" s="340"/>
      <c r="M5" s="151"/>
      <c r="N5" s="151"/>
      <c r="O5" s="151"/>
      <c r="P5" s="151"/>
      <c r="Q5" s="13"/>
      <c r="R5" s="13"/>
      <c r="S5" s="497"/>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4"/>
    </row>
    <row r="6" ht="15.75" customHeight="1">
      <c r="A6" t="s" s="161">
        <f>'Termék'!A26</f>
        <v>172</v>
      </c>
      <c r="B6" s="162"/>
      <c r="C6" s="253">
        <f>'Termék'!C26</f>
        <v>0</v>
      </c>
      <c r="D6" s="164"/>
      <c r="E6" s="164"/>
      <c r="F6" s="164"/>
      <c r="G6" s="165"/>
      <c r="H6" s="600"/>
      <c r="I6" s="601"/>
      <c r="J6" s="151"/>
      <c r="K6" s="151"/>
      <c r="L6" s="151"/>
      <c r="M6" s="151"/>
      <c r="N6" s="151"/>
      <c r="O6" s="151"/>
      <c r="P6" s="151"/>
      <c r="Q6" s="13"/>
      <c r="R6" s="13"/>
      <c r="S6" s="497"/>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4"/>
    </row>
    <row r="7" ht="15.75" customHeight="1">
      <c r="A7" t="s" s="602">
        <f>IF('Adatlap'!$L$1='Fordítások'!C3,'Fordítások'!C299,'Fordítások'!B299)</f>
        <v>153</v>
      </c>
      <c r="B7" s="603"/>
      <c r="C7" t="s" s="171">
        <f>'Termék'!C38</f>
      </c>
      <c r="D7" s="164"/>
      <c r="E7" s="164"/>
      <c r="F7" s="164"/>
      <c r="G7" s="165"/>
      <c r="H7" s="604">
        <f>'Termék'!C39</f>
        <v>0</v>
      </c>
      <c r="I7" s="605"/>
      <c r="J7" s="149"/>
      <c r="K7" s="151"/>
      <c r="L7" s="151"/>
      <c r="M7" s="151"/>
      <c r="N7" s="151"/>
      <c r="O7" s="151"/>
      <c r="P7" s="151"/>
      <c r="Q7" s="13"/>
      <c r="R7" s="13"/>
      <c r="S7" s="497"/>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4"/>
    </row>
    <row r="8" ht="15.75" customHeight="1">
      <c r="A8" s="606"/>
      <c r="B8" s="512"/>
      <c r="C8" s="512"/>
      <c r="D8" s="512"/>
      <c r="E8" s="512"/>
      <c r="F8" s="512"/>
      <c r="G8" s="512"/>
      <c r="H8" s="340"/>
      <c r="I8" s="340"/>
      <c r="J8" s="13"/>
      <c r="K8" s="13"/>
      <c r="L8" s="13"/>
      <c r="M8" s="13"/>
      <c r="N8" s="13"/>
      <c r="O8" s="13"/>
      <c r="P8" s="13"/>
      <c r="Q8" s="13"/>
      <c r="R8" s="13"/>
      <c r="S8" t="s" s="698">
        <v>385</v>
      </c>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4"/>
    </row>
    <row r="9" ht="15.75" customHeight="1">
      <c r="A9" s="607"/>
      <c r="B9" s="608"/>
      <c r="C9" s="608"/>
      <c r="D9" s="608"/>
      <c r="E9" s="608"/>
      <c r="F9" s="608"/>
      <c r="G9" s="185"/>
      <c r="H9" s="609"/>
      <c r="I9" s="609"/>
      <c r="J9" s="610"/>
      <c r="K9" s="610"/>
      <c r="L9" s="610"/>
      <c r="M9" s="610"/>
      <c r="N9" s="13"/>
      <c r="O9" s="13"/>
      <c r="P9" s="13"/>
      <c r="Q9" s="13"/>
      <c r="R9" s="13"/>
      <c r="S9" s="497"/>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4"/>
    </row>
    <row r="10" ht="15.75" customHeight="1">
      <c r="A10" s="611"/>
      <c r="B10" s="612"/>
      <c r="C10" t="s" s="613">
        <f>IF('Adatlap'!$L$1='Fordítások'!C3,'Fordítások'!C200,'Fordítások'!B200)</f>
        <v>386</v>
      </c>
      <c r="D10" s="614"/>
      <c r="E10" s="615"/>
      <c r="F10" s="616"/>
      <c r="G10" s="617"/>
      <c r="H10" s="611"/>
      <c r="I10" s="612"/>
      <c r="J10" t="s" s="613">
        <f>IF('Adatlap'!$L$1='Fordítások'!C3,'Fordítások'!C202,'Fordítások'!B202)</f>
        <v>387</v>
      </c>
      <c r="K10" s="614"/>
      <c r="L10" s="615"/>
      <c r="M10" s="616"/>
      <c r="N10" s="618"/>
      <c r="O10" s="13"/>
      <c r="P10" s="13"/>
      <c r="Q10" s="13"/>
      <c r="R10" s="13"/>
      <c r="S10" s="699">
        <f>IF(OR(ISBLANK('Kiszerelés 1-4'!C11),ISBLANK('Kiszerelés 1-4'!C13))=TRUE,0,1)</f>
        <v>0</v>
      </c>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4"/>
    </row>
    <row r="11" ht="19.5" customHeight="1">
      <c r="A11" t="s" s="619">
        <f>IF('Adatlap'!$L$1='Fordítások'!C3,'Fordítások'!C184,'Fordítások'!B184)</f>
        <v>351</v>
      </c>
      <c r="B11" s="603"/>
      <c r="C11" t="s" s="700">
        <f>'Termék'!A1</f>
        <v>165</v>
      </c>
      <c r="D11" s="621"/>
      <c r="E11" s="621"/>
      <c r="F11" s="622"/>
      <c r="G11" s="617"/>
      <c r="H11" t="s" s="623">
        <f>A11</f>
        <v>352</v>
      </c>
      <c r="I11" s="170"/>
      <c r="J11" s="620"/>
      <c r="K11" s="621"/>
      <c r="L11" s="621"/>
      <c r="M11" s="622"/>
      <c r="N11" s="618"/>
      <c r="O11" s="13"/>
      <c r="P11" s="13"/>
      <c r="Q11" s="13"/>
      <c r="R11" s="13"/>
      <c r="S11" s="699">
        <f>IF(OR(ISBLANK('Kiszerelés 1-4'!C32),ISBLANK('Kiszerelés 1-4'!C34))=TRUE,0,1)</f>
        <v>0</v>
      </c>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4"/>
    </row>
    <row r="12" ht="30.75" customHeight="1">
      <c r="A12" t="s" s="624">
        <f>IF('Adatlap'!$L$1='Fordítások'!C3,'Fordítások'!C300,'Fordítások'!B300)</f>
        <v>353</v>
      </c>
      <c r="B12" s="625"/>
      <c r="C12" s="626"/>
      <c r="D12" s="627"/>
      <c r="E12" s="627"/>
      <c r="F12" s="628"/>
      <c r="G12" s="617"/>
      <c r="H12" t="s" s="624">
        <f>A12</f>
        <v>354</v>
      </c>
      <c r="I12" s="625"/>
      <c r="J12" s="626"/>
      <c r="K12" s="627"/>
      <c r="L12" s="627"/>
      <c r="M12" s="628"/>
      <c r="N12" s="618"/>
      <c r="O12" s="13"/>
      <c r="P12" s="13"/>
      <c r="Q12" s="13"/>
      <c r="R12" s="13"/>
      <c r="S12" s="699">
        <f>IF(OR(ISBLANK('Kiszerelés 1-4'!J11),ISBLANK('Kiszerelés 1-4'!J13))=TRUE,0,1)</f>
        <v>0</v>
      </c>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4"/>
    </row>
    <row r="13" ht="67.5" customHeight="1">
      <c r="A13" t="s" s="624">
        <f>IF('Adatlap'!$L$1='Fordítások'!C3,'Fordítások'!C186,'Fordítások'!B186)</f>
        <v>355</v>
      </c>
      <c r="B13" s="625"/>
      <c r="C13" s="620"/>
      <c r="D13" s="621"/>
      <c r="E13" s="621"/>
      <c r="F13" s="622"/>
      <c r="G13" s="617"/>
      <c r="H13" t="s" s="629">
        <f>A13</f>
        <v>356</v>
      </c>
      <c r="I13" s="192"/>
      <c r="J13" s="620"/>
      <c r="K13" s="621"/>
      <c r="L13" s="621"/>
      <c r="M13" s="622"/>
      <c r="N13" s="618"/>
      <c r="O13" s="13"/>
      <c r="P13" s="13"/>
      <c r="Q13" s="13"/>
      <c r="R13" s="13"/>
      <c r="S13" s="699">
        <f>IF(OR(ISBLANK('Kiszerelés 1-4'!J32),ISBLANK('Kiszerelés 1-4'!J34))=TRUE,0,1)</f>
        <v>0</v>
      </c>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4"/>
    </row>
    <row r="14" ht="13.5" customHeight="1">
      <c r="A14" s="630"/>
      <c r="B14" s="631"/>
      <c r="C14" s="631"/>
      <c r="D14" s="631"/>
      <c r="E14" s="631"/>
      <c r="F14" s="632"/>
      <c r="G14" s="633"/>
      <c r="H14" s="630"/>
      <c r="I14" s="631"/>
      <c r="J14" s="631"/>
      <c r="K14" s="631"/>
      <c r="L14" s="631"/>
      <c r="M14" s="632"/>
      <c r="N14" s="618"/>
      <c r="O14" s="13"/>
      <c r="P14" s="13"/>
      <c r="Q14" s="13"/>
      <c r="R14" s="13"/>
      <c r="S14" s="699">
        <f>IF(OR(ISBLANK(C11),ISBLANK(C13))=TRUE,0,1)</f>
        <v>0</v>
      </c>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4"/>
    </row>
    <row r="15" ht="168" customHeight="1">
      <c r="A15" t="s" s="634">
        <f>IF('Adatlap'!$L$1='Fordítások'!C3,'Fordítások'!C188,'Fordítások'!B188)</f>
        <v>357</v>
      </c>
      <c r="B15" t="s" s="635">
        <f>IF('Adatlap'!$L$1='Fordítások'!C3,'Fordítások'!C189,'Fordítások'!B189)</f>
        <v>358</v>
      </c>
      <c r="C15" t="s" s="635">
        <f>IF('Adatlap'!$L$1='Fordítások'!C3,'Fordítások'!C190,'Fordítások'!B190)</f>
        <v>359</v>
      </c>
      <c r="D15" t="s" s="635">
        <f>IF('Adatlap'!$L$1='Fordítások'!C3,'Fordítások'!C191,'Fordítások'!B191)</f>
        <v>360</v>
      </c>
      <c r="E15" t="s" s="635">
        <v>361</v>
      </c>
      <c r="F15" t="s" s="636">
        <v>388</v>
      </c>
      <c r="G15" s="633"/>
      <c r="H15" t="s" s="634">
        <f>A15</f>
        <v>363</v>
      </c>
      <c r="I15" t="s" s="635">
        <f>B15</f>
        <v>358</v>
      </c>
      <c r="J15" t="s" s="635">
        <f>C15</f>
        <v>359</v>
      </c>
      <c r="K15" t="s" s="635">
        <f>D15</f>
        <v>360</v>
      </c>
      <c r="L15" t="s" s="635">
        <f>E15</f>
        <v>364</v>
      </c>
      <c r="M15" t="s" s="636">
        <f>F15</f>
        <v>389</v>
      </c>
      <c r="N15" s="618"/>
      <c r="O15" s="13"/>
      <c r="P15" s="13"/>
      <c r="Q15" s="13"/>
      <c r="R15" s="13"/>
      <c r="S15" s="34">
        <f>IF(OR(ISBLANK(C32),ISBLANK(C34))=TRUE,0,1)</f>
        <v>0</v>
      </c>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4"/>
    </row>
    <row r="16" ht="15" customHeight="1">
      <c r="A16" s="637"/>
      <c r="B16" s="638"/>
      <c r="C16" s="638"/>
      <c r="D16" s="639"/>
      <c r="E16" t="s" s="381">
        <f>IF(A16="","",$C$13*1000/'Termék'!$C$38)</f>
      </c>
      <c r="F16" t="s" s="640">
        <f>IF(A16="","",((B16+C16)/(E16*D16)))</f>
      </c>
      <c r="G16" s="633"/>
      <c r="H16" s="637"/>
      <c r="I16" s="638"/>
      <c r="J16" s="638"/>
      <c r="K16" s="639"/>
      <c r="L16" t="s" s="381">
        <f>IF(H16="","",$J$13*1000/'Termék'!$C$38)</f>
      </c>
      <c r="M16" t="s" s="640">
        <f>IF(H16="","",((I16+J16)/(L16*K16)))</f>
      </c>
      <c r="N16" s="618"/>
      <c r="O16" s="13"/>
      <c r="P16" s="13"/>
      <c r="Q16" s="13"/>
      <c r="R16" s="13"/>
      <c r="S16" s="34">
        <f>IF(OR(ISBLANK(J11),ISBLANK(J13))=TRUE,0,1)</f>
        <v>0</v>
      </c>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4"/>
    </row>
    <row r="17" ht="15" customHeight="1">
      <c r="A17" s="641"/>
      <c r="B17" s="638"/>
      <c r="C17" s="638"/>
      <c r="D17" s="639"/>
      <c r="E17" t="s" s="381">
        <f>IF(A17="","",$C$13*1000/'Termék'!$C$38)</f>
      </c>
      <c r="F17" t="s" s="640">
        <f>IF(A17="","",((B17+C17)/(E17*D17)))</f>
      </c>
      <c r="G17" s="633"/>
      <c r="H17" s="641"/>
      <c r="I17" s="638"/>
      <c r="J17" s="638"/>
      <c r="K17" s="639"/>
      <c r="L17" t="s" s="381">
        <f>IF(H17="","",$J$13*1000/'Termék'!$C$38)</f>
      </c>
      <c r="M17" t="s" s="640">
        <f>IF(H17="","",((I17+J17)/(L17*K17)))</f>
      </c>
      <c r="N17" s="618"/>
      <c r="O17" s="13"/>
      <c r="P17" s="13"/>
      <c r="Q17" s="13"/>
      <c r="R17" s="13"/>
      <c r="S17" s="34">
        <f>IF(OR(ISBLANK(J32),ISBLANK(J34))=TRUE,0,1)</f>
        <v>0</v>
      </c>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4"/>
    </row>
    <row r="18" ht="15" customHeight="1">
      <c r="A18" s="641"/>
      <c r="B18" s="638"/>
      <c r="C18" s="638"/>
      <c r="D18" s="639"/>
      <c r="E18" t="s" s="381">
        <f>IF(A18="","",$C$13*1000/'Termék'!$C$38)</f>
      </c>
      <c r="F18" t="s" s="640">
        <f>IF(A18="","",((B18+C18)/(E18*D18)))</f>
      </c>
      <c r="G18" s="633"/>
      <c r="H18" s="641"/>
      <c r="I18" s="638"/>
      <c r="J18" s="638"/>
      <c r="K18" s="639"/>
      <c r="L18" t="s" s="381">
        <f>IF(H18="","",$J$13*1000/'Termék'!$C$38)</f>
      </c>
      <c r="M18" t="s" s="640">
        <f>IF(H18="","",((I18+J18)/(L18*K18)))</f>
      </c>
      <c r="N18" s="618"/>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4"/>
    </row>
    <row r="19" ht="15" customHeight="1">
      <c r="A19" s="641"/>
      <c r="B19" s="638"/>
      <c r="C19" s="638"/>
      <c r="D19" s="639"/>
      <c r="E19" t="s" s="381">
        <f>IF(A19="","",$C$13*1000/'Termék'!$C$38)</f>
      </c>
      <c r="F19" t="s" s="640">
        <f>IF(A19="","",((B19+C19)/(E19*D19)))</f>
      </c>
      <c r="G19" s="633"/>
      <c r="H19" s="641"/>
      <c r="I19" s="638"/>
      <c r="J19" s="638"/>
      <c r="K19" s="639"/>
      <c r="L19" t="s" s="381">
        <f>IF(H19="","",$J$13*1000/'Termék'!$C$38)</f>
      </c>
      <c r="M19" t="s" s="640">
        <f>IF(H19="","",((I19+J19)/(L19*K19)))</f>
      </c>
      <c r="N19" s="618"/>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4"/>
    </row>
    <row r="20" ht="15" customHeight="1">
      <c r="A20" s="642"/>
      <c r="B20" s="643"/>
      <c r="C20" s="643"/>
      <c r="D20" s="644"/>
      <c r="E20" t="s" s="645">
        <f>IF(A20="","",$C$13*1000/'Termék'!$C$38)</f>
      </c>
      <c r="F20" t="s" s="646">
        <f>IF(A20="","",((B20+C20)/(E20*D20)))</f>
      </c>
      <c r="G20" s="633"/>
      <c r="H20" s="642"/>
      <c r="I20" s="643"/>
      <c r="J20" s="643"/>
      <c r="K20" s="644"/>
      <c r="L20" t="s" s="645">
        <f>IF(H20="","",$J$13*1000/'Termék'!$C$38)</f>
      </c>
      <c r="M20" t="s" s="646">
        <f>IF(H20="","",((I20+J20)/(L20*K20)))</f>
      </c>
      <c r="N20" s="618"/>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4"/>
    </row>
    <row r="21" ht="17.25" customHeight="1">
      <c r="A21" s="647"/>
      <c r="B21" s="648"/>
      <c r="C21" s="649"/>
      <c r="D21" t="s" s="650">
        <f>IF('Adatlap'!$L$1='Fordítások'!C3,'Fordítások'!C24,'Fordítások'!B24)</f>
        <v>194</v>
      </c>
      <c r="E21" t="s" s="651">
        <f>IF('Adatlap'!$L$1='Fordítások'!C3,'Fordítások'!C195,'Fordítások'!B195)</f>
        <v>366</v>
      </c>
      <c r="F21" s="652">
        <f>SUM(F16:F20)</f>
        <v>0</v>
      </c>
      <c r="G21" s="633"/>
      <c r="H21" s="647"/>
      <c r="I21" s="648"/>
      <c r="J21" s="649"/>
      <c r="K21" t="s" s="650">
        <f>D21</f>
        <v>321</v>
      </c>
      <c r="L21" t="s" s="651">
        <f>E21</f>
        <v>367</v>
      </c>
      <c r="M21" s="652">
        <f>SUM(M16:M20)</f>
        <v>0</v>
      </c>
      <c r="N21" s="618"/>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4"/>
    </row>
    <row r="22" ht="17.25" customHeight="1">
      <c r="A22" s="653"/>
      <c r="B22" s="654"/>
      <c r="C22" s="654"/>
      <c r="D22" s="655"/>
      <c r="E22" t="s" s="552">
        <f>IF('Adatlap'!$L$1='Fordítások'!C3,'Fordítások'!C204,'Fordítások'!B204)</f>
        <v>330</v>
      </c>
      <c r="F22" s="656">
        <f>IF(OR(C12='Fordítások'!$C301,C12='Fordítások'!$B301),200,IF(OR(C12='Fordítások'!$C302,C12='Fordítások'!$B302),150,IF(OR(C12='Fordítások'!$C303,C12='Fordítások'!$B303),1.2,VLOOKUP('Termék'!$C$24,'Auswahldaten'!$A$113:$G$137,7,FALSE))))</f>
      </c>
      <c r="G22" s="633"/>
      <c r="H22" s="653"/>
      <c r="I22" s="654"/>
      <c r="J22" s="654"/>
      <c r="K22" s="655"/>
      <c r="L22" t="s" s="552">
        <f>E22</f>
        <v>368</v>
      </c>
      <c r="M22" s="656">
        <f>IF(OR(J12='Fordítások'!$C301,J12='Fordítások'!$B301),200,IF(OR(J12='Fordítások'!$C302,J12='Fordítások'!$B302),150,IF(OR(J12='Fordítások'!$C303,J12='Fordítások'!$B303),1.2,VLOOKUP('Termék'!$C$24,'Auswahldaten'!$A$113:$G$137,7,FALSE))))</f>
      </c>
      <c r="N22" s="618"/>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4"/>
    </row>
    <row r="23" ht="25.5" customHeight="1">
      <c r="A23" t="s" s="629">
        <f>IF('Adatlap'!$L$1='Fordítások'!C3,'Fordítások'!C304,'Fordítások'!B304)</f>
        <v>369</v>
      </c>
      <c r="B23" s="192"/>
      <c r="C23" t="s" s="657">
        <f>IF(C13="","",(SUM(B16:B20)-SUM(C16:C20))/SUM(B16:B20))</f>
      </c>
      <c r="D23" s="658"/>
      <c r="E23" t="s" s="659">
        <f>IF('Adatlap'!$L$1='Fordítások'!C3,'Fordítások'!C205,'Fordítások'!B205)</f>
        <v>331</v>
      </c>
      <c r="F23" s="660">
        <f>IF(OR(F21&lt;=F22,C23&gt;0.8),"ok","not ok")</f>
      </c>
      <c r="G23" s="633"/>
      <c r="H23" t="s" s="629">
        <f>A23</f>
        <v>370</v>
      </c>
      <c r="I23" s="192"/>
      <c r="J23" t="s" s="657">
        <f>IF(J13="","",(SUM(I16:I20)-SUM(J16:J20))/SUM(I16:I20))</f>
      </c>
      <c r="K23" s="658"/>
      <c r="L23" t="s" s="659">
        <f>E23</f>
        <v>371</v>
      </c>
      <c r="M23" s="660">
        <f>IF(OR(M21&lt;=M22,J23&gt;0.8),"ok","not ok")</f>
      </c>
      <c r="N23" s="618"/>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4"/>
    </row>
    <row r="24" ht="9.75" customHeight="1">
      <c r="A24" s="661"/>
      <c r="B24" s="68"/>
      <c r="C24" s="662"/>
      <c r="D24" s="663"/>
      <c r="E24" s="664"/>
      <c r="F24" s="665"/>
      <c r="G24" s="633"/>
      <c r="H24" s="661"/>
      <c r="I24" s="68"/>
      <c r="J24" s="662"/>
      <c r="K24" s="663"/>
      <c r="L24" s="664"/>
      <c r="M24" s="665"/>
      <c r="N24" s="618"/>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4"/>
    </row>
    <row r="25" ht="28.5" customHeight="1">
      <c r="A25" t="s" s="666">
        <f>IF('Adatlap'!$L$1='Fordítások'!C3,'Fordítások'!C143,'Fordítások'!B143)</f>
        <v>372</v>
      </c>
      <c r="B25" s="667"/>
      <c r="C25" s="667"/>
      <c r="D25" s="668"/>
      <c r="E25" s="669"/>
      <c r="F25" s="670"/>
      <c r="G25" s="671"/>
      <c r="H25" t="s" s="666">
        <f>A25</f>
        <v>373</v>
      </c>
      <c r="I25" s="667"/>
      <c r="J25" s="667"/>
      <c r="K25" s="668"/>
      <c r="L25" s="669"/>
      <c r="M25" s="670"/>
      <c r="N25" s="618"/>
      <c r="O25" s="13"/>
      <c r="P25" s="13"/>
      <c r="Q25" s="13"/>
      <c r="R25" s="13"/>
      <c r="S25" s="497"/>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4"/>
    </row>
    <row r="26" ht="15" customHeight="1">
      <c r="A26" t="s" s="666">
        <f>IF('Adatlap'!$L$1='Fordítások'!C3,'Fordítások'!C144,'Fordítások'!B144)</f>
        <v>374</v>
      </c>
      <c r="B26" s="667"/>
      <c r="C26" s="667"/>
      <c r="D26" s="379"/>
      <c r="E26" s="379"/>
      <c r="F26" s="672"/>
      <c r="G26" s="671"/>
      <c r="H26" t="s" s="666">
        <f>A26</f>
        <v>375</v>
      </c>
      <c r="I26" s="667"/>
      <c r="J26" s="667"/>
      <c r="K26" s="379"/>
      <c r="L26" s="379"/>
      <c r="M26" s="672"/>
      <c r="N26" s="618"/>
      <c r="O26" s="13"/>
      <c r="P26" s="13"/>
      <c r="Q26" s="13"/>
      <c r="R26" s="13"/>
      <c r="S26" s="497"/>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4"/>
    </row>
    <row r="27" ht="15" customHeight="1">
      <c r="A27" t="s" s="666">
        <f>IF('Adatlap'!$L$1='Fordítások'!C3,'Fordítások'!C145,'Fordítások'!B145)</f>
        <v>376</v>
      </c>
      <c r="B27" s="667"/>
      <c r="C27" s="667"/>
      <c r="D27" s="379"/>
      <c r="E27" s="379"/>
      <c r="F27" s="672"/>
      <c r="G27" s="671"/>
      <c r="H27" t="s" s="666">
        <f>A27</f>
        <v>377</v>
      </c>
      <c r="I27" s="667"/>
      <c r="J27" s="667"/>
      <c r="K27" s="379"/>
      <c r="L27" s="379"/>
      <c r="M27" s="672"/>
      <c r="N27" s="618"/>
      <c r="O27" s="13"/>
      <c r="P27" s="13"/>
      <c r="Q27" s="13"/>
      <c r="R27" s="13"/>
      <c r="S27" s="497"/>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4"/>
    </row>
    <row r="28" ht="15" customHeight="1">
      <c r="A28" t="s" s="666">
        <f>IF('Adatlap'!$L$1='Fordítások'!C3,'Fordítások'!C146,'Fordítások'!B146)</f>
        <v>378</v>
      </c>
      <c r="B28" s="667"/>
      <c r="C28" s="667"/>
      <c r="D28" s="379"/>
      <c r="E28" s="379"/>
      <c r="F28" s="672"/>
      <c r="G28" s="671"/>
      <c r="H28" t="s" s="666">
        <f>A28</f>
        <v>379</v>
      </c>
      <c r="I28" s="667"/>
      <c r="J28" s="667"/>
      <c r="K28" s="379"/>
      <c r="L28" s="379"/>
      <c r="M28" s="672"/>
      <c r="N28" s="618"/>
      <c r="O28" s="13"/>
      <c r="P28" s="13"/>
      <c r="Q28" s="13"/>
      <c r="R28" s="13"/>
      <c r="S28" s="497"/>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4"/>
    </row>
    <row r="29" ht="15" customHeight="1">
      <c r="A29" t="s" s="673">
        <f>IF('Adatlap'!$L$1='Fordítások'!C3,'Fordítások'!C147,'Fordítások'!B147)</f>
        <v>380</v>
      </c>
      <c r="B29" s="674"/>
      <c r="C29" s="674"/>
      <c r="D29" s="675"/>
      <c r="E29" s="675"/>
      <c r="F29" s="676"/>
      <c r="G29" s="671"/>
      <c r="H29" t="s" s="673">
        <f>A29</f>
        <v>381</v>
      </c>
      <c r="I29" s="674"/>
      <c r="J29" s="674"/>
      <c r="K29" s="675"/>
      <c r="L29" s="675"/>
      <c r="M29" s="676"/>
      <c r="N29" s="618"/>
      <c r="O29" s="13"/>
      <c r="P29" s="13"/>
      <c r="Q29" s="13"/>
      <c r="R29" s="13"/>
      <c r="S29" s="497"/>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4"/>
    </row>
    <row r="30" ht="10.5" customHeight="1">
      <c r="A30" s="677"/>
      <c r="B30" s="678"/>
      <c r="C30" s="679"/>
      <c r="D30" s="679"/>
      <c r="E30" s="680"/>
      <c r="F30" s="681"/>
      <c r="G30" s="185"/>
      <c r="H30" s="682"/>
      <c r="I30" s="678"/>
      <c r="J30" s="679"/>
      <c r="K30" s="679"/>
      <c r="L30" s="680"/>
      <c r="M30" s="681"/>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4"/>
    </row>
    <row r="31" ht="15.75" customHeight="1">
      <c r="A31" s="611"/>
      <c r="B31" s="612"/>
      <c r="C31" t="s" s="613">
        <f>IF('Adatlap'!$L$1='Fordítások'!C3,'Fordítások'!C201,'Fordítások'!B201)</f>
        <v>390</v>
      </c>
      <c r="D31" s="614"/>
      <c r="E31" s="615"/>
      <c r="F31" s="616"/>
      <c r="G31" s="617"/>
      <c r="H31" s="683"/>
      <c r="I31" s="684"/>
      <c r="J31" t="s" s="613">
        <f>IF('Adatlap'!$L$1='Fordítások'!C3,'Fordítások'!C203,'Fordítások'!B203)</f>
        <v>391</v>
      </c>
      <c r="K31" s="614"/>
      <c r="L31" s="615"/>
      <c r="M31" s="616"/>
      <c r="N31" s="618"/>
      <c r="O31" s="13"/>
      <c r="P31" s="13"/>
      <c r="Q31" s="13"/>
      <c r="R31" s="13"/>
      <c r="S31" s="497"/>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4"/>
    </row>
    <row r="32" ht="19.5" customHeight="1">
      <c r="A32" t="s" s="623">
        <f>A11</f>
        <v>352</v>
      </c>
      <c r="B32" s="170"/>
      <c r="C32" s="620"/>
      <c r="D32" s="621"/>
      <c r="E32" s="621"/>
      <c r="F32" s="622"/>
      <c r="G32" s="617"/>
      <c r="H32" t="s" s="623">
        <f>H11</f>
        <v>352</v>
      </c>
      <c r="I32" s="170"/>
      <c r="J32" s="620"/>
      <c r="K32" s="621"/>
      <c r="L32" s="621"/>
      <c r="M32" s="622"/>
      <c r="N32" s="618"/>
      <c r="O32" s="13"/>
      <c r="P32" s="13"/>
      <c r="Q32" s="13"/>
      <c r="R32" s="13"/>
      <c r="S32" s="497"/>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4"/>
    </row>
    <row r="33" ht="30.75" customHeight="1">
      <c r="A33" t="s" s="629">
        <f>A12</f>
        <v>354</v>
      </c>
      <c r="B33" s="192"/>
      <c r="C33" s="626"/>
      <c r="D33" s="627"/>
      <c r="E33" s="627"/>
      <c r="F33" s="628"/>
      <c r="G33" s="617"/>
      <c r="H33" t="s" s="629">
        <f>H12</f>
        <v>354</v>
      </c>
      <c r="I33" s="192"/>
      <c r="J33" s="626"/>
      <c r="K33" s="627"/>
      <c r="L33" s="627"/>
      <c r="M33" s="628"/>
      <c r="N33" s="618"/>
      <c r="O33" s="13"/>
      <c r="P33" s="13"/>
      <c r="Q33" s="13"/>
      <c r="R33" s="13"/>
      <c r="S33" s="497"/>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4"/>
    </row>
    <row r="34" ht="63.75" customHeight="1">
      <c r="A34" t="s" s="629">
        <f>A13</f>
        <v>356</v>
      </c>
      <c r="B34" s="192"/>
      <c r="C34" s="620"/>
      <c r="D34" s="621"/>
      <c r="E34" s="621"/>
      <c r="F34" s="622"/>
      <c r="G34" s="617"/>
      <c r="H34" t="s" s="701">
        <f>H13</f>
        <v>356</v>
      </c>
      <c r="I34" s="187"/>
      <c r="J34" s="620"/>
      <c r="K34" s="621"/>
      <c r="L34" s="621"/>
      <c r="M34" s="622"/>
      <c r="N34" s="618"/>
      <c r="O34" s="13"/>
      <c r="P34" s="13"/>
      <c r="Q34" s="13"/>
      <c r="R34" s="13"/>
      <c r="S34" s="497"/>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4"/>
    </row>
    <row r="35" ht="13.5" customHeight="1">
      <c r="A35" s="630"/>
      <c r="B35" s="631"/>
      <c r="C35" s="631"/>
      <c r="D35" s="631"/>
      <c r="E35" s="631"/>
      <c r="F35" s="632"/>
      <c r="G35" s="633"/>
      <c r="H35" s="630"/>
      <c r="I35" s="631"/>
      <c r="J35" s="631"/>
      <c r="K35" s="631"/>
      <c r="L35" s="631"/>
      <c r="M35" s="632"/>
      <c r="N35" s="618"/>
      <c r="O35" s="13"/>
      <c r="P35" s="13"/>
      <c r="Q35" s="13"/>
      <c r="R35" s="13"/>
      <c r="S35" s="497"/>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4"/>
    </row>
    <row r="36" ht="165.75" customHeight="1">
      <c r="A36" t="s" s="634">
        <f>A15</f>
        <v>363</v>
      </c>
      <c r="B36" t="s" s="635">
        <f>B15</f>
        <v>358</v>
      </c>
      <c r="C36" t="s" s="635">
        <f>C15</f>
        <v>359</v>
      </c>
      <c r="D36" t="s" s="635">
        <f>D15</f>
        <v>360</v>
      </c>
      <c r="E36" t="s" s="635">
        <f>E15</f>
        <v>364</v>
      </c>
      <c r="F36" t="s" s="636">
        <f>F15</f>
        <v>389</v>
      </c>
      <c r="G36" s="633"/>
      <c r="H36" t="s" s="634">
        <f>H15</f>
        <v>363</v>
      </c>
      <c r="I36" t="s" s="635">
        <f>I15</f>
        <v>358</v>
      </c>
      <c r="J36" t="s" s="635">
        <f>J15</f>
        <v>359</v>
      </c>
      <c r="K36" t="s" s="635">
        <f>K15</f>
        <v>360</v>
      </c>
      <c r="L36" t="s" s="635">
        <f>L15</f>
        <v>364</v>
      </c>
      <c r="M36" t="s" s="636">
        <f>M15</f>
        <v>389</v>
      </c>
      <c r="N36" s="618"/>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4"/>
    </row>
    <row r="37" ht="15" customHeight="1">
      <c r="A37" s="637"/>
      <c r="B37" s="638"/>
      <c r="C37" s="638"/>
      <c r="D37" s="639"/>
      <c r="E37" t="s" s="381">
        <f>IF(A37="","",$C$34*1000/'Termék'!$C$38)</f>
      </c>
      <c r="F37" t="s" s="640">
        <f>IF(A37="","",((B37+C37)/(E37*D37)))</f>
      </c>
      <c r="G37" s="633"/>
      <c r="H37" s="637"/>
      <c r="I37" s="638"/>
      <c r="J37" s="638"/>
      <c r="K37" s="639"/>
      <c r="L37" t="s" s="381">
        <f>IF(H37="","",$J$34*1000/'Termék'!$C$38)</f>
      </c>
      <c r="M37" t="s" s="640">
        <f>IF(H37="","",((I37+J37)/(L37*K37)))</f>
      </c>
      <c r="N37" s="618"/>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4"/>
    </row>
    <row r="38" ht="15" customHeight="1">
      <c r="A38" s="641"/>
      <c r="B38" s="638"/>
      <c r="C38" s="638"/>
      <c r="D38" s="639"/>
      <c r="E38" t="s" s="381">
        <f>IF(A38="","",$C$34*1000/'Termék'!$C$38)</f>
      </c>
      <c r="F38" t="s" s="640">
        <f>IF(A38="","",((B38+C38)/(E38*D38)))</f>
      </c>
      <c r="G38" s="633"/>
      <c r="H38" s="641"/>
      <c r="I38" s="638"/>
      <c r="J38" s="638"/>
      <c r="K38" s="639"/>
      <c r="L38" t="s" s="381">
        <f>IF(H38="","",$J$34*1000/'Termék'!$C$38)</f>
      </c>
      <c r="M38" t="s" s="640">
        <f>IF(H38="","",((I38+J38)/(L38*K38)))</f>
      </c>
      <c r="N38" s="618"/>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4"/>
    </row>
    <row r="39" ht="15" customHeight="1">
      <c r="A39" s="641"/>
      <c r="B39" s="638"/>
      <c r="C39" s="638"/>
      <c r="D39" s="639"/>
      <c r="E39" t="s" s="381">
        <f>IF(A39="","",$C$34*1000/'Termék'!$C$38)</f>
      </c>
      <c r="F39" t="s" s="640">
        <f>IF(A39="","",((B39+C39)/(E39*D39)))</f>
      </c>
      <c r="G39" s="633"/>
      <c r="H39" s="641"/>
      <c r="I39" s="638"/>
      <c r="J39" s="638"/>
      <c r="K39" s="639"/>
      <c r="L39" t="s" s="381">
        <f>IF(H39="","",$J$34*1000/'Termék'!$C$38)</f>
      </c>
      <c r="M39" t="s" s="640">
        <f>IF(H39="","",((I39+J39)/(L39*K39)))</f>
      </c>
      <c r="N39" s="618"/>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4"/>
    </row>
    <row r="40" ht="15" customHeight="1">
      <c r="A40" s="641"/>
      <c r="B40" s="638"/>
      <c r="C40" s="638"/>
      <c r="D40" s="639"/>
      <c r="E40" t="s" s="381">
        <f>IF(A40="","",$C$34*1000/'Termék'!$C$38)</f>
      </c>
      <c r="F40" t="s" s="640">
        <f>IF(A40="","",((B40+C40)/(E40*D40)))</f>
      </c>
      <c r="G40" s="633"/>
      <c r="H40" s="641"/>
      <c r="I40" s="638"/>
      <c r="J40" s="638"/>
      <c r="K40" s="639"/>
      <c r="L40" t="s" s="381">
        <f>IF(H40="","",$J$34*1000/'Termék'!$C$38)</f>
      </c>
      <c r="M40" t="s" s="640">
        <f>IF(H40="","",((I40+J40)/(L40*K40)))</f>
      </c>
      <c r="N40" s="618"/>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4"/>
    </row>
    <row r="41" ht="15" customHeight="1">
      <c r="A41" s="642"/>
      <c r="B41" s="643"/>
      <c r="C41" s="643"/>
      <c r="D41" s="644"/>
      <c r="E41" t="s" s="645">
        <f>IF(A41="","",$C$34*1000/'Termék'!$C$38)</f>
      </c>
      <c r="F41" t="s" s="646">
        <f>IF(A41="","",((B41+C41)/(E41*D41)))</f>
      </c>
      <c r="G41" s="633"/>
      <c r="H41" s="642"/>
      <c r="I41" s="643"/>
      <c r="J41" s="643"/>
      <c r="K41" s="644"/>
      <c r="L41" t="s" s="645">
        <f>IF(H41="","",$J$34*1000/'Termék'!$C$38)</f>
      </c>
      <c r="M41" t="s" s="646">
        <f>IF(H41="","",((I41+J41)/(L41*K41)))</f>
      </c>
      <c r="N41" s="618"/>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4"/>
    </row>
    <row r="42" ht="17.25" customHeight="1">
      <c r="A42" s="647"/>
      <c r="B42" s="648"/>
      <c r="C42" s="649"/>
      <c r="D42" t="s" s="650">
        <f>D21</f>
        <v>321</v>
      </c>
      <c r="E42" t="s" s="651">
        <f>E21</f>
        <v>367</v>
      </c>
      <c r="F42" s="685">
        <f>SUM(F37:F41)</f>
        <v>0</v>
      </c>
      <c r="G42" s="633"/>
      <c r="H42" s="647"/>
      <c r="I42" s="648"/>
      <c r="J42" s="649"/>
      <c r="K42" t="s" s="650">
        <f>K21</f>
        <v>321</v>
      </c>
      <c r="L42" t="s" s="651">
        <f>L21</f>
        <v>367</v>
      </c>
      <c r="M42" s="685">
        <f>SUM(M37:M41)</f>
        <v>0</v>
      </c>
      <c r="N42" s="618"/>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4"/>
    </row>
    <row r="43" ht="17.25" customHeight="1">
      <c r="A43" s="653"/>
      <c r="B43" s="654"/>
      <c r="C43" s="654"/>
      <c r="D43" s="655"/>
      <c r="E43" t="s" s="552">
        <f>E22</f>
        <v>368</v>
      </c>
      <c r="F43" s="656">
        <f>IF(OR(C33='Fordítások'!$C301,C33='Fordítások'!$B301),200,IF(OR(C33='Fordítások'!$C302,C33='Fordítások'!$B302),150,IF(OR(C33='Fordítások'!$C303,C33='Fordítások'!$B303),1.2,VLOOKUP('Termék'!$C$24,'Auswahldaten'!$A$113:$G$137,7,FALSE))))</f>
      </c>
      <c r="G43" s="633"/>
      <c r="H43" s="653"/>
      <c r="I43" s="654"/>
      <c r="J43" s="654"/>
      <c r="K43" s="655"/>
      <c r="L43" t="s" s="552">
        <f>L22</f>
        <v>368</v>
      </c>
      <c r="M43" s="656">
        <f>IF(OR(J33='Fordítások'!$C301,J33='Fordítások'!$B301),200,IF(OR(J33='Fordítások'!$C302,J33='Fordítások'!$B302),150,IF(OR(J33='Fordítások'!$C303,J33='Fordítások'!$B303),1.2,VLOOKUP('Termék'!$C$24,'Auswahldaten'!$A$113:$G$137,7,FALSE))))</f>
      </c>
      <c r="N43" s="618"/>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4"/>
    </row>
    <row r="44" ht="25.5" customHeight="1">
      <c r="A44" t="s" s="629">
        <f>A23</f>
        <v>370</v>
      </c>
      <c r="B44" s="192"/>
      <c r="C44" t="s" s="657">
        <f>IF(C34="","",(SUM(B37:B41)-SUM(C37:C41))/SUM(B37:B41))</f>
      </c>
      <c r="D44" s="658"/>
      <c r="E44" t="s" s="659">
        <f>E23</f>
        <v>371</v>
      </c>
      <c r="F44" s="660">
        <f>IF(OR(F42&lt;=F43,C44&gt;0.8),"ok","not ok")</f>
      </c>
      <c r="G44" s="633"/>
      <c r="H44" t="s" s="629">
        <f>A23</f>
        <v>370</v>
      </c>
      <c r="I44" s="192"/>
      <c r="J44" t="s" s="657">
        <f>IF(J34="","",(SUM(I37:I41)-SUM(J37:J41))/SUM(I37:I41))</f>
      </c>
      <c r="K44" s="658"/>
      <c r="L44" t="s" s="659">
        <f>L23</f>
        <v>371</v>
      </c>
      <c r="M44" s="660">
        <f>IF(OR(M42&lt;=M43,J44&gt;0.8),"ok","not ok")</f>
      </c>
      <c r="N44" s="618"/>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4"/>
    </row>
    <row r="45" ht="16.5" customHeight="1">
      <c r="A45" s="686"/>
      <c r="B45" s="332"/>
      <c r="C45" s="332"/>
      <c r="D45" s="151"/>
      <c r="E45" s="340"/>
      <c r="F45" s="687"/>
      <c r="G45" s="633"/>
      <c r="H45" s="686"/>
      <c r="I45" s="332"/>
      <c r="J45" s="332"/>
      <c r="K45" s="151"/>
      <c r="L45" s="340"/>
      <c r="M45" s="687"/>
      <c r="N45" s="688"/>
      <c r="O45" s="151"/>
      <c r="P45" s="151"/>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4"/>
    </row>
    <row r="46" ht="28.5" customHeight="1">
      <c r="A46" t="s" s="666">
        <f>A25</f>
        <v>373</v>
      </c>
      <c r="B46" s="667"/>
      <c r="C46" s="667"/>
      <c r="D46" s="668"/>
      <c r="E46" s="669"/>
      <c r="F46" s="670"/>
      <c r="G46" s="671"/>
      <c r="H46" t="s" s="666">
        <f>A25</f>
        <v>373</v>
      </c>
      <c r="I46" s="667"/>
      <c r="J46" s="667"/>
      <c r="K46" s="668"/>
      <c r="L46" s="669"/>
      <c r="M46" s="670"/>
      <c r="N46" s="618"/>
      <c r="O46" s="13"/>
      <c r="P46" s="13"/>
      <c r="Q46" s="13"/>
      <c r="R46" s="13"/>
      <c r="S46" s="497"/>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4"/>
    </row>
    <row r="47" ht="15" customHeight="1">
      <c r="A47" t="s" s="666">
        <f>A26</f>
        <v>375</v>
      </c>
      <c r="B47" s="667"/>
      <c r="C47" s="667"/>
      <c r="D47" s="379"/>
      <c r="E47" s="379"/>
      <c r="F47" s="672"/>
      <c r="G47" s="671"/>
      <c r="H47" t="s" s="666">
        <f>A26</f>
        <v>375</v>
      </c>
      <c r="I47" s="667"/>
      <c r="J47" s="667"/>
      <c r="K47" s="379"/>
      <c r="L47" s="379"/>
      <c r="M47" s="672"/>
      <c r="N47" s="618"/>
      <c r="O47" s="13"/>
      <c r="P47" s="13"/>
      <c r="Q47" s="13"/>
      <c r="R47" s="13"/>
      <c r="S47" s="497"/>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4"/>
    </row>
    <row r="48" ht="15" customHeight="1">
      <c r="A48" t="s" s="666">
        <f>A27</f>
        <v>377</v>
      </c>
      <c r="B48" s="667"/>
      <c r="C48" s="667"/>
      <c r="D48" s="379"/>
      <c r="E48" s="379"/>
      <c r="F48" s="672"/>
      <c r="G48" s="671"/>
      <c r="H48" t="s" s="666">
        <f>A27</f>
        <v>377</v>
      </c>
      <c r="I48" s="667"/>
      <c r="J48" s="667"/>
      <c r="K48" s="379"/>
      <c r="L48" s="379"/>
      <c r="M48" s="672"/>
      <c r="N48" s="618"/>
      <c r="O48" s="13"/>
      <c r="P48" s="13"/>
      <c r="Q48" s="13"/>
      <c r="R48" s="13"/>
      <c r="S48" s="497"/>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4"/>
    </row>
    <row r="49" ht="15" customHeight="1">
      <c r="A49" t="s" s="666">
        <f>A28</f>
        <v>379</v>
      </c>
      <c r="B49" s="667"/>
      <c r="C49" s="667"/>
      <c r="D49" s="379"/>
      <c r="E49" s="379"/>
      <c r="F49" s="672"/>
      <c r="G49" s="671"/>
      <c r="H49" t="s" s="666">
        <f>A28</f>
        <v>379</v>
      </c>
      <c r="I49" s="667"/>
      <c r="J49" s="667"/>
      <c r="K49" s="379"/>
      <c r="L49" s="379"/>
      <c r="M49" s="672"/>
      <c r="N49" s="618"/>
      <c r="O49" s="13"/>
      <c r="P49" s="13"/>
      <c r="Q49" s="13"/>
      <c r="R49" s="13"/>
      <c r="S49" s="497"/>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4"/>
    </row>
    <row r="50" ht="15" customHeight="1">
      <c r="A50" t="s" s="673">
        <f>A29</f>
        <v>381</v>
      </c>
      <c r="B50" s="674"/>
      <c r="C50" s="674"/>
      <c r="D50" s="675"/>
      <c r="E50" s="675"/>
      <c r="F50" s="676"/>
      <c r="G50" s="671"/>
      <c r="H50" t="s" s="673">
        <f>A29</f>
        <v>381</v>
      </c>
      <c r="I50" s="674"/>
      <c r="J50" s="674"/>
      <c r="K50" s="675"/>
      <c r="L50" s="675"/>
      <c r="M50" s="676"/>
      <c r="N50" s="618"/>
      <c r="O50" s="13"/>
      <c r="P50" s="13"/>
      <c r="Q50" s="13"/>
      <c r="R50" s="13"/>
      <c r="S50" s="497"/>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4"/>
    </row>
    <row r="51" ht="15.75" customHeight="1">
      <c r="A51" s="689"/>
      <c r="B51" s="690"/>
      <c r="C51" s="690"/>
      <c r="D51" s="690"/>
      <c r="E51" s="690"/>
      <c r="F51" s="690"/>
      <c r="G51" s="517"/>
      <c r="H51" s="690"/>
      <c r="I51" s="690"/>
      <c r="J51" s="690"/>
      <c r="K51" s="690"/>
      <c r="L51" s="690"/>
      <c r="M51" s="690"/>
      <c r="N51" s="151"/>
      <c r="O51" s="151"/>
      <c r="P51" s="151"/>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4"/>
    </row>
    <row r="52" ht="34.5" customHeight="1">
      <c r="A52" t="s" s="313">
        <f>'Összetétel'!B67</f>
        <v>264</v>
      </c>
      <c r="B52" s="411"/>
      <c r="C52" s="411"/>
      <c r="D52" s="411"/>
      <c r="E52" s="411"/>
      <c r="F52" s="411"/>
      <c r="G52" s="411"/>
      <c r="H52" s="411"/>
      <c r="I52" s="411"/>
      <c r="J52" s="411"/>
      <c r="K52" s="411"/>
      <c r="L52" s="411"/>
      <c r="M52" s="407"/>
      <c r="N52" s="149"/>
      <c r="O52" s="151"/>
      <c r="P52" s="151"/>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4"/>
    </row>
    <row r="53" ht="15.75" customHeight="1">
      <c r="A53" s="691"/>
      <c r="B53" s="340"/>
      <c r="C53" s="340"/>
      <c r="D53" s="340"/>
      <c r="E53" s="340"/>
      <c r="F53" s="340"/>
      <c r="G53" s="512"/>
      <c r="H53" s="340"/>
      <c r="I53" s="340"/>
      <c r="J53" s="340"/>
      <c r="K53" s="340"/>
      <c r="L53" s="340"/>
      <c r="M53" s="340"/>
      <c r="N53" s="151"/>
      <c r="O53" s="151"/>
      <c r="P53" s="151"/>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4"/>
    </row>
    <row r="54" ht="15.75" customHeight="1">
      <c r="A54" s="692"/>
      <c r="B54" s="151"/>
      <c r="C54" s="151"/>
      <c r="D54" s="151"/>
      <c r="E54" s="151"/>
      <c r="F54" s="151"/>
      <c r="G54" s="185"/>
      <c r="H54" s="151"/>
      <c r="I54" s="151"/>
      <c r="J54" s="151"/>
      <c r="K54" s="151"/>
      <c r="L54" s="151"/>
      <c r="M54" s="151"/>
      <c r="N54" s="151"/>
      <c r="O54" s="151"/>
      <c r="P54" s="151"/>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4"/>
    </row>
    <row r="55" ht="15.75" customHeight="1">
      <c r="A55" s="692"/>
      <c r="B55" s="151"/>
      <c r="C55" s="151"/>
      <c r="D55" s="151"/>
      <c r="E55" s="151"/>
      <c r="F55" s="151"/>
      <c r="G55" s="185"/>
      <c r="H55" s="151"/>
      <c r="I55" s="151"/>
      <c r="J55" s="151"/>
      <c r="K55" s="151"/>
      <c r="L55" s="151"/>
      <c r="M55" s="151"/>
      <c r="N55" s="151"/>
      <c r="O55" s="151"/>
      <c r="P55" s="151"/>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4"/>
    </row>
    <row r="56" ht="15.75" customHeight="1">
      <c r="A56" s="692"/>
      <c r="B56" s="151"/>
      <c r="C56" s="151"/>
      <c r="D56" s="151"/>
      <c r="E56" s="151"/>
      <c r="F56" s="151"/>
      <c r="G56" s="185"/>
      <c r="H56" s="151"/>
      <c r="I56" s="151"/>
      <c r="J56" s="151"/>
      <c r="K56" s="151"/>
      <c r="L56" s="151"/>
      <c r="M56" s="151"/>
      <c r="N56" s="151"/>
      <c r="O56" s="151"/>
      <c r="P56" s="151"/>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4"/>
    </row>
    <row r="57" ht="15.75" customHeight="1">
      <c r="A57" s="692"/>
      <c r="B57" s="151"/>
      <c r="C57" s="151"/>
      <c r="D57" s="151"/>
      <c r="E57" s="151"/>
      <c r="F57" s="151"/>
      <c r="G57" s="185"/>
      <c r="H57" s="151"/>
      <c r="I57" s="151"/>
      <c r="J57" s="151"/>
      <c r="K57" s="151"/>
      <c r="L57" s="151"/>
      <c r="M57" s="151"/>
      <c r="N57" s="151"/>
      <c r="O57" s="151"/>
      <c r="P57" s="151"/>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4"/>
    </row>
    <row r="58" ht="15.75" customHeight="1">
      <c r="A58" s="692"/>
      <c r="B58" s="151"/>
      <c r="C58" s="151"/>
      <c r="D58" s="151"/>
      <c r="E58" s="151"/>
      <c r="F58" s="151"/>
      <c r="G58" s="185"/>
      <c r="H58" s="151"/>
      <c r="I58" s="151"/>
      <c r="J58" s="151"/>
      <c r="K58" s="151"/>
      <c r="L58" s="151"/>
      <c r="M58" s="151"/>
      <c r="N58" s="151"/>
      <c r="O58" s="151"/>
      <c r="P58" s="151"/>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4"/>
    </row>
    <row r="59" ht="15.75" customHeight="1">
      <c r="A59" s="692"/>
      <c r="B59" s="151"/>
      <c r="C59" s="151"/>
      <c r="D59" s="151"/>
      <c r="E59" s="151"/>
      <c r="F59" s="151"/>
      <c r="G59" s="185"/>
      <c r="H59" s="151"/>
      <c r="I59" s="151"/>
      <c r="J59" s="151"/>
      <c r="K59" s="151"/>
      <c r="L59" s="151"/>
      <c r="M59" s="151"/>
      <c r="N59" s="151"/>
      <c r="O59" s="151"/>
      <c r="P59" s="151"/>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4"/>
    </row>
    <row r="60" ht="15.75" customHeight="1">
      <c r="A60" s="692"/>
      <c r="B60" s="151"/>
      <c r="C60" s="151"/>
      <c r="D60" s="151"/>
      <c r="E60" s="151"/>
      <c r="F60" s="151"/>
      <c r="G60" s="185"/>
      <c r="H60" s="151"/>
      <c r="I60" s="151"/>
      <c r="J60" s="151"/>
      <c r="K60" s="151"/>
      <c r="L60" s="151"/>
      <c r="M60" s="151"/>
      <c r="N60" s="151"/>
      <c r="O60" s="151"/>
      <c r="P60" s="151"/>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4"/>
    </row>
    <row r="61" ht="15.75" customHeight="1">
      <c r="A61" s="692"/>
      <c r="B61" s="151"/>
      <c r="C61" s="151"/>
      <c r="D61" s="151"/>
      <c r="E61" s="151"/>
      <c r="F61" s="151"/>
      <c r="G61" s="185"/>
      <c r="H61" s="151"/>
      <c r="I61" s="151"/>
      <c r="J61" s="151"/>
      <c r="K61" s="151"/>
      <c r="L61" s="151"/>
      <c r="M61" s="151"/>
      <c r="N61" s="151"/>
      <c r="O61" s="151"/>
      <c r="P61" s="151"/>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4"/>
    </row>
    <row r="62" ht="15.75" customHeight="1">
      <c r="A62" s="692"/>
      <c r="B62" s="151"/>
      <c r="C62" s="151"/>
      <c r="D62" s="151"/>
      <c r="E62" s="151"/>
      <c r="F62" s="151"/>
      <c r="G62" s="185"/>
      <c r="H62" s="151"/>
      <c r="I62" s="151"/>
      <c r="J62" s="151"/>
      <c r="K62" s="151"/>
      <c r="L62" s="151"/>
      <c r="M62" s="151"/>
      <c r="N62" s="151"/>
      <c r="O62" s="151"/>
      <c r="P62" s="151"/>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4"/>
    </row>
    <row r="63" ht="15.75" customHeight="1">
      <c r="A63" s="692"/>
      <c r="B63" s="151"/>
      <c r="C63" s="151"/>
      <c r="D63" s="151"/>
      <c r="E63" s="151"/>
      <c r="F63" s="151"/>
      <c r="G63" s="185"/>
      <c r="H63" s="151"/>
      <c r="I63" s="151"/>
      <c r="J63" s="151"/>
      <c r="K63" s="151"/>
      <c r="L63" s="151"/>
      <c r="M63" s="151"/>
      <c r="N63" s="151"/>
      <c r="O63" s="151"/>
      <c r="P63" s="151"/>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4"/>
    </row>
    <row r="64" ht="15.75" customHeight="1">
      <c r="A64" s="692"/>
      <c r="B64" s="151"/>
      <c r="C64" s="151"/>
      <c r="D64" s="151"/>
      <c r="E64" s="151"/>
      <c r="F64" s="151"/>
      <c r="G64" s="185"/>
      <c r="H64" s="151"/>
      <c r="I64" s="151"/>
      <c r="J64" s="151"/>
      <c r="K64" s="151"/>
      <c r="L64" s="151"/>
      <c r="M64" s="151"/>
      <c r="N64" s="151"/>
      <c r="O64" s="151"/>
      <c r="P64" s="151"/>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4"/>
    </row>
    <row r="65" ht="15.75" customHeight="1">
      <c r="A65" s="692"/>
      <c r="B65" s="151"/>
      <c r="C65" s="151"/>
      <c r="D65" s="151"/>
      <c r="E65" s="151"/>
      <c r="F65" s="151"/>
      <c r="G65" s="185"/>
      <c r="H65" s="151"/>
      <c r="I65" s="151"/>
      <c r="J65" s="151"/>
      <c r="K65" s="151"/>
      <c r="L65" s="151"/>
      <c r="M65" s="151"/>
      <c r="N65" s="151"/>
      <c r="O65" s="151"/>
      <c r="P65" s="151"/>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4"/>
    </row>
    <row r="66" ht="15.75" customHeight="1">
      <c r="A66" s="692"/>
      <c r="B66" s="151"/>
      <c r="C66" s="151"/>
      <c r="D66" s="151"/>
      <c r="E66" s="151"/>
      <c r="F66" s="151"/>
      <c r="G66" s="151"/>
      <c r="H66" s="151"/>
      <c r="I66" s="151"/>
      <c r="J66" s="151"/>
      <c r="K66" s="151"/>
      <c r="L66" s="151"/>
      <c r="M66" s="151"/>
      <c r="N66" s="151"/>
      <c r="O66" s="151"/>
      <c r="P66" s="151"/>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4"/>
    </row>
    <row r="67" ht="15.75" customHeight="1">
      <c r="A67" s="692"/>
      <c r="B67" s="151"/>
      <c r="C67" s="151"/>
      <c r="D67" s="151"/>
      <c r="E67" s="151"/>
      <c r="F67" s="151"/>
      <c r="G67" s="151"/>
      <c r="H67" s="151"/>
      <c r="I67" s="151"/>
      <c r="J67" s="151"/>
      <c r="K67" s="151"/>
      <c r="L67" s="151"/>
      <c r="M67" s="151"/>
      <c r="N67" s="151"/>
      <c r="O67" s="151"/>
      <c r="P67" s="151"/>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4"/>
    </row>
    <row r="68" ht="15.75" customHeight="1">
      <c r="A68" s="692"/>
      <c r="B68" s="151"/>
      <c r="C68" s="151"/>
      <c r="D68" s="151"/>
      <c r="E68" s="151"/>
      <c r="F68" s="151"/>
      <c r="G68" s="151"/>
      <c r="H68" s="151"/>
      <c r="I68" s="151"/>
      <c r="J68" s="151"/>
      <c r="K68" s="151"/>
      <c r="L68" s="151"/>
      <c r="M68" s="151"/>
      <c r="N68" s="151"/>
      <c r="O68" s="151"/>
      <c r="P68" s="151"/>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4"/>
    </row>
    <row r="69" ht="15.75" customHeight="1">
      <c r="A69" s="692"/>
      <c r="B69" s="151"/>
      <c r="C69" s="151"/>
      <c r="D69" s="151"/>
      <c r="E69" s="151"/>
      <c r="F69" s="151"/>
      <c r="G69" s="151"/>
      <c r="H69" s="151"/>
      <c r="I69" s="151"/>
      <c r="J69" s="151"/>
      <c r="K69" s="151"/>
      <c r="L69" s="151"/>
      <c r="M69" s="151"/>
      <c r="N69" s="151"/>
      <c r="O69" s="151"/>
      <c r="P69" s="151"/>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4"/>
    </row>
    <row r="70" ht="15.75" customHeight="1">
      <c r="A70" s="692"/>
      <c r="B70" s="151"/>
      <c r="C70" s="151"/>
      <c r="D70" s="151"/>
      <c r="E70" s="151"/>
      <c r="F70" s="151"/>
      <c r="G70" s="151"/>
      <c r="H70" s="151"/>
      <c r="I70" s="151"/>
      <c r="J70" s="151"/>
      <c r="K70" s="151"/>
      <c r="L70" s="151"/>
      <c r="M70" s="151"/>
      <c r="N70" s="151"/>
      <c r="O70" s="151"/>
      <c r="P70" s="151"/>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4"/>
    </row>
    <row r="71" ht="15.75" customHeight="1">
      <c r="A71" s="692"/>
      <c r="B71" s="151"/>
      <c r="C71" s="151"/>
      <c r="D71" s="151"/>
      <c r="E71" s="151"/>
      <c r="F71" s="151"/>
      <c r="G71" s="151"/>
      <c r="H71" s="151"/>
      <c r="I71" s="151"/>
      <c r="J71" s="151"/>
      <c r="K71" s="151"/>
      <c r="L71" s="151"/>
      <c r="M71" s="151"/>
      <c r="N71" s="151"/>
      <c r="O71" s="151"/>
      <c r="P71" s="151"/>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4"/>
    </row>
    <row r="72" ht="15.75" customHeight="1">
      <c r="A72" s="692"/>
      <c r="B72" s="151"/>
      <c r="C72" s="151"/>
      <c r="D72" s="151"/>
      <c r="E72" s="151"/>
      <c r="F72" s="151"/>
      <c r="G72" s="151"/>
      <c r="H72" s="151"/>
      <c r="I72" s="151"/>
      <c r="J72" s="151"/>
      <c r="K72" s="151"/>
      <c r="L72" s="151"/>
      <c r="M72" s="151"/>
      <c r="N72" s="151"/>
      <c r="O72" s="151"/>
      <c r="P72" s="151"/>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4"/>
    </row>
    <row r="73" ht="15.75" customHeight="1">
      <c r="A73" s="692"/>
      <c r="B73" s="151"/>
      <c r="C73" s="151"/>
      <c r="D73" s="151"/>
      <c r="E73" s="151"/>
      <c r="F73" s="151"/>
      <c r="G73" s="151"/>
      <c r="H73" s="151"/>
      <c r="I73" s="151"/>
      <c r="J73" s="151"/>
      <c r="K73" s="151"/>
      <c r="L73" s="151"/>
      <c r="M73" s="151"/>
      <c r="N73" s="151"/>
      <c r="O73" s="151"/>
      <c r="P73" s="151"/>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4"/>
    </row>
    <row r="74" ht="15.75" customHeight="1">
      <c r="A74" s="692"/>
      <c r="B74" s="151"/>
      <c r="C74" s="151"/>
      <c r="D74" s="151"/>
      <c r="E74" s="151"/>
      <c r="F74" s="151"/>
      <c r="G74" s="151"/>
      <c r="H74" s="151"/>
      <c r="I74" s="151"/>
      <c r="J74" s="151"/>
      <c r="K74" s="151"/>
      <c r="L74" s="151"/>
      <c r="M74" s="151"/>
      <c r="N74" s="151"/>
      <c r="O74" s="151"/>
      <c r="P74" s="151"/>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4"/>
    </row>
    <row r="75" ht="15.75" customHeight="1">
      <c r="A75" s="692"/>
      <c r="B75" s="151"/>
      <c r="C75" s="151"/>
      <c r="D75" s="151"/>
      <c r="E75" s="151"/>
      <c r="F75" s="151"/>
      <c r="G75" s="151"/>
      <c r="H75" s="151"/>
      <c r="I75" s="151"/>
      <c r="J75" s="151"/>
      <c r="K75" s="151"/>
      <c r="L75" s="151"/>
      <c r="M75" s="151"/>
      <c r="N75" s="151"/>
      <c r="O75" s="151"/>
      <c r="P75" s="151"/>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4"/>
    </row>
    <row r="76" ht="15.75" customHeight="1">
      <c r="A76" s="692"/>
      <c r="B76" s="151"/>
      <c r="C76" s="151"/>
      <c r="D76" s="151"/>
      <c r="E76" s="151"/>
      <c r="F76" s="151"/>
      <c r="G76" s="151"/>
      <c r="H76" s="151"/>
      <c r="I76" s="151"/>
      <c r="J76" s="151"/>
      <c r="K76" s="151"/>
      <c r="L76" s="151"/>
      <c r="M76" s="151"/>
      <c r="N76" s="151"/>
      <c r="O76" s="151"/>
      <c r="P76" s="151"/>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4"/>
    </row>
    <row r="77" ht="15.75" customHeight="1">
      <c r="A77" s="692"/>
      <c r="B77" s="151"/>
      <c r="C77" s="151"/>
      <c r="D77" s="151"/>
      <c r="E77" s="151"/>
      <c r="F77" s="151"/>
      <c r="G77" s="151"/>
      <c r="H77" s="151"/>
      <c r="I77" s="151"/>
      <c r="J77" s="151"/>
      <c r="K77" s="151"/>
      <c r="L77" s="151"/>
      <c r="M77" s="151"/>
      <c r="N77" s="151"/>
      <c r="O77" s="151"/>
      <c r="P77" s="151"/>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4"/>
    </row>
    <row r="78" ht="15.75" customHeight="1">
      <c r="A78" s="692"/>
      <c r="B78" s="151"/>
      <c r="C78" s="151"/>
      <c r="D78" s="151"/>
      <c r="E78" s="151"/>
      <c r="F78" s="151"/>
      <c r="G78" s="151"/>
      <c r="H78" s="151"/>
      <c r="I78" s="151"/>
      <c r="J78" s="151"/>
      <c r="K78" s="151"/>
      <c r="L78" s="151"/>
      <c r="M78" s="151"/>
      <c r="N78" s="151"/>
      <c r="O78" s="151"/>
      <c r="P78" s="151"/>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4"/>
    </row>
    <row r="79" ht="15.75" customHeight="1">
      <c r="A79" s="227"/>
      <c r="B79" s="227"/>
      <c r="C79" s="227"/>
      <c r="D79" s="227"/>
      <c r="E79" s="227"/>
      <c r="F79" s="227"/>
      <c r="G79" s="130"/>
      <c r="H79" s="151"/>
      <c r="I79" s="151"/>
      <c r="J79" s="151"/>
      <c r="K79" s="151"/>
      <c r="L79" s="151"/>
      <c r="M79" s="151"/>
      <c r="N79" s="151"/>
      <c r="O79" s="151"/>
      <c r="P79" s="151"/>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4"/>
    </row>
    <row r="80" ht="15.75" customHeight="1">
      <c r="A80" s="142"/>
      <c r="B80" s="142"/>
      <c r="C80" s="142"/>
      <c r="D80" s="142"/>
      <c r="E80" s="142"/>
      <c r="F80" s="142"/>
      <c r="G80" s="146"/>
      <c r="H80" s="151"/>
      <c r="I80" s="151"/>
      <c r="J80" s="151"/>
      <c r="K80" s="151"/>
      <c r="L80" s="151"/>
      <c r="M80" s="151"/>
      <c r="N80" s="151"/>
      <c r="O80" s="151"/>
      <c r="P80" s="151"/>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4"/>
    </row>
    <row r="81" ht="15.75" customHeight="1">
      <c r="A81" s="142"/>
      <c r="B81" s="142"/>
      <c r="C81" s="142"/>
      <c r="D81" s="142"/>
      <c r="E81" s="142"/>
      <c r="F81" s="142"/>
      <c r="G81" s="146"/>
      <c r="H81" s="151"/>
      <c r="I81" s="151"/>
      <c r="J81" s="151"/>
      <c r="K81" s="151"/>
      <c r="L81" s="151"/>
      <c r="M81" s="151"/>
      <c r="N81" s="151"/>
      <c r="O81" s="151"/>
      <c r="P81" s="151"/>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4"/>
    </row>
    <row r="82" ht="15.75" customHeight="1">
      <c r="A82" s="142"/>
      <c r="B82" s="142"/>
      <c r="C82" s="142"/>
      <c r="D82" s="142"/>
      <c r="E82" s="142"/>
      <c r="F82" s="142"/>
      <c r="G82" s="146"/>
      <c r="H82" s="151"/>
      <c r="I82" s="151"/>
      <c r="J82" s="151"/>
      <c r="K82" s="151"/>
      <c r="L82" s="151"/>
      <c r="M82" s="151"/>
      <c r="N82" s="151"/>
      <c r="O82" s="151"/>
      <c r="P82" s="151"/>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4"/>
    </row>
    <row r="83" ht="13.65" customHeight="1">
      <c r="A83" s="142"/>
      <c r="B83" s="142"/>
      <c r="C83" s="142"/>
      <c r="D83" s="142"/>
      <c r="E83" s="142"/>
      <c r="F83" s="142"/>
      <c r="G83" s="142"/>
      <c r="H83" s="227"/>
      <c r="I83" s="227"/>
      <c r="J83" s="227"/>
      <c r="K83" s="227"/>
      <c r="L83" s="130"/>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4"/>
    </row>
    <row r="84" ht="13.65" customHeight="1">
      <c r="A84" s="142"/>
      <c r="B84" s="142"/>
      <c r="C84" s="142"/>
      <c r="D84" s="142"/>
      <c r="E84" s="142"/>
      <c r="F84" s="142"/>
      <c r="G84" s="142"/>
      <c r="H84" s="142"/>
      <c r="I84" s="142"/>
      <c r="J84" s="142"/>
      <c r="K84" s="142"/>
      <c r="L84" s="146"/>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4"/>
    </row>
    <row r="85" ht="13.65" customHeight="1">
      <c r="A85" s="142"/>
      <c r="B85" s="142"/>
      <c r="C85" s="142"/>
      <c r="D85" s="142"/>
      <c r="E85" s="142"/>
      <c r="F85" s="142"/>
      <c r="G85" s="142"/>
      <c r="H85" s="142"/>
      <c r="I85" s="142"/>
      <c r="J85" s="142"/>
      <c r="K85" s="142"/>
      <c r="L85" s="146"/>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4"/>
    </row>
    <row r="86" ht="13.65" customHeight="1">
      <c r="A86" s="142"/>
      <c r="B86" s="142"/>
      <c r="C86" s="142"/>
      <c r="D86" s="142"/>
      <c r="E86" s="142"/>
      <c r="F86" s="142"/>
      <c r="G86" s="142"/>
      <c r="H86" s="142"/>
      <c r="I86" s="142"/>
      <c r="J86" s="142"/>
      <c r="K86" s="142"/>
      <c r="L86" s="146"/>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4"/>
    </row>
    <row r="87" ht="13.65" customHeight="1">
      <c r="A87" s="142"/>
      <c r="B87" s="142"/>
      <c r="C87" s="142"/>
      <c r="D87" s="142"/>
      <c r="E87" s="142"/>
      <c r="F87" s="142"/>
      <c r="G87" s="142"/>
      <c r="H87" s="142"/>
      <c r="I87" s="142"/>
      <c r="J87" s="142"/>
      <c r="K87" s="142"/>
      <c r="L87" s="146"/>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4"/>
    </row>
    <row r="88" ht="13.65" customHeight="1">
      <c r="A88" s="142"/>
      <c r="B88" s="142"/>
      <c r="C88" s="142"/>
      <c r="D88" s="142"/>
      <c r="E88" s="142"/>
      <c r="F88" s="142"/>
      <c r="G88" s="142"/>
      <c r="H88" s="142"/>
      <c r="I88" s="142"/>
      <c r="J88" s="142"/>
      <c r="K88" s="142"/>
      <c r="L88" s="146"/>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4"/>
    </row>
    <row r="89" ht="13.65" customHeight="1">
      <c r="A89" s="142"/>
      <c r="B89" s="142"/>
      <c r="C89" s="142"/>
      <c r="D89" s="142"/>
      <c r="E89" s="142"/>
      <c r="F89" s="142"/>
      <c r="G89" s="142"/>
      <c r="H89" s="142"/>
      <c r="I89" s="142"/>
      <c r="J89" s="142"/>
      <c r="K89" s="142"/>
      <c r="L89" s="146"/>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4"/>
    </row>
    <row r="90" ht="13.65" customHeight="1">
      <c r="A90" s="142"/>
      <c r="B90" s="142"/>
      <c r="C90" s="142"/>
      <c r="D90" s="142"/>
      <c r="E90" s="142"/>
      <c r="F90" s="142"/>
      <c r="G90" s="142"/>
      <c r="H90" s="142"/>
      <c r="I90" s="142"/>
      <c r="J90" s="142"/>
      <c r="K90" s="142"/>
      <c r="L90" s="146"/>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4"/>
    </row>
    <row r="91" ht="13.65" customHeight="1">
      <c r="A91" s="142"/>
      <c r="B91" s="142"/>
      <c r="C91" s="142"/>
      <c r="D91" s="142"/>
      <c r="E91" s="142"/>
      <c r="F91" s="142"/>
      <c r="G91" s="142"/>
      <c r="H91" s="142"/>
      <c r="I91" s="142"/>
      <c r="J91" s="142"/>
      <c r="K91" s="142"/>
      <c r="L91" s="146"/>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4"/>
    </row>
    <row r="92" ht="13.65" customHeight="1">
      <c r="A92" s="142"/>
      <c r="B92" s="142"/>
      <c r="C92" s="142"/>
      <c r="D92" s="142"/>
      <c r="E92" s="142"/>
      <c r="F92" s="142"/>
      <c r="G92" s="142"/>
      <c r="H92" s="142"/>
      <c r="I92" s="142"/>
      <c r="J92" s="142"/>
      <c r="K92" s="142"/>
      <c r="L92" s="146"/>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4"/>
    </row>
    <row r="93" ht="13.65" customHeight="1">
      <c r="A93" s="142"/>
      <c r="B93" s="142"/>
      <c r="C93" s="142"/>
      <c r="D93" s="142"/>
      <c r="E93" s="142"/>
      <c r="F93" s="142"/>
      <c r="G93" s="142"/>
      <c r="H93" s="142"/>
      <c r="I93" s="142"/>
      <c r="J93" s="142"/>
      <c r="K93" s="142"/>
      <c r="L93" s="146"/>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4"/>
    </row>
    <row r="94" ht="13.65" customHeight="1">
      <c r="A94" s="142"/>
      <c r="B94" s="142"/>
      <c r="C94" s="142"/>
      <c r="D94" s="142"/>
      <c r="E94" s="142"/>
      <c r="F94" s="142"/>
      <c r="G94" s="142"/>
      <c r="H94" s="142"/>
      <c r="I94" s="142"/>
      <c r="J94" s="142"/>
      <c r="K94" s="142"/>
      <c r="L94" s="146"/>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4"/>
    </row>
    <row r="95" ht="13.65" customHeight="1">
      <c r="A95" s="142"/>
      <c r="B95" s="142"/>
      <c r="C95" s="142"/>
      <c r="D95" s="142"/>
      <c r="E95" s="142"/>
      <c r="F95" s="142"/>
      <c r="G95" s="142"/>
      <c r="H95" s="142"/>
      <c r="I95" s="142"/>
      <c r="J95" s="142"/>
      <c r="K95" s="142"/>
      <c r="L95" s="146"/>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4"/>
    </row>
    <row r="96" ht="13.65" customHeight="1">
      <c r="A96" s="142"/>
      <c r="B96" s="142"/>
      <c r="C96" s="142"/>
      <c r="D96" s="142"/>
      <c r="E96" s="142"/>
      <c r="F96" s="142"/>
      <c r="G96" s="142"/>
      <c r="H96" s="142"/>
      <c r="I96" s="142"/>
      <c r="J96" s="142"/>
      <c r="K96" s="142"/>
      <c r="L96" s="146"/>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4"/>
    </row>
    <row r="97" ht="13.65" customHeight="1">
      <c r="A97" s="142"/>
      <c r="B97" s="142"/>
      <c r="C97" s="142"/>
      <c r="D97" s="142"/>
      <c r="E97" s="142"/>
      <c r="F97" s="142"/>
      <c r="G97" s="142"/>
      <c r="H97" s="142"/>
      <c r="I97" s="142"/>
      <c r="J97" s="142"/>
      <c r="K97" s="142"/>
      <c r="L97" s="146"/>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4"/>
    </row>
    <row r="98" ht="13.65" customHeight="1">
      <c r="A98" s="142"/>
      <c r="B98" s="142"/>
      <c r="C98" s="142"/>
      <c r="D98" s="142"/>
      <c r="E98" s="142"/>
      <c r="F98" s="142"/>
      <c r="G98" s="142"/>
      <c r="H98" s="142"/>
      <c r="I98" s="142"/>
      <c r="J98" s="142"/>
      <c r="K98" s="142"/>
      <c r="L98" s="146"/>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4"/>
    </row>
    <row r="99" ht="13.65" customHeight="1">
      <c r="A99" s="142"/>
      <c r="B99" s="142"/>
      <c r="C99" s="142"/>
      <c r="D99" s="142"/>
      <c r="E99" s="142"/>
      <c r="F99" s="142"/>
      <c r="G99" s="142"/>
      <c r="H99" s="142"/>
      <c r="I99" s="142"/>
      <c r="J99" s="142"/>
      <c r="K99" s="142"/>
      <c r="L99" s="146"/>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4"/>
    </row>
    <row r="100" ht="13.65" customHeight="1">
      <c r="A100" s="142"/>
      <c r="B100" s="142"/>
      <c r="C100" s="142"/>
      <c r="D100" s="142"/>
      <c r="E100" s="142"/>
      <c r="F100" s="142"/>
      <c r="G100" s="142"/>
      <c r="H100" s="142"/>
      <c r="I100" s="142"/>
      <c r="J100" s="142"/>
      <c r="K100" s="142"/>
      <c r="L100" s="146"/>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4"/>
    </row>
    <row r="101" ht="13.65" customHeight="1">
      <c r="A101" s="142"/>
      <c r="B101" s="142"/>
      <c r="C101" s="142"/>
      <c r="D101" s="142"/>
      <c r="E101" s="142"/>
      <c r="F101" s="142"/>
      <c r="G101" s="142"/>
      <c r="H101" s="142"/>
      <c r="I101" s="142"/>
      <c r="J101" s="142"/>
      <c r="K101" s="142"/>
      <c r="L101" s="146"/>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4"/>
    </row>
    <row r="102" ht="13.65" customHeight="1">
      <c r="A102" s="142"/>
      <c r="B102" s="142"/>
      <c r="C102" s="142"/>
      <c r="D102" s="142"/>
      <c r="E102" s="142"/>
      <c r="F102" s="142"/>
      <c r="G102" s="142"/>
      <c r="H102" s="142"/>
      <c r="I102" s="142"/>
      <c r="J102" s="142"/>
      <c r="K102" s="142"/>
      <c r="L102" s="146"/>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4"/>
    </row>
    <row r="103" ht="13.65" customHeight="1">
      <c r="A103" s="142"/>
      <c r="B103" s="142"/>
      <c r="C103" s="142"/>
      <c r="D103" s="142"/>
      <c r="E103" s="142"/>
      <c r="F103" s="142"/>
      <c r="G103" s="142"/>
      <c r="H103" s="142"/>
      <c r="I103" s="142"/>
      <c r="J103" s="142"/>
      <c r="K103" s="142"/>
      <c r="L103" s="146"/>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4"/>
    </row>
    <row r="104" ht="13.65" customHeight="1">
      <c r="A104" s="142"/>
      <c r="B104" s="142"/>
      <c r="C104" s="142"/>
      <c r="D104" s="142"/>
      <c r="E104" s="142"/>
      <c r="F104" s="142"/>
      <c r="G104" s="142"/>
      <c r="H104" s="142"/>
      <c r="I104" s="142"/>
      <c r="J104" s="142"/>
      <c r="K104" s="142"/>
      <c r="L104" s="146"/>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4"/>
    </row>
    <row r="105" ht="13.65" customHeight="1">
      <c r="A105" s="142"/>
      <c r="B105" s="142"/>
      <c r="C105" s="142"/>
      <c r="D105" s="142"/>
      <c r="E105" s="142"/>
      <c r="F105" s="142"/>
      <c r="G105" s="142"/>
      <c r="H105" s="142"/>
      <c r="I105" s="142"/>
      <c r="J105" s="142"/>
      <c r="K105" s="142"/>
      <c r="L105" s="146"/>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4"/>
    </row>
    <row r="106" ht="13.65" customHeight="1">
      <c r="A106" s="142"/>
      <c r="B106" s="142"/>
      <c r="C106" s="142"/>
      <c r="D106" s="142"/>
      <c r="E106" s="142"/>
      <c r="F106" s="142"/>
      <c r="G106" s="142"/>
      <c r="H106" s="142"/>
      <c r="I106" s="142"/>
      <c r="J106" s="142"/>
      <c r="K106" s="142"/>
      <c r="L106" s="146"/>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4"/>
    </row>
    <row r="107" ht="13.65" customHeight="1">
      <c r="A107" s="142"/>
      <c r="B107" s="142"/>
      <c r="C107" s="142"/>
      <c r="D107" s="142"/>
      <c r="E107" s="142"/>
      <c r="F107" s="142"/>
      <c r="G107" s="142"/>
      <c r="H107" s="142"/>
      <c r="I107" s="142"/>
      <c r="J107" s="142"/>
      <c r="K107" s="142"/>
      <c r="L107" s="146"/>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4"/>
    </row>
    <row r="108" ht="13.65" customHeight="1">
      <c r="A108" s="142"/>
      <c r="B108" s="142"/>
      <c r="C108" s="142"/>
      <c r="D108" s="142"/>
      <c r="E108" s="142"/>
      <c r="F108" s="142"/>
      <c r="G108" s="142"/>
      <c r="H108" s="142"/>
      <c r="I108" s="142"/>
      <c r="J108" s="142"/>
      <c r="K108" s="142"/>
      <c r="L108" s="146"/>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4"/>
    </row>
    <row r="109" ht="13.65" customHeight="1">
      <c r="A109" s="142"/>
      <c r="B109" s="142"/>
      <c r="C109" s="142"/>
      <c r="D109" s="142"/>
      <c r="E109" s="142"/>
      <c r="F109" s="142"/>
      <c r="G109" s="142"/>
      <c r="H109" s="142"/>
      <c r="I109" s="142"/>
      <c r="J109" s="142"/>
      <c r="K109" s="142"/>
      <c r="L109" s="146"/>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4"/>
    </row>
    <row r="110" ht="13.65" customHeight="1">
      <c r="A110" s="142"/>
      <c r="B110" s="142"/>
      <c r="C110" s="142"/>
      <c r="D110" s="142"/>
      <c r="E110" s="142"/>
      <c r="F110" s="142"/>
      <c r="G110" s="142"/>
      <c r="H110" s="142"/>
      <c r="I110" s="142"/>
      <c r="J110" s="142"/>
      <c r="K110" s="142"/>
      <c r="L110" s="146"/>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4"/>
    </row>
    <row r="111" ht="13.65" customHeight="1">
      <c r="A111" s="142"/>
      <c r="B111" s="142"/>
      <c r="C111" s="142"/>
      <c r="D111" s="142"/>
      <c r="E111" s="142"/>
      <c r="F111" s="142"/>
      <c r="G111" s="142"/>
      <c r="H111" s="142"/>
      <c r="I111" s="142"/>
      <c r="J111" s="142"/>
      <c r="K111" s="142"/>
      <c r="L111" s="146"/>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4"/>
    </row>
    <row r="112" ht="13.65" customHeight="1">
      <c r="A112" s="142"/>
      <c r="B112" s="142"/>
      <c r="C112" s="142"/>
      <c r="D112" s="142"/>
      <c r="E112" s="142"/>
      <c r="F112" s="142"/>
      <c r="G112" s="142"/>
      <c r="H112" s="142"/>
      <c r="I112" s="142"/>
      <c r="J112" s="142"/>
      <c r="K112" s="142"/>
      <c r="L112" s="146"/>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4"/>
    </row>
    <row r="113" ht="13.65" customHeight="1">
      <c r="A113" s="142"/>
      <c r="B113" s="142"/>
      <c r="C113" s="142"/>
      <c r="D113" s="142"/>
      <c r="E113" s="142"/>
      <c r="F113" s="142"/>
      <c r="G113" s="142"/>
      <c r="H113" s="142"/>
      <c r="I113" s="142"/>
      <c r="J113" s="142"/>
      <c r="K113" s="142"/>
      <c r="L113" s="146"/>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4"/>
    </row>
    <row r="114" ht="13.65" customHeight="1">
      <c r="A114" s="142"/>
      <c r="B114" s="142"/>
      <c r="C114" s="142"/>
      <c r="D114" s="142"/>
      <c r="E114" s="142"/>
      <c r="F114" s="142"/>
      <c r="G114" s="142"/>
      <c r="H114" s="142"/>
      <c r="I114" s="142"/>
      <c r="J114" s="142"/>
      <c r="K114" s="142"/>
      <c r="L114" s="146"/>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4"/>
    </row>
    <row r="115" ht="13.65" customHeight="1">
      <c r="A115" s="142"/>
      <c r="B115" s="142"/>
      <c r="C115" s="142"/>
      <c r="D115" s="142"/>
      <c r="E115" s="142"/>
      <c r="F115" s="142"/>
      <c r="G115" s="142"/>
      <c r="H115" s="142"/>
      <c r="I115" s="142"/>
      <c r="J115" s="142"/>
      <c r="K115" s="142"/>
      <c r="L115" s="146"/>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4"/>
    </row>
    <row r="116" ht="13.65" customHeight="1">
      <c r="A116" s="142"/>
      <c r="B116" s="142"/>
      <c r="C116" s="142"/>
      <c r="D116" s="142"/>
      <c r="E116" s="142"/>
      <c r="F116" s="142"/>
      <c r="G116" s="142"/>
      <c r="H116" s="142"/>
      <c r="I116" s="142"/>
      <c r="J116" s="142"/>
      <c r="K116" s="142"/>
      <c r="L116" s="146"/>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4"/>
    </row>
    <row r="117" ht="13.65" customHeight="1">
      <c r="A117" s="142"/>
      <c r="B117" s="142"/>
      <c r="C117" s="142"/>
      <c r="D117" s="142"/>
      <c r="E117" s="142"/>
      <c r="F117" s="142"/>
      <c r="G117" s="142"/>
      <c r="H117" s="142"/>
      <c r="I117" s="142"/>
      <c r="J117" s="142"/>
      <c r="K117" s="142"/>
      <c r="L117" s="146"/>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4"/>
    </row>
    <row r="118" ht="13.65" customHeight="1">
      <c r="A118" s="142"/>
      <c r="B118" s="142"/>
      <c r="C118" s="142"/>
      <c r="D118" s="142"/>
      <c r="E118" s="142"/>
      <c r="F118" s="142"/>
      <c r="G118" s="142"/>
      <c r="H118" s="142"/>
      <c r="I118" s="142"/>
      <c r="J118" s="142"/>
      <c r="K118" s="142"/>
      <c r="L118" s="146"/>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4"/>
    </row>
    <row r="119" ht="13.65" customHeight="1">
      <c r="A119" s="142"/>
      <c r="B119" s="142"/>
      <c r="C119" s="142"/>
      <c r="D119" s="142"/>
      <c r="E119" s="142"/>
      <c r="F119" s="142"/>
      <c r="G119" s="142"/>
      <c r="H119" s="142"/>
      <c r="I119" s="142"/>
      <c r="J119" s="142"/>
      <c r="K119" s="142"/>
      <c r="L119" s="146"/>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4"/>
    </row>
    <row r="120" ht="13.65" customHeight="1">
      <c r="A120" s="142"/>
      <c r="B120" s="142"/>
      <c r="C120" s="142"/>
      <c r="D120" s="142"/>
      <c r="E120" s="142"/>
      <c r="F120" s="142"/>
      <c r="G120" s="142"/>
      <c r="H120" s="142"/>
      <c r="I120" s="142"/>
      <c r="J120" s="142"/>
      <c r="K120" s="142"/>
      <c r="L120" s="146"/>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4"/>
    </row>
    <row r="121" ht="13.65" customHeight="1">
      <c r="A121" s="142"/>
      <c r="B121" s="142"/>
      <c r="C121" s="142"/>
      <c r="D121" s="142"/>
      <c r="E121" s="142"/>
      <c r="F121" s="142"/>
      <c r="G121" s="142"/>
      <c r="H121" s="142"/>
      <c r="I121" s="142"/>
      <c r="J121" s="142"/>
      <c r="K121" s="142"/>
      <c r="L121" s="146"/>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4"/>
    </row>
    <row r="122" ht="13.65" customHeight="1">
      <c r="A122" s="142"/>
      <c r="B122" s="142"/>
      <c r="C122" s="142"/>
      <c r="D122" s="142"/>
      <c r="E122" s="142"/>
      <c r="F122" s="142"/>
      <c r="G122" s="142"/>
      <c r="H122" s="142"/>
      <c r="I122" s="142"/>
      <c r="J122" s="142"/>
      <c r="K122" s="142"/>
      <c r="L122" s="146"/>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4"/>
    </row>
    <row r="123" ht="13.65" customHeight="1">
      <c r="A123" s="142"/>
      <c r="B123" s="142"/>
      <c r="C123" s="142"/>
      <c r="D123" s="142"/>
      <c r="E123" s="142"/>
      <c r="F123" s="142"/>
      <c r="G123" s="142"/>
      <c r="H123" s="142"/>
      <c r="I123" s="142"/>
      <c r="J123" s="142"/>
      <c r="K123" s="142"/>
      <c r="L123" s="146"/>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4"/>
    </row>
    <row r="124" ht="13.65" customHeight="1">
      <c r="A124" s="142"/>
      <c r="B124" s="142"/>
      <c r="C124" s="142"/>
      <c r="D124" s="142"/>
      <c r="E124" s="142"/>
      <c r="F124" s="142"/>
      <c r="G124" s="142"/>
      <c r="H124" s="142"/>
      <c r="I124" s="142"/>
      <c r="J124" s="142"/>
      <c r="K124" s="142"/>
      <c r="L124" s="146"/>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4"/>
    </row>
    <row r="125" ht="13.65" customHeight="1">
      <c r="A125" s="142"/>
      <c r="B125" s="142"/>
      <c r="C125" s="142"/>
      <c r="D125" s="142"/>
      <c r="E125" s="142"/>
      <c r="F125" s="142"/>
      <c r="G125" s="142"/>
      <c r="H125" s="142"/>
      <c r="I125" s="142"/>
      <c r="J125" s="142"/>
      <c r="K125" s="142"/>
      <c r="L125" s="146"/>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4"/>
    </row>
    <row r="126" ht="13.65" customHeight="1">
      <c r="A126" s="142"/>
      <c r="B126" s="142"/>
      <c r="C126" s="142"/>
      <c r="D126" s="142"/>
      <c r="E126" s="142"/>
      <c r="F126" s="142"/>
      <c r="G126" s="142"/>
      <c r="H126" s="142"/>
      <c r="I126" s="142"/>
      <c r="J126" s="142"/>
      <c r="K126" s="142"/>
      <c r="L126" s="146"/>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4"/>
    </row>
    <row r="127" ht="13.65" customHeight="1">
      <c r="A127" s="142"/>
      <c r="B127" s="142"/>
      <c r="C127" s="142"/>
      <c r="D127" s="142"/>
      <c r="E127" s="142"/>
      <c r="F127" s="142"/>
      <c r="G127" s="142"/>
      <c r="H127" s="142"/>
      <c r="I127" s="142"/>
      <c r="J127" s="142"/>
      <c r="K127" s="142"/>
      <c r="L127" s="146"/>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4"/>
    </row>
    <row r="128" ht="13.65" customHeight="1">
      <c r="A128" s="142"/>
      <c r="B128" s="142"/>
      <c r="C128" s="142"/>
      <c r="D128" s="142"/>
      <c r="E128" s="142"/>
      <c r="F128" s="142"/>
      <c r="G128" s="142"/>
      <c r="H128" s="142"/>
      <c r="I128" s="142"/>
      <c r="J128" s="142"/>
      <c r="K128" s="142"/>
      <c r="L128" s="146"/>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4"/>
    </row>
    <row r="129" ht="13.65" customHeight="1">
      <c r="A129" s="142"/>
      <c r="B129" s="142"/>
      <c r="C129" s="142"/>
      <c r="D129" s="142"/>
      <c r="E129" s="142"/>
      <c r="F129" s="142"/>
      <c r="G129" s="142"/>
      <c r="H129" s="142"/>
      <c r="I129" s="142"/>
      <c r="J129" s="142"/>
      <c r="K129" s="142"/>
      <c r="L129" s="146"/>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4"/>
    </row>
    <row r="130" ht="13.65" customHeight="1">
      <c r="A130" s="142"/>
      <c r="B130" s="142"/>
      <c r="C130" s="142"/>
      <c r="D130" s="142"/>
      <c r="E130" s="142"/>
      <c r="F130" s="142"/>
      <c r="G130" s="142"/>
      <c r="H130" s="142"/>
      <c r="I130" s="142"/>
      <c r="J130" s="142"/>
      <c r="K130" s="142"/>
      <c r="L130" s="146"/>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4"/>
    </row>
    <row r="131" ht="13.65" customHeight="1">
      <c r="A131" s="142"/>
      <c r="B131" s="142"/>
      <c r="C131" s="142"/>
      <c r="D131" s="142"/>
      <c r="E131" s="142"/>
      <c r="F131" s="142"/>
      <c r="G131" s="142"/>
      <c r="H131" s="142"/>
      <c r="I131" s="142"/>
      <c r="J131" s="142"/>
      <c r="K131" s="142"/>
      <c r="L131" s="146"/>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4"/>
    </row>
    <row r="132" ht="13.65" customHeight="1">
      <c r="A132" s="142"/>
      <c r="B132" s="142"/>
      <c r="C132" s="142"/>
      <c r="D132" s="142"/>
      <c r="E132" s="142"/>
      <c r="F132" s="142"/>
      <c r="G132" s="142"/>
      <c r="H132" s="142"/>
      <c r="I132" s="142"/>
      <c r="J132" s="142"/>
      <c r="K132" s="142"/>
      <c r="L132" s="146"/>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4"/>
    </row>
    <row r="133" ht="13.65" customHeight="1">
      <c r="A133" s="142"/>
      <c r="B133" s="142"/>
      <c r="C133" s="142"/>
      <c r="D133" s="142"/>
      <c r="E133" s="142"/>
      <c r="F133" s="142"/>
      <c r="G133" s="142"/>
      <c r="H133" s="142"/>
      <c r="I133" s="142"/>
      <c r="J133" s="142"/>
      <c r="K133" s="142"/>
      <c r="L133" s="146"/>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4"/>
    </row>
    <row r="134" ht="13.65" customHeight="1">
      <c r="A134" s="142"/>
      <c r="B134" s="142"/>
      <c r="C134" s="142"/>
      <c r="D134" s="142"/>
      <c r="E134" s="142"/>
      <c r="F134" s="142"/>
      <c r="G134" s="142"/>
      <c r="H134" s="142"/>
      <c r="I134" s="142"/>
      <c r="J134" s="142"/>
      <c r="K134" s="142"/>
      <c r="L134" s="146"/>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4"/>
    </row>
    <row r="135" ht="13.65" customHeight="1">
      <c r="A135" s="142"/>
      <c r="B135" s="142"/>
      <c r="C135" s="142"/>
      <c r="D135" s="142"/>
      <c r="E135" s="142"/>
      <c r="F135" s="142"/>
      <c r="G135" s="142"/>
      <c r="H135" s="142"/>
      <c r="I135" s="142"/>
      <c r="J135" s="142"/>
      <c r="K135" s="142"/>
      <c r="L135" s="146"/>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4"/>
    </row>
    <row r="136" ht="13.65" customHeight="1">
      <c r="A136" s="142"/>
      <c r="B136" s="142"/>
      <c r="C136" s="142"/>
      <c r="D136" s="142"/>
      <c r="E136" s="142"/>
      <c r="F136" s="142"/>
      <c r="G136" s="142"/>
      <c r="H136" s="142"/>
      <c r="I136" s="142"/>
      <c r="J136" s="142"/>
      <c r="K136" s="142"/>
      <c r="L136" s="146"/>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4"/>
    </row>
    <row r="137" ht="13.65" customHeight="1">
      <c r="A137" s="142"/>
      <c r="B137" s="142"/>
      <c r="C137" s="142"/>
      <c r="D137" s="142"/>
      <c r="E137" s="142"/>
      <c r="F137" s="142"/>
      <c r="G137" s="142"/>
      <c r="H137" s="142"/>
      <c r="I137" s="142"/>
      <c r="J137" s="142"/>
      <c r="K137" s="142"/>
      <c r="L137" s="146"/>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4"/>
    </row>
    <row r="138" ht="13.65" customHeight="1">
      <c r="A138" s="142"/>
      <c r="B138" s="142"/>
      <c r="C138" s="142"/>
      <c r="D138" s="142"/>
      <c r="E138" s="142"/>
      <c r="F138" s="142"/>
      <c r="G138" s="142"/>
      <c r="H138" s="142"/>
      <c r="I138" s="142"/>
      <c r="J138" s="142"/>
      <c r="K138" s="142"/>
      <c r="L138" s="146"/>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4"/>
    </row>
    <row r="139" ht="13.65" customHeight="1">
      <c r="A139" s="142"/>
      <c r="B139" s="142"/>
      <c r="C139" s="142"/>
      <c r="D139" s="142"/>
      <c r="E139" s="142"/>
      <c r="F139" s="142"/>
      <c r="G139" s="142"/>
      <c r="H139" s="142"/>
      <c r="I139" s="142"/>
      <c r="J139" s="142"/>
      <c r="K139" s="142"/>
      <c r="L139" s="146"/>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4"/>
    </row>
    <row r="140" ht="13.65" customHeight="1">
      <c r="A140" s="142"/>
      <c r="B140" s="142"/>
      <c r="C140" s="142"/>
      <c r="D140" s="142"/>
      <c r="E140" s="142"/>
      <c r="F140" s="142"/>
      <c r="G140" s="142"/>
      <c r="H140" s="142"/>
      <c r="I140" s="142"/>
      <c r="J140" s="142"/>
      <c r="K140" s="142"/>
      <c r="L140" s="146"/>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4"/>
    </row>
    <row r="141" ht="13.65" customHeight="1">
      <c r="A141" s="142"/>
      <c r="B141" s="142"/>
      <c r="C141" s="142"/>
      <c r="D141" s="142"/>
      <c r="E141" s="142"/>
      <c r="F141" s="142"/>
      <c r="G141" s="142"/>
      <c r="H141" s="142"/>
      <c r="I141" s="142"/>
      <c r="J141" s="142"/>
      <c r="K141" s="142"/>
      <c r="L141" s="146"/>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4"/>
    </row>
    <row r="142" ht="13.65" customHeight="1">
      <c r="A142" s="142"/>
      <c r="B142" s="142"/>
      <c r="C142" s="142"/>
      <c r="D142" s="142"/>
      <c r="E142" s="142"/>
      <c r="F142" s="142"/>
      <c r="G142" s="142"/>
      <c r="H142" s="142"/>
      <c r="I142" s="142"/>
      <c r="J142" s="142"/>
      <c r="K142" s="142"/>
      <c r="L142" s="146"/>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4"/>
    </row>
    <row r="143" ht="13.65" customHeight="1">
      <c r="A143" s="142"/>
      <c r="B143" s="142"/>
      <c r="C143" s="142"/>
      <c r="D143" s="142"/>
      <c r="E143" s="142"/>
      <c r="F143" s="142"/>
      <c r="G143" s="142"/>
      <c r="H143" s="142"/>
      <c r="I143" s="142"/>
      <c r="J143" s="142"/>
      <c r="K143" s="142"/>
      <c r="L143" s="146"/>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4"/>
    </row>
    <row r="144" ht="13.65" customHeight="1">
      <c r="A144" s="142"/>
      <c r="B144" s="142"/>
      <c r="C144" s="142"/>
      <c r="D144" s="142"/>
      <c r="E144" s="142"/>
      <c r="F144" s="142"/>
      <c r="G144" s="142"/>
      <c r="H144" s="142"/>
      <c r="I144" s="142"/>
      <c r="J144" s="142"/>
      <c r="K144" s="142"/>
      <c r="L144" s="146"/>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4"/>
    </row>
    <row r="145" ht="13.65" customHeight="1">
      <c r="A145" s="142"/>
      <c r="B145" s="142"/>
      <c r="C145" s="142"/>
      <c r="D145" s="142"/>
      <c r="E145" s="142"/>
      <c r="F145" s="142"/>
      <c r="G145" s="142"/>
      <c r="H145" s="142"/>
      <c r="I145" s="142"/>
      <c r="J145" s="142"/>
      <c r="K145" s="142"/>
      <c r="L145" s="146"/>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4"/>
    </row>
    <row r="146" ht="13.65" customHeight="1">
      <c r="A146" s="142"/>
      <c r="B146" s="142"/>
      <c r="C146" s="142"/>
      <c r="D146" s="142"/>
      <c r="E146" s="142"/>
      <c r="F146" s="142"/>
      <c r="G146" s="142"/>
      <c r="H146" s="142"/>
      <c r="I146" s="142"/>
      <c r="J146" s="142"/>
      <c r="K146" s="142"/>
      <c r="L146" s="146"/>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4"/>
    </row>
    <row r="147" ht="13.65" customHeight="1">
      <c r="A147" s="142"/>
      <c r="B147" s="142"/>
      <c r="C147" s="142"/>
      <c r="D147" s="142"/>
      <c r="E147" s="142"/>
      <c r="F147" s="142"/>
      <c r="G147" s="142"/>
      <c r="H147" s="142"/>
      <c r="I147" s="142"/>
      <c r="J147" s="142"/>
      <c r="K147" s="142"/>
      <c r="L147" s="146"/>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4"/>
    </row>
    <row r="148" ht="13.65" customHeight="1">
      <c r="A148" s="142"/>
      <c r="B148" s="142"/>
      <c r="C148" s="142"/>
      <c r="D148" s="142"/>
      <c r="E148" s="142"/>
      <c r="F148" s="142"/>
      <c r="G148" s="142"/>
      <c r="H148" s="142"/>
      <c r="I148" s="142"/>
      <c r="J148" s="142"/>
      <c r="K148" s="142"/>
      <c r="L148" s="146"/>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4"/>
    </row>
    <row r="149" ht="13.65" customHeight="1">
      <c r="A149" s="142"/>
      <c r="B149" s="142"/>
      <c r="C149" s="142"/>
      <c r="D149" s="142"/>
      <c r="E149" s="142"/>
      <c r="F149" s="142"/>
      <c r="G149" s="142"/>
      <c r="H149" s="142"/>
      <c r="I149" s="142"/>
      <c r="J149" s="142"/>
      <c r="K149" s="142"/>
      <c r="L149" s="146"/>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4"/>
    </row>
    <row r="150" ht="13.65" customHeight="1">
      <c r="A150" s="142"/>
      <c r="B150" s="142"/>
      <c r="C150" s="142"/>
      <c r="D150" s="142"/>
      <c r="E150" s="142"/>
      <c r="F150" s="142"/>
      <c r="G150" s="142"/>
      <c r="H150" s="142"/>
      <c r="I150" s="142"/>
      <c r="J150" s="142"/>
      <c r="K150" s="142"/>
      <c r="L150" s="146"/>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4"/>
    </row>
    <row r="151" ht="13.65" customHeight="1">
      <c r="A151" s="142"/>
      <c r="B151" s="142"/>
      <c r="C151" s="142"/>
      <c r="D151" s="142"/>
      <c r="E151" s="142"/>
      <c r="F151" s="142"/>
      <c r="G151" s="142"/>
      <c r="H151" s="142"/>
      <c r="I151" s="142"/>
      <c r="J151" s="142"/>
      <c r="K151" s="142"/>
      <c r="L151" s="146"/>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4"/>
    </row>
    <row r="152" ht="13.65" customHeight="1">
      <c r="A152" s="142"/>
      <c r="B152" s="142"/>
      <c r="C152" s="142"/>
      <c r="D152" s="142"/>
      <c r="E152" s="142"/>
      <c r="F152" s="142"/>
      <c r="G152" s="142"/>
      <c r="H152" s="142"/>
      <c r="I152" s="142"/>
      <c r="J152" s="142"/>
      <c r="K152" s="142"/>
      <c r="L152" s="146"/>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4"/>
    </row>
    <row r="153" ht="13.65" customHeight="1">
      <c r="A153" s="142"/>
      <c r="B153" s="142"/>
      <c r="C153" s="142"/>
      <c r="D153" s="142"/>
      <c r="E153" s="142"/>
      <c r="F153" s="142"/>
      <c r="G153" s="142"/>
      <c r="H153" s="142"/>
      <c r="I153" s="142"/>
      <c r="J153" s="142"/>
      <c r="K153" s="142"/>
      <c r="L153" s="146"/>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4"/>
    </row>
    <row r="154" ht="13.65" customHeight="1">
      <c r="A154" s="142"/>
      <c r="B154" s="142"/>
      <c r="C154" s="142"/>
      <c r="D154" s="142"/>
      <c r="E154" s="142"/>
      <c r="F154" s="142"/>
      <c r="G154" s="142"/>
      <c r="H154" s="142"/>
      <c r="I154" s="142"/>
      <c r="J154" s="142"/>
      <c r="K154" s="142"/>
      <c r="L154" s="146"/>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4"/>
    </row>
    <row r="155" ht="13.65" customHeight="1">
      <c r="A155" s="142"/>
      <c r="B155" s="142"/>
      <c r="C155" s="142"/>
      <c r="D155" s="142"/>
      <c r="E155" s="142"/>
      <c r="F155" s="142"/>
      <c r="G155" s="142"/>
      <c r="H155" s="142"/>
      <c r="I155" s="142"/>
      <c r="J155" s="142"/>
      <c r="K155" s="142"/>
      <c r="L155" s="146"/>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4"/>
    </row>
    <row r="156" ht="13.65" customHeight="1">
      <c r="A156" s="142"/>
      <c r="B156" s="142"/>
      <c r="C156" s="142"/>
      <c r="D156" s="142"/>
      <c r="E156" s="142"/>
      <c r="F156" s="142"/>
      <c r="G156" s="142"/>
      <c r="H156" s="142"/>
      <c r="I156" s="142"/>
      <c r="J156" s="142"/>
      <c r="K156" s="142"/>
      <c r="L156" s="146"/>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8"/>
    </row>
  </sheetData>
  <mergeCells count="86">
    <mergeCell ref="H1:I1"/>
    <mergeCell ref="J1:M1"/>
    <mergeCell ref="A3:B3"/>
    <mergeCell ref="C3:G3"/>
    <mergeCell ref="A4:B4"/>
    <mergeCell ref="C4:G4"/>
    <mergeCell ref="A5:B5"/>
    <mergeCell ref="C5:G5"/>
    <mergeCell ref="A6:B6"/>
    <mergeCell ref="C6:G6"/>
    <mergeCell ref="A7:B7"/>
    <mergeCell ref="C7:G7"/>
    <mergeCell ref="H7:I7"/>
    <mergeCell ref="C10:F10"/>
    <mergeCell ref="J10:M10"/>
    <mergeCell ref="A11:B11"/>
    <mergeCell ref="C11:F11"/>
    <mergeCell ref="H11:I11"/>
    <mergeCell ref="J11:M11"/>
    <mergeCell ref="A12:B12"/>
    <mergeCell ref="C12:F12"/>
    <mergeCell ref="H12:I12"/>
    <mergeCell ref="J12:M12"/>
    <mergeCell ref="A13:B13"/>
    <mergeCell ref="C13:F13"/>
    <mergeCell ref="H13:I13"/>
    <mergeCell ref="J13:M13"/>
    <mergeCell ref="A22:C22"/>
    <mergeCell ref="H22:J22"/>
    <mergeCell ref="A23:B23"/>
    <mergeCell ref="H23:I23"/>
    <mergeCell ref="A25:C25"/>
    <mergeCell ref="H25:J25"/>
    <mergeCell ref="A26:C26"/>
    <mergeCell ref="D26:F26"/>
    <mergeCell ref="H26:J26"/>
    <mergeCell ref="K26:M26"/>
    <mergeCell ref="A27:C27"/>
    <mergeCell ref="D27:F27"/>
    <mergeCell ref="H27:J27"/>
    <mergeCell ref="K27:M27"/>
    <mergeCell ref="A28:C28"/>
    <mergeCell ref="D28:F28"/>
    <mergeCell ref="H28:J28"/>
    <mergeCell ref="K28:M28"/>
    <mergeCell ref="A29:C29"/>
    <mergeCell ref="D29:F29"/>
    <mergeCell ref="H29:J29"/>
    <mergeCell ref="K29:M29"/>
    <mergeCell ref="C31:F31"/>
    <mergeCell ref="J31:M31"/>
    <mergeCell ref="A32:B32"/>
    <mergeCell ref="C32:F32"/>
    <mergeCell ref="H32:I32"/>
    <mergeCell ref="J32:M32"/>
    <mergeCell ref="A33:B33"/>
    <mergeCell ref="C33:F33"/>
    <mergeCell ref="H33:I33"/>
    <mergeCell ref="J33:M33"/>
    <mergeCell ref="A34:B34"/>
    <mergeCell ref="C34:F34"/>
    <mergeCell ref="H34:I34"/>
    <mergeCell ref="J34:M34"/>
    <mergeCell ref="A43:C43"/>
    <mergeCell ref="H43:J43"/>
    <mergeCell ref="A44:B44"/>
    <mergeCell ref="H44:I44"/>
    <mergeCell ref="A46:C46"/>
    <mergeCell ref="H46:J46"/>
    <mergeCell ref="A47:C47"/>
    <mergeCell ref="D47:F47"/>
    <mergeCell ref="H47:J47"/>
    <mergeCell ref="K47:M47"/>
    <mergeCell ref="A48:C48"/>
    <mergeCell ref="D48:F48"/>
    <mergeCell ref="H48:J48"/>
    <mergeCell ref="K48:M48"/>
    <mergeCell ref="A52:M52"/>
    <mergeCell ref="A49:C49"/>
    <mergeCell ref="D49:F49"/>
    <mergeCell ref="H49:J49"/>
    <mergeCell ref="K49:M49"/>
    <mergeCell ref="A50:C50"/>
    <mergeCell ref="D50:F50"/>
    <mergeCell ref="H50:J50"/>
    <mergeCell ref="K50:M50"/>
  </mergeCells>
  <conditionalFormatting sqref="D23 F23 K23 M23 A24:F24 H24:M24 A30:F30 H30:M30 D44 F44 K44 M44">
    <cfRule type="beginsWith" dxfId="7" priority="1" stopIfTrue="1" text="not">
      <formula>FIND(UPPER("not"),UPPER(D23))=1</formula>
      <formula>"not"</formula>
    </cfRule>
    <cfRule type="beginsWith" dxfId="8" priority="2" stopIfTrue="1" text="ok">
      <formula>FIND(UPPER("ok"),UPPER(D23))=1</formula>
      <formula>"ok"</formula>
    </cfRule>
  </conditionalFormatting>
  <dataValidations count="6">
    <dataValidation type="list" allowBlank="1" showInputMessage="1" showErrorMessage="1" sqref="I6">
      <formula1>"Por,Egyéb"</formula1>
    </dataValidation>
    <dataValidation type="list" allowBlank="1" showInputMessage="1" showErrorMessage="1" sqref="C12:F12 J12:M12 C33:F33 J33:M33">
      <formula1>"Csak kemény felületekre szánt (használatra kész) tisztítószereknél: Szórófejes palack,Csak kemény felületekre szánt tisztítószereknél: a szórófejes palackok újratöltésére szánt hígítatlan termék"</formula1>
    </dataValidation>
    <dataValidation type="list" allowBlank="1" showInputMessage="1" showErrorMessage="1" sqref="D26 G26 K26:M26 D47:G47 K47:M47">
      <formula1>"PET – polietilén-tereftalát,PP – polipropilén,HDPE – nagy sűrűségű polietilén"</formula1>
    </dataValidation>
    <dataValidation type="list" allowBlank="1" showInputMessage="1" showErrorMessage="1" sqref="D27:G27 K27:M27 D48:G48 K48:M48">
      <formula1>"PS – polisztirol,PVC – polivinil-klorid,PETG – glikol-módosított polietilén-tereftalát,1 g/cm3-nél nagyobb sűrűségű egyéb műanyagok,1 g/cm3-nél kisebb egyéb műanyagok,nemlétező"</formula1>
    </dataValidation>
    <dataValidation type="list" allowBlank="1" showInputMessage="1" showErrorMessage="1" sqref="D28:F28 K28:M28 G29 D49:F49 K49:M49 G50">
      <formula1>"PS – polisztirol,PVC – polivinil-klorid,Üveg,Fém,EVA – etilén-vinil-acetát"</formula1>
    </dataValidation>
    <dataValidation type="list" allowBlank="1" showInputMessage="1" showErrorMessage="1" sqref="D29:F29 K29:M29 D50:F50 K50:M50 C51 G51">
      <formula1>"poliamid,EVOH - Etilén-vinil-alkohol,funkcionális poliolefinek,fémezett és fényvédő zárórétegek,nemlétező"</formula1>
    </dataValidation>
  </dataValidations>
  <pageMargins left="0.787402" right="0.787402" top="0.984252" bottom="0.984252" header="0.511811" footer="0.511811"/>
  <pageSetup firstPageNumber="1" fitToHeight="1" fitToWidth="1" scale="65" useFirstPageNumber="0" orientation="landscape"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CL63"/>
  <sheetViews>
    <sheetView workbookViewId="0" showGridLines="0" defaultGridColor="1"/>
  </sheetViews>
  <sheetFormatPr defaultColWidth="8.83333" defaultRowHeight="12.75" customHeight="1" outlineLevelRow="0" outlineLevelCol="0"/>
  <cols>
    <col min="1" max="1" width="8.17188" style="702" customWidth="1"/>
    <col min="2" max="2" width="9.67188" style="702" customWidth="1"/>
    <col min="3" max="9" width="9.17188" style="702" customWidth="1"/>
    <col min="10" max="10" width="13.1719" style="702" customWidth="1"/>
    <col min="11" max="90" width="9.17188" style="702" customWidth="1"/>
    <col min="91" max="16384" width="8.85156" style="702" customWidth="1"/>
  </cols>
  <sheetData>
    <row r="1" ht="75" customHeight="1">
      <c r="A1" s="20"/>
      <c r="B1" s="9"/>
      <c r="C1" t="s" s="21">
        <f>IF('Adatlap'!L1="Magyar",'Fordítások'!C310,'Fordítások'!B310)</f>
        <v>25</v>
      </c>
      <c r="D1" s="22"/>
      <c r="E1" s="22"/>
      <c r="F1" s="22"/>
      <c r="G1" s="22"/>
      <c r="H1" s="22"/>
      <c r="I1" s="22"/>
      <c r="J1" s="22"/>
      <c r="K1" s="26"/>
      <c r="L1" s="26"/>
      <c r="M1" s="26"/>
      <c r="N1" s="26"/>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10"/>
    </row>
    <row r="2" ht="12.75" customHeight="1">
      <c r="A2" s="28"/>
      <c r="B2" s="13"/>
      <c r="C2" s="13"/>
      <c r="D2" s="13"/>
      <c r="E2" s="13"/>
      <c r="F2" s="13"/>
      <c r="G2" s="13"/>
      <c r="H2" s="13"/>
      <c r="I2" s="13"/>
      <c r="J2" s="13"/>
      <c r="K2" s="13"/>
      <c r="L2" s="18"/>
      <c r="M2" s="130"/>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4"/>
    </row>
    <row r="3" ht="43.5" customHeight="1">
      <c r="A3" t="s" s="703">
        <v>393</v>
      </c>
      <c r="B3" s="704"/>
      <c r="C3" s="704"/>
      <c r="D3" s="704"/>
      <c r="E3" s="704"/>
      <c r="F3" s="704"/>
      <c r="G3" s="704"/>
      <c r="H3" s="704"/>
      <c r="I3" s="704"/>
      <c r="J3" s="704"/>
      <c r="K3" s="13"/>
      <c r="L3" s="145"/>
      <c r="M3" s="146"/>
      <c r="N3" s="109"/>
      <c r="O3" s="109"/>
      <c r="P3" s="109"/>
      <c r="Q3" s="109"/>
      <c r="R3" s="109"/>
      <c r="S3" s="109"/>
      <c r="T3" s="109"/>
      <c r="U3" s="109"/>
      <c r="V3" s="109"/>
      <c r="W3" s="109"/>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4"/>
    </row>
    <row r="4" ht="12.75" customHeight="1">
      <c r="A4" s="28"/>
      <c r="B4" s="13"/>
      <c r="C4" s="39"/>
      <c r="D4" s="39"/>
      <c r="E4" s="39"/>
      <c r="F4" s="39"/>
      <c r="G4" s="39"/>
      <c r="H4" s="39"/>
      <c r="I4" s="39"/>
      <c r="J4" s="13"/>
      <c r="K4" s="13"/>
      <c r="L4" s="145"/>
      <c r="M4" s="146"/>
      <c r="N4" s="30"/>
      <c r="O4" s="30"/>
      <c r="P4" s="30"/>
      <c r="Q4" s="30"/>
      <c r="R4" s="30"/>
      <c r="S4" s="30"/>
      <c r="T4" s="30"/>
      <c r="U4" s="30"/>
      <c r="V4" s="30"/>
      <c r="W4" s="30"/>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4"/>
    </row>
    <row r="5" ht="30" customHeight="1">
      <c r="A5" t="s" s="705">
        <f>IF('Adatlap'!L1="Magyar",'Fordítások'!C312,'Fordítások'!B312)</f>
        <v>394</v>
      </c>
      <c r="B5" s="706"/>
      <c r="C5" t="s" s="694">
        <f>IF('Adatlap'!D41="","",'Adatlap'!D41)</f>
      </c>
      <c r="D5" s="695"/>
      <c r="E5" s="695"/>
      <c r="F5" s="695"/>
      <c r="G5" s="695"/>
      <c r="H5" s="695"/>
      <c r="I5" s="696"/>
      <c r="J5" s="72"/>
      <c r="K5" s="13"/>
      <c r="L5" s="145"/>
      <c r="M5" s="146"/>
      <c r="N5" s="30"/>
      <c r="O5" s="30"/>
      <c r="P5" s="30"/>
      <c r="Q5" s="30"/>
      <c r="R5" s="30"/>
      <c r="S5" s="30"/>
      <c r="T5" s="30"/>
      <c r="U5" s="30"/>
      <c r="V5" s="30"/>
      <c r="W5" s="30"/>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4"/>
    </row>
    <row r="6" ht="19.5" customHeight="1">
      <c r="A6" s="28"/>
      <c r="B6" s="13"/>
      <c r="C6" s="69"/>
      <c r="D6" s="69"/>
      <c r="E6" s="69"/>
      <c r="F6" s="69"/>
      <c r="G6" s="69"/>
      <c r="H6" s="69"/>
      <c r="I6" s="69"/>
      <c r="J6" s="13"/>
      <c r="K6" s="13"/>
      <c r="L6" s="145"/>
      <c r="M6" s="142"/>
      <c r="N6" s="130"/>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4"/>
    </row>
    <row r="7" ht="12.75" customHeight="1">
      <c r="A7" t="s" s="114">
        <f>IF('Adatlap'!$L$1="Magyar","Alulírott,","")</f>
        <v>395</v>
      </c>
      <c r="B7" t="s" s="121">
        <f>IF('Adatlap'!L1="Magyar",IF('Adatlap'!D21="","",'Adatlap'!D21),"")</f>
      </c>
      <c r="C7" s="29"/>
      <c r="D7" s="29"/>
      <c r="E7" t="s" s="33">
        <f>IF('Adatlap'!L1="Magyar","mint az uniós ökocímkére pályázó","")</f>
        <v>396</v>
      </c>
      <c r="F7" s="13"/>
      <c r="G7" s="13"/>
      <c r="H7" s="13"/>
      <c r="I7" s="13"/>
      <c r="J7" s="13"/>
      <c r="K7" s="13"/>
      <c r="L7" s="145"/>
      <c r="M7" s="142"/>
      <c r="N7" s="146"/>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4"/>
    </row>
    <row r="8" ht="12.75" customHeight="1">
      <c r="A8" t="s" s="707">
        <f>IF('Adatlap'!L1="Magyar",IF('Adatlap'!D7="","Töltse ki az 'Adatlap' munkalapon a D7 mezőt!",'Adatlap'!D7),'Fordítások'!B313)</f>
        <v>397</v>
      </c>
      <c r="B8" s="708"/>
      <c r="C8" s="708"/>
      <c r="D8" s="708"/>
      <c r="E8" s="708"/>
      <c r="F8" s="708"/>
      <c r="G8" s="708"/>
      <c r="H8" s="708"/>
      <c r="I8" s="708"/>
      <c r="J8" s="708"/>
      <c r="K8" s="13"/>
      <c r="L8" s="145"/>
      <c r="M8" s="142"/>
      <c r="N8" s="146"/>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4"/>
    </row>
    <row r="9" ht="30" customHeight="1">
      <c r="A9" t="s" s="95">
        <f>IF('Adatlap'!L1="Magyar",'Fordítások'!C314,'Fordítások'!B314)</f>
        <v>398</v>
      </c>
      <c r="B9" s="96"/>
      <c r="C9" s="96"/>
      <c r="D9" s="96"/>
      <c r="E9" s="96"/>
      <c r="F9" s="96"/>
      <c r="G9" s="96"/>
      <c r="H9" s="96"/>
      <c r="I9" s="96"/>
      <c r="J9" s="96"/>
      <c r="K9" s="13"/>
      <c r="L9" s="145"/>
      <c r="M9" s="142"/>
      <c r="N9" s="146"/>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4"/>
    </row>
    <row r="10" ht="8.1" customHeight="1">
      <c r="A10" s="28"/>
      <c r="B10" s="13"/>
      <c r="C10" s="13"/>
      <c r="D10" s="13"/>
      <c r="E10" s="13"/>
      <c r="F10" s="13"/>
      <c r="G10" s="13"/>
      <c r="H10" s="13"/>
      <c r="I10" s="13"/>
      <c r="J10" s="13"/>
      <c r="K10" s="13"/>
      <c r="L10" s="145"/>
      <c r="M10" s="142"/>
      <c r="N10" s="146"/>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4"/>
    </row>
    <row r="11" ht="30.75" customHeight="1">
      <c r="A11" t="s" s="709">
        <f>IF(L11=FALSE,IF('Adatlap'!L1="Magyar","Jelölje be!","Please, check!"),"")</f>
        <v>399</v>
      </c>
      <c r="B11" t="s" s="710">
        <f>IF('Adatlap'!L1="Magyar",'Fordítások'!C315,'Fordítások'!B315)</f>
        <v>400</v>
      </c>
      <c r="C11" s="96"/>
      <c r="D11" s="96"/>
      <c r="E11" s="96"/>
      <c r="F11" s="96"/>
      <c r="G11" s="96"/>
      <c r="H11" s="96"/>
      <c r="I11" s="96"/>
      <c r="J11" s="96"/>
      <c r="K11" s="13"/>
      <c r="L11" t="b" s="384">
        <v>0</v>
      </c>
      <c r="M11" s="142"/>
      <c r="N11" s="146"/>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4"/>
    </row>
    <row r="12" ht="8.1" customHeight="1">
      <c r="A12" s="28"/>
      <c r="B12" s="13"/>
      <c r="C12" s="13"/>
      <c r="D12" s="13"/>
      <c r="E12" s="13"/>
      <c r="F12" s="13"/>
      <c r="G12" s="13"/>
      <c r="H12" s="13"/>
      <c r="I12" s="13"/>
      <c r="J12" s="13"/>
      <c r="K12" s="13"/>
      <c r="L12" s="145"/>
      <c r="M12" s="142"/>
      <c r="N12" s="146"/>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4"/>
    </row>
    <row r="13" ht="30" customHeight="1">
      <c r="A13" t="s" s="709">
        <f>IF(L13=FALSE,IF('Adatlap'!L1="Magyar","Jelölje be!","Please, check!"),"")</f>
        <v>399</v>
      </c>
      <c r="B13" t="s" s="710">
        <f>IF('Adatlap'!L1="Magyar",'Fordítások'!C316,'Fordítások'!B316)</f>
        <v>401</v>
      </c>
      <c r="C13" s="96"/>
      <c r="D13" s="96"/>
      <c r="E13" s="96"/>
      <c r="F13" s="96"/>
      <c r="G13" s="96"/>
      <c r="H13" s="96"/>
      <c r="I13" s="96"/>
      <c r="J13" s="96"/>
      <c r="K13" s="13"/>
      <c r="L13" t="b" s="384">
        <v>0</v>
      </c>
      <c r="M13" s="142"/>
      <c r="N13" s="146"/>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4"/>
    </row>
    <row r="14" ht="12.75" customHeight="1">
      <c r="A14" s="711"/>
      <c r="B14" s="13"/>
      <c r="C14" s="13"/>
      <c r="D14" s="13"/>
      <c r="E14" s="13"/>
      <c r="F14" s="13"/>
      <c r="G14" s="13"/>
      <c r="H14" s="13"/>
      <c r="I14" s="13"/>
      <c r="J14" s="13"/>
      <c r="K14" s="13"/>
      <c r="L14" s="145"/>
      <c r="M14" s="142"/>
      <c r="N14" s="146"/>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4"/>
    </row>
    <row r="15" ht="12.75" customHeight="1" hidden="1">
      <c r="A15" t="s" s="114">
        <f>IF('Adatlap'!L1="Magyar",'Fordítások'!C317,'Fordítások'!B317)</f>
        <v>402</v>
      </c>
      <c r="B15" s="13"/>
      <c r="C15" s="13"/>
      <c r="D15" s="13"/>
      <c r="E15" t="s" s="698">
        <f>IF(AND(L17=FALSE,L19=FALSE,L21=FALSE,L23=FALSE),IF('Adatlap'!L1="Magyar",'Fordítások'!C354,'Fordítások'!B354),"")</f>
        <v>403</v>
      </c>
      <c r="F15" s="13"/>
      <c r="G15" s="13"/>
      <c r="H15" s="13"/>
      <c r="I15" s="13"/>
      <c r="J15" s="13"/>
      <c r="K15" s="13"/>
      <c r="L15" s="145"/>
      <c r="M15" s="142"/>
      <c r="N15" s="146"/>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4"/>
    </row>
    <row r="16" ht="8.1" customHeight="1" hidden="1">
      <c r="A16" s="28"/>
      <c r="B16" s="13"/>
      <c r="C16" s="13"/>
      <c r="D16" s="13"/>
      <c r="E16" s="13"/>
      <c r="F16" s="13"/>
      <c r="G16" s="13"/>
      <c r="H16" s="13"/>
      <c r="I16" s="13"/>
      <c r="J16" s="13"/>
      <c r="K16" s="13"/>
      <c r="L16" s="145"/>
      <c r="M16" s="142"/>
      <c r="N16" s="146"/>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4"/>
    </row>
    <row r="17" ht="26.1" customHeight="1" hidden="1">
      <c r="A17" s="28"/>
      <c r="B17" t="s" s="710">
        <v>404</v>
      </c>
      <c r="C17" s="96"/>
      <c r="D17" s="96"/>
      <c r="E17" s="96"/>
      <c r="F17" s="96"/>
      <c r="G17" s="96"/>
      <c r="H17" s="96"/>
      <c r="I17" s="96"/>
      <c r="J17" s="96"/>
      <c r="K17" s="13"/>
      <c r="L17" t="b" s="384">
        <v>0</v>
      </c>
      <c r="M17" s="142"/>
      <c r="N17" t="b" s="385">
        <v>0</v>
      </c>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4"/>
    </row>
    <row r="18" ht="8.1" customHeight="1" hidden="1">
      <c r="A18" s="28"/>
      <c r="B18" s="13"/>
      <c r="C18" s="13"/>
      <c r="D18" s="13"/>
      <c r="E18" s="13"/>
      <c r="F18" s="13"/>
      <c r="G18" s="13"/>
      <c r="H18" s="13"/>
      <c r="I18" s="13"/>
      <c r="J18" s="13"/>
      <c r="K18" s="13"/>
      <c r="L18" s="145"/>
      <c r="M18" s="142"/>
      <c r="N18" s="146"/>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4"/>
    </row>
    <row r="19" ht="26.1" customHeight="1" hidden="1">
      <c r="A19" s="28"/>
      <c r="B19" t="s" s="710">
        <v>405</v>
      </c>
      <c r="C19" s="96"/>
      <c r="D19" s="96"/>
      <c r="E19" s="96"/>
      <c r="F19" s="96"/>
      <c r="G19" s="96"/>
      <c r="H19" s="96"/>
      <c r="I19" s="96"/>
      <c r="J19" s="96"/>
      <c r="K19" s="13"/>
      <c r="L19" t="b" s="384">
        <v>0</v>
      </c>
      <c r="M19" s="142"/>
      <c r="N19" t="b" s="385">
        <v>0</v>
      </c>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4"/>
    </row>
    <row r="20" ht="8.1" customHeight="1" hidden="1">
      <c r="A20" s="28"/>
      <c r="B20" s="13"/>
      <c r="C20" s="13"/>
      <c r="D20" s="13"/>
      <c r="E20" s="13"/>
      <c r="F20" s="13"/>
      <c r="G20" s="13"/>
      <c r="H20" s="13"/>
      <c r="I20" s="13"/>
      <c r="J20" s="13"/>
      <c r="K20" s="13"/>
      <c r="L20" s="145"/>
      <c r="M20" s="142"/>
      <c r="N20" s="146"/>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4"/>
    </row>
    <row r="21" ht="26.1" customHeight="1" hidden="1">
      <c r="A21" s="28"/>
      <c r="B21" t="s" s="710">
        <v>406</v>
      </c>
      <c r="C21" s="96"/>
      <c r="D21" s="96"/>
      <c r="E21" s="96"/>
      <c r="F21" s="96"/>
      <c r="G21" s="96"/>
      <c r="H21" s="96"/>
      <c r="I21" s="96"/>
      <c r="J21" s="96"/>
      <c r="K21" s="13"/>
      <c r="L21" t="b" s="384">
        <v>0</v>
      </c>
      <c r="M21" s="142"/>
      <c r="N21" t="b" s="385">
        <v>0</v>
      </c>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4"/>
    </row>
    <row r="22" ht="8.1" customHeight="1" hidden="1">
      <c r="A22" s="28"/>
      <c r="B22" s="13"/>
      <c r="C22" s="13"/>
      <c r="D22" s="13"/>
      <c r="E22" s="13"/>
      <c r="F22" s="13"/>
      <c r="G22" s="13"/>
      <c r="H22" s="13"/>
      <c r="I22" s="13"/>
      <c r="J22" s="13"/>
      <c r="K22" s="13"/>
      <c r="L22" s="145"/>
      <c r="M22" s="142"/>
      <c r="N22" s="146"/>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4"/>
    </row>
    <row r="23" ht="26.1" customHeight="1">
      <c r="A23" s="28"/>
      <c r="B23" t="s" s="710">
        <v>407</v>
      </c>
      <c r="C23" s="96"/>
      <c r="D23" s="96"/>
      <c r="E23" s="96"/>
      <c r="F23" s="96"/>
      <c r="G23" s="96"/>
      <c r="H23" s="96"/>
      <c r="I23" s="96"/>
      <c r="J23" s="96"/>
      <c r="K23" s="13"/>
      <c r="L23" t="b" s="384">
        <v>0</v>
      </c>
      <c r="M23" s="142"/>
      <c r="N23" t="b" s="385">
        <v>0</v>
      </c>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4"/>
    </row>
    <row r="24" ht="26.1" customHeight="1">
      <c r="A24" s="28"/>
      <c r="B24" s="96"/>
      <c r="C24" s="96"/>
      <c r="D24" s="96"/>
      <c r="E24" s="96"/>
      <c r="F24" s="96"/>
      <c r="G24" s="96"/>
      <c r="H24" s="96"/>
      <c r="I24" s="96"/>
      <c r="J24" s="96"/>
      <c r="K24" s="13"/>
      <c r="L24" s="145"/>
      <c r="M24" s="142"/>
      <c r="N24" s="146"/>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4"/>
    </row>
    <row r="25" ht="12.75" customHeight="1" hidden="1">
      <c r="A25" t="s" s="114">
        <f>IF('Adatlap'!L1="Magyar",'Fordítások'!C326,'Fordítások'!B326)</f>
        <v>408</v>
      </c>
      <c r="B25" s="13"/>
      <c r="C25" s="13"/>
      <c r="D25" s="13"/>
      <c r="E25" t="s" s="698">
        <f>IF(AND(L27=FALSE,L29=FALSE),IF('Adatlap'!L1="Magyar",'Fordítások'!C354,'Fordítások'!B354),"")</f>
        <v>403</v>
      </c>
      <c r="F25" s="13"/>
      <c r="G25" s="13"/>
      <c r="H25" s="13"/>
      <c r="I25" s="13"/>
      <c r="J25" s="13"/>
      <c r="K25" s="13"/>
      <c r="L25" s="145"/>
      <c r="M25" s="142"/>
      <c r="N25" s="146"/>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4"/>
    </row>
    <row r="26" ht="8.1" customHeight="1" hidden="1">
      <c r="A26" s="28"/>
      <c r="B26" s="13"/>
      <c r="C26" s="13"/>
      <c r="D26" s="13"/>
      <c r="E26" s="13"/>
      <c r="F26" s="13"/>
      <c r="G26" s="13"/>
      <c r="H26" s="13"/>
      <c r="I26" s="13"/>
      <c r="J26" s="13"/>
      <c r="K26" s="13"/>
      <c r="L26" s="145"/>
      <c r="M26" s="142"/>
      <c r="N26" s="146"/>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4"/>
    </row>
    <row r="27" ht="24.95" customHeight="1" hidden="1">
      <c r="A27" s="28"/>
      <c r="B27" t="s" s="710">
        <f>IF('Adatlap'!L1="Magyar",'Fordítások'!C323,'Fordítások'!B323)</f>
        <v>409</v>
      </c>
      <c r="C27" s="96"/>
      <c r="D27" s="96"/>
      <c r="E27" s="96"/>
      <c r="F27" s="96"/>
      <c r="G27" s="96"/>
      <c r="H27" s="96"/>
      <c r="I27" s="96"/>
      <c r="J27" s="96"/>
      <c r="K27" s="13"/>
      <c r="L27" t="b" s="384">
        <f>IF('Termék'!C31="",FALSE,IF('Termék'!C31='Auswahldaten'!A140,FALSE,TRUE))</f>
        <v>0</v>
      </c>
      <c r="M27" s="142"/>
      <c r="N27" t="b" s="385">
        <v>0</v>
      </c>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4"/>
    </row>
    <row r="28" ht="8.1" customHeight="1" hidden="1">
      <c r="A28" s="28"/>
      <c r="B28" s="13"/>
      <c r="C28" s="13"/>
      <c r="D28" s="13"/>
      <c r="E28" s="13"/>
      <c r="F28" s="13"/>
      <c r="G28" s="13"/>
      <c r="H28" s="13"/>
      <c r="I28" s="13"/>
      <c r="J28" s="13"/>
      <c r="K28" s="13"/>
      <c r="L28" s="145"/>
      <c r="M28" s="142"/>
      <c r="N28" s="146"/>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4"/>
    </row>
    <row r="29" ht="28.5" customHeight="1" hidden="1">
      <c r="A29" s="28"/>
      <c r="B29" t="s" s="710">
        <f>IF('Adatlap'!L1="Magyar",CONCATENATE('Fordítások'!C324,'Fordítások'!C325),CONCATENATE('Fordítások'!B324,'Fordítások'!B325))</f>
        <v>410</v>
      </c>
      <c r="C29" s="96"/>
      <c r="D29" s="96"/>
      <c r="E29" s="96"/>
      <c r="F29" s="96"/>
      <c r="G29" s="96"/>
      <c r="H29" s="96"/>
      <c r="I29" s="96"/>
      <c r="J29" s="96"/>
      <c r="K29" s="13"/>
      <c r="L29" t="b" s="384">
        <f>IF('Termék'!C31="",FALSE,IF('Termék'!C31='Auswahldaten'!A140,TRUE,FALSE))</f>
        <v>0</v>
      </c>
      <c r="M29" s="142"/>
      <c r="N29" t="b" s="385">
        <v>0</v>
      </c>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4"/>
    </row>
    <row r="30" ht="12.75" customHeight="1" hidden="1">
      <c r="A30" s="28"/>
      <c r="B30" s="13"/>
      <c r="C30" s="13"/>
      <c r="D30" s="13"/>
      <c r="E30" s="13"/>
      <c r="F30" s="13"/>
      <c r="G30" s="13"/>
      <c r="H30" s="13"/>
      <c r="I30" s="13"/>
      <c r="J30" s="13"/>
      <c r="K30" s="13"/>
      <c r="L30" s="145"/>
      <c r="M30" s="142"/>
      <c r="N30" s="146"/>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4"/>
    </row>
    <row r="31" ht="12.75" customHeight="1" hidden="1">
      <c r="A31" t="s" s="114">
        <f>IF('Adatlap'!L1="Magyar",'Fordítások'!C326,'Fordítások'!B326)</f>
        <v>408</v>
      </c>
      <c r="B31" s="13"/>
      <c r="C31" s="13"/>
      <c r="D31" s="13"/>
      <c r="E31" t="s" s="698">
        <f>IF(AND(L33=FALSE,L35=FALSE,L37=FALSE,L39=FALSE),IF('Adatlap'!L1="Magyar",'Fordítások'!C354,'Fordítások'!B354),"")</f>
        <v>403</v>
      </c>
      <c r="F31" s="13"/>
      <c r="G31" s="13"/>
      <c r="H31" s="13"/>
      <c r="I31" s="13"/>
      <c r="J31" s="13"/>
      <c r="K31" s="13"/>
      <c r="L31" s="145"/>
      <c r="M31" s="142"/>
      <c r="N31" s="14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4"/>
    </row>
    <row r="32" ht="8.1" customHeight="1" hidden="1">
      <c r="A32" s="28"/>
      <c r="B32" s="13"/>
      <c r="C32" s="13"/>
      <c r="D32" s="13"/>
      <c r="E32" s="13"/>
      <c r="F32" s="13"/>
      <c r="G32" s="13"/>
      <c r="H32" s="13"/>
      <c r="I32" s="13"/>
      <c r="J32" s="13"/>
      <c r="K32" s="13"/>
      <c r="L32" s="145"/>
      <c r="M32" s="142"/>
      <c r="N32" s="146"/>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4"/>
    </row>
    <row r="33" ht="9" customHeight="1" hidden="1">
      <c r="A33" s="28"/>
      <c r="B33" t="s" s="710">
        <f>IF('Adatlap'!L1="Magyar",'Fordítások'!C327,'Fordítások'!B327)</f>
        <v>411</v>
      </c>
      <c r="C33" s="96"/>
      <c r="D33" s="96"/>
      <c r="E33" s="96"/>
      <c r="F33" s="96"/>
      <c r="G33" s="96"/>
      <c r="H33" s="96"/>
      <c r="I33" s="96"/>
      <c r="J33" s="96"/>
      <c r="K33" s="13"/>
      <c r="L33" t="b" s="384">
        <v>0</v>
      </c>
      <c r="M33" s="142"/>
      <c r="N33" t="b" s="385">
        <v>0</v>
      </c>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4"/>
    </row>
    <row r="34" ht="8.1" customHeight="1" hidden="1">
      <c r="A34" s="28"/>
      <c r="B34" s="13"/>
      <c r="C34" s="13"/>
      <c r="D34" s="13"/>
      <c r="E34" s="13"/>
      <c r="F34" s="13"/>
      <c r="G34" s="13"/>
      <c r="H34" s="13"/>
      <c r="I34" s="13"/>
      <c r="J34" s="13"/>
      <c r="K34" s="13"/>
      <c r="L34" s="145"/>
      <c r="M34" s="142"/>
      <c r="N34" s="146"/>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4"/>
    </row>
    <row r="35" ht="9" customHeight="1" hidden="1">
      <c r="A35" s="28"/>
      <c r="B35" t="s" s="710">
        <f>IF('Adatlap'!L1="Magyar",'Fordítások'!C328,'Fordítások'!B328)</f>
        <v>412</v>
      </c>
      <c r="C35" s="96"/>
      <c r="D35" s="96"/>
      <c r="E35" s="96"/>
      <c r="F35" s="96"/>
      <c r="G35" s="96"/>
      <c r="H35" s="96"/>
      <c r="I35" s="96"/>
      <c r="J35" s="96"/>
      <c r="K35" s="13"/>
      <c r="L35" t="b" s="384">
        <v>0</v>
      </c>
      <c r="M35" s="142"/>
      <c r="N35" t="b" s="385">
        <v>0</v>
      </c>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4"/>
    </row>
    <row r="36" ht="8.1" customHeight="1" hidden="1">
      <c r="A36" s="28"/>
      <c r="B36" s="13"/>
      <c r="C36" s="13"/>
      <c r="D36" s="13"/>
      <c r="E36" s="13"/>
      <c r="F36" s="13"/>
      <c r="G36" s="13"/>
      <c r="H36" s="13"/>
      <c r="I36" s="13"/>
      <c r="J36" s="13"/>
      <c r="K36" s="13"/>
      <c r="L36" s="145"/>
      <c r="M36" s="142"/>
      <c r="N36" s="146"/>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4"/>
    </row>
    <row r="37" ht="27.75" customHeight="1" hidden="1">
      <c r="A37" s="28"/>
      <c r="B37" t="s" s="710">
        <f>IF('Adatlap'!L1="Magyar",'Fordítások'!C329,'Fordítások'!B329)</f>
        <v>413</v>
      </c>
      <c r="C37" s="96"/>
      <c r="D37" s="96"/>
      <c r="E37" s="96"/>
      <c r="F37" s="96"/>
      <c r="G37" s="96"/>
      <c r="H37" s="96"/>
      <c r="I37" s="96"/>
      <c r="J37" s="96"/>
      <c r="K37" s="13"/>
      <c r="L37" t="b" s="384">
        <v>0</v>
      </c>
      <c r="M37" s="142"/>
      <c r="N37" t="b" s="385">
        <v>0</v>
      </c>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4"/>
    </row>
    <row r="38" ht="8.1" customHeight="1" hidden="1">
      <c r="A38" s="28"/>
      <c r="B38" s="13"/>
      <c r="C38" s="13"/>
      <c r="D38" s="13"/>
      <c r="E38" s="13"/>
      <c r="F38" s="13"/>
      <c r="G38" s="13"/>
      <c r="H38" s="13"/>
      <c r="I38" s="13"/>
      <c r="J38" s="13"/>
      <c r="K38" s="13"/>
      <c r="L38" s="145"/>
      <c r="M38" s="142"/>
      <c r="N38" s="146"/>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4"/>
    </row>
    <row r="39" ht="9" customHeight="1" hidden="1">
      <c r="A39" s="28"/>
      <c r="B39" t="s" s="710">
        <f>IF('Adatlap'!L1="Magyar",'Fordítások'!C330,'Fordítások'!B330)</f>
        <v>414</v>
      </c>
      <c r="C39" s="96"/>
      <c r="D39" s="96"/>
      <c r="E39" s="96"/>
      <c r="F39" s="96"/>
      <c r="G39" s="96"/>
      <c r="H39" s="96"/>
      <c r="I39" s="96"/>
      <c r="J39" s="96"/>
      <c r="K39" s="13"/>
      <c r="L39" t="b" s="384">
        <v>0</v>
      </c>
      <c r="M39" s="142"/>
      <c r="N39" t="b" s="385">
        <v>0</v>
      </c>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4"/>
    </row>
    <row r="40" ht="12.75" customHeight="1" hidden="1">
      <c r="A40" s="28"/>
      <c r="B40" s="13"/>
      <c r="C40" s="13"/>
      <c r="D40" s="13"/>
      <c r="E40" s="13"/>
      <c r="F40" s="13"/>
      <c r="G40" s="13"/>
      <c r="H40" s="13"/>
      <c r="I40" s="13"/>
      <c r="J40" s="13"/>
      <c r="K40" s="13"/>
      <c r="L40" s="145"/>
      <c r="M40" s="142"/>
      <c r="N40" s="146"/>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4"/>
    </row>
    <row r="41" ht="12.75" customHeight="1">
      <c r="A41" t="s" s="712">
        <f>IF(L41=FALSE,IF('Adatlap'!L1="Magyar","Jelölje be!","Please, check!"),"")</f>
        <v>399</v>
      </c>
      <c r="B41" t="s" s="33">
        <f>IF('Adatlap'!L1="Magyar",'Fordítások'!C331,'Fordítások'!B331)</f>
        <v>415</v>
      </c>
      <c r="C41" s="13"/>
      <c r="D41" s="13"/>
      <c r="E41" s="13"/>
      <c r="F41" s="13"/>
      <c r="G41" s="13"/>
      <c r="H41" s="13"/>
      <c r="I41" s="13"/>
      <c r="J41" s="13"/>
      <c r="K41" s="13"/>
      <c r="L41" t="b" s="384">
        <v>0</v>
      </c>
      <c r="M41" s="142"/>
      <c r="N41" s="146"/>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4"/>
    </row>
    <row r="42" ht="12.75" customHeight="1">
      <c r="A42" s="713"/>
      <c r="B42" s="13"/>
      <c r="C42" s="13"/>
      <c r="D42" s="13"/>
      <c r="E42" s="13"/>
      <c r="F42" s="13"/>
      <c r="G42" s="13"/>
      <c r="H42" s="13"/>
      <c r="I42" s="13"/>
      <c r="J42" s="13"/>
      <c r="K42" s="13"/>
      <c r="L42" s="145"/>
      <c r="M42" s="142"/>
      <c r="N42" s="146"/>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4"/>
    </row>
    <row r="43" ht="8.1" customHeight="1">
      <c r="A43" s="28"/>
      <c r="B43" s="13"/>
      <c r="C43" s="13"/>
      <c r="D43" s="13"/>
      <c r="E43" s="13"/>
      <c r="F43" s="13"/>
      <c r="G43" s="13"/>
      <c r="H43" s="13"/>
      <c r="I43" s="13"/>
      <c r="J43" s="13"/>
      <c r="K43" s="13"/>
      <c r="L43" s="145"/>
      <c r="M43" s="142"/>
      <c r="N43" s="146"/>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4"/>
    </row>
    <row r="44" ht="12.75" customHeight="1">
      <c r="A44" t="s" s="712">
        <f>IF(L44=FALSE,IF('Adatlap'!L1="Magyar","Jelölje be!","Please, check!"),"")</f>
        <v>399</v>
      </c>
      <c r="B44" t="s" s="710">
        <f>IF('Adatlap'!L1="Magyar",'Fordítások'!C650,'Fordítások'!B650)</f>
        <v>416</v>
      </c>
      <c r="C44" s="96"/>
      <c r="D44" s="96"/>
      <c r="E44" s="96"/>
      <c r="F44" s="96"/>
      <c r="G44" s="96"/>
      <c r="H44" s="96"/>
      <c r="I44" s="96"/>
      <c r="J44" s="96"/>
      <c r="K44" s="13"/>
      <c r="L44" t="b" s="384">
        <v>0</v>
      </c>
      <c r="M44" s="142"/>
      <c r="N44" s="146"/>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4"/>
    </row>
    <row r="45" ht="12.75" customHeight="1">
      <c r="A45" s="713"/>
      <c r="B45" s="96"/>
      <c r="C45" s="96"/>
      <c r="D45" s="96"/>
      <c r="E45" s="96"/>
      <c r="F45" s="96"/>
      <c r="G45" s="96"/>
      <c r="H45" s="96"/>
      <c r="I45" s="96"/>
      <c r="J45" s="96"/>
      <c r="K45" s="13"/>
      <c r="L45" s="145"/>
      <c r="M45" s="142"/>
      <c r="N45" s="146"/>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4"/>
    </row>
    <row r="46" ht="8.1" customHeight="1">
      <c r="A46" s="28"/>
      <c r="B46" s="714"/>
      <c r="C46" s="714"/>
      <c r="D46" s="714"/>
      <c r="E46" s="714"/>
      <c r="F46" s="714"/>
      <c r="G46" s="714"/>
      <c r="H46" s="714"/>
      <c r="I46" s="714"/>
      <c r="J46" s="714"/>
      <c r="K46" s="13"/>
      <c r="L46" s="145"/>
      <c r="M46" s="142"/>
      <c r="N46" s="146"/>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4"/>
    </row>
    <row r="47" ht="13.65" customHeight="1">
      <c r="A47" t="s" s="712">
        <f>IF(L47=FALSE,IF('Adatlap'!L1="Magyar","Jelölje be!","Please, check!"),"")</f>
        <v>399</v>
      </c>
      <c r="B47" t="s" s="710">
        <f>IF('Adatlap'!L1="Magyar",'Fordítások'!C651,'Fordítások'!B651)</f>
        <v>417</v>
      </c>
      <c r="C47" s="96"/>
      <c r="D47" s="96"/>
      <c r="E47" s="96"/>
      <c r="F47" s="96"/>
      <c r="G47" s="96"/>
      <c r="H47" s="96"/>
      <c r="I47" s="96"/>
      <c r="J47" s="96"/>
      <c r="K47" s="13"/>
      <c r="L47" t="b" s="384">
        <v>0</v>
      </c>
      <c r="M47" s="142"/>
      <c r="N47" s="146"/>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4"/>
    </row>
    <row r="48" ht="12.75" customHeight="1">
      <c r="A48" s="713"/>
      <c r="B48" s="96"/>
      <c r="C48" s="96"/>
      <c r="D48" s="96"/>
      <c r="E48" s="96"/>
      <c r="F48" s="96"/>
      <c r="G48" s="96"/>
      <c r="H48" s="96"/>
      <c r="I48" s="96"/>
      <c r="J48" s="96"/>
      <c r="K48" s="13"/>
      <c r="L48" s="145"/>
      <c r="M48" s="142"/>
      <c r="N48" s="146"/>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4"/>
    </row>
    <row r="49" ht="8.1" customHeight="1" hidden="1">
      <c r="A49" s="28"/>
      <c r="B49" s="13"/>
      <c r="C49" s="13"/>
      <c r="D49" s="13"/>
      <c r="E49" s="13"/>
      <c r="F49" s="13"/>
      <c r="G49" s="13"/>
      <c r="H49" s="13"/>
      <c r="I49" s="13"/>
      <c r="J49" s="13"/>
      <c r="K49" s="13"/>
      <c r="L49" s="145"/>
      <c r="M49" s="142"/>
      <c r="N49" s="146"/>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4"/>
    </row>
    <row r="50" ht="26.1" customHeight="1">
      <c r="A50" t="s" s="712">
        <f>IF(L50=FALSE,IF('Adatlap'!L1="Magyar","Jelölje be!","Please, check!"),"")</f>
        <v>399</v>
      </c>
      <c r="B50" t="s" s="710">
        <f>IF('Adatlap'!L1="Magyar",'Fordítások'!C644,'Fordítások'!B644)</f>
        <v>418</v>
      </c>
      <c r="C50" s="96"/>
      <c r="D50" s="96"/>
      <c r="E50" s="96"/>
      <c r="F50" s="96"/>
      <c r="G50" s="96"/>
      <c r="H50" s="96"/>
      <c r="I50" s="96"/>
      <c r="J50" s="96"/>
      <c r="K50" s="13"/>
      <c r="L50" s="145"/>
      <c r="M50" s="142"/>
      <c r="N50" s="146"/>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4"/>
    </row>
    <row r="51" ht="8.1" customHeight="1">
      <c r="A51" s="713"/>
      <c r="B51" s="96"/>
      <c r="C51" s="96"/>
      <c r="D51" s="96"/>
      <c r="E51" s="96"/>
      <c r="F51" s="96"/>
      <c r="G51" s="96"/>
      <c r="H51" s="96"/>
      <c r="I51" s="96"/>
      <c r="J51" s="96"/>
      <c r="K51" s="13"/>
      <c r="L51" s="145"/>
      <c r="M51" s="142"/>
      <c r="N51" s="146"/>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4"/>
    </row>
    <row r="52" ht="12.75" customHeight="1">
      <c r="A52" t="s" s="712">
        <f>IF(L52=FALSE,IF('Adatlap'!L1="Magyar","Jelölje be!","Please, check!"),"")</f>
        <v>399</v>
      </c>
      <c r="B52" t="s" s="715">
        <f>IF('Adatlap'!L1="Magyar",'Fordítások'!C645,'Fordítások'!B645)</f>
        <v>419</v>
      </c>
      <c r="C52" s="109"/>
      <c r="D52" s="109"/>
      <c r="E52" s="109"/>
      <c r="F52" s="109"/>
      <c r="G52" s="109"/>
      <c r="H52" s="109"/>
      <c r="I52" s="109"/>
      <c r="J52" s="109"/>
      <c r="K52" s="13"/>
      <c r="L52" s="145"/>
      <c r="M52" s="142"/>
      <c r="N52" s="146"/>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4"/>
    </row>
    <row r="53" ht="12.75" customHeight="1">
      <c r="A53" s="713"/>
      <c r="B53" s="109"/>
      <c r="C53" s="109"/>
      <c r="D53" s="109"/>
      <c r="E53" s="109"/>
      <c r="F53" s="109"/>
      <c r="G53" s="109"/>
      <c r="H53" s="109"/>
      <c r="I53" s="109"/>
      <c r="J53" s="109"/>
      <c r="K53" s="13"/>
      <c r="L53" s="145"/>
      <c r="M53" s="142"/>
      <c r="N53" s="146"/>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4"/>
    </row>
    <row r="54" ht="8.1" customHeight="1" hidden="1">
      <c r="A54" s="713"/>
      <c r="B54" s="13"/>
      <c r="C54" s="13"/>
      <c r="D54" s="13"/>
      <c r="E54" s="13"/>
      <c r="F54" s="13"/>
      <c r="G54" s="13"/>
      <c r="H54" s="13"/>
      <c r="I54" s="13"/>
      <c r="J54" s="13"/>
      <c r="K54" s="13"/>
      <c r="L54" s="145"/>
      <c r="M54" s="142"/>
      <c r="N54" s="146"/>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4"/>
    </row>
    <row r="55" ht="12.75" customHeight="1">
      <c r="A55" t="s" s="712">
        <f>IF(L55=FALSE,IF('Adatlap'!L1="Magyar","Jelölje be!","Please, check!"),"")</f>
        <v>399</v>
      </c>
      <c r="B55" t="s" s="715">
        <f>IF('Adatlap'!L1="Magyar",'Fordítások'!C646,'Fordítások'!B646)</f>
        <v>420</v>
      </c>
      <c r="C55" s="109"/>
      <c r="D55" s="109"/>
      <c r="E55" s="109"/>
      <c r="F55" s="109"/>
      <c r="G55" s="109"/>
      <c r="H55" s="109"/>
      <c r="I55" s="109"/>
      <c r="J55" s="109"/>
      <c r="K55" s="13"/>
      <c r="L55" t="b" s="384">
        <v>0</v>
      </c>
      <c r="M55" s="142"/>
      <c r="N55" s="146"/>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4"/>
    </row>
    <row r="56" ht="12.75" customHeight="1">
      <c r="A56" s="713"/>
      <c r="B56" s="109"/>
      <c r="C56" s="109"/>
      <c r="D56" s="109"/>
      <c r="E56" s="109"/>
      <c r="F56" s="109"/>
      <c r="G56" s="109"/>
      <c r="H56" s="109"/>
      <c r="I56" s="109"/>
      <c r="J56" s="109"/>
      <c r="K56" s="13"/>
      <c r="L56" s="145"/>
      <c r="M56" s="142"/>
      <c r="N56" s="146"/>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4"/>
    </row>
    <row r="57" ht="12.75" customHeight="1">
      <c r="A57" s="713"/>
      <c r="B57" s="109"/>
      <c r="C57" s="109"/>
      <c r="D57" s="109"/>
      <c r="E57" s="109"/>
      <c r="F57" s="109"/>
      <c r="G57" s="109"/>
      <c r="H57" s="109"/>
      <c r="I57" s="109"/>
      <c r="J57" s="109"/>
      <c r="K57" s="13"/>
      <c r="L57" s="145"/>
      <c r="M57" s="142"/>
      <c r="N57" s="146"/>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4"/>
    </row>
    <row r="58" ht="12.75" customHeight="1" hidden="1">
      <c r="A58" s="28"/>
      <c r="B58" s="13"/>
      <c r="C58" s="13"/>
      <c r="D58" s="13"/>
      <c r="E58" s="13"/>
      <c r="F58" s="13"/>
      <c r="G58" s="13"/>
      <c r="H58" s="13"/>
      <c r="I58" s="13"/>
      <c r="J58" s="13"/>
      <c r="K58" s="13"/>
      <c r="L58" s="145"/>
      <c r="M58" s="142"/>
      <c r="N58" s="146"/>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4"/>
    </row>
    <row r="59" ht="26.1" customHeight="1">
      <c r="A59" t="s" s="709">
        <f>IF(L59=FALSE,IF('Adatlap'!L1="Magyar","Jelölje be!","Please, check!"),"")</f>
        <v>399</v>
      </c>
      <c r="B59" t="s" s="710">
        <f>IF('Adatlap'!L1="Magyar",'Fordítások'!C697,'Fordítások'!B697)</f>
        <v>421</v>
      </c>
      <c r="C59" s="96"/>
      <c r="D59" s="96"/>
      <c r="E59" s="96"/>
      <c r="F59" s="96"/>
      <c r="G59" s="96"/>
      <c r="H59" s="96"/>
      <c r="I59" s="96"/>
      <c r="J59" s="96"/>
      <c r="K59" s="13"/>
      <c r="L59" s="145"/>
      <c r="M59" s="142"/>
      <c r="N59" s="146"/>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4"/>
    </row>
    <row r="60" ht="12.75" customHeight="1">
      <c r="A60" s="28"/>
      <c r="B60" s="96"/>
      <c r="C60" s="96"/>
      <c r="D60" s="96"/>
      <c r="E60" s="96"/>
      <c r="F60" s="96"/>
      <c r="G60" s="96"/>
      <c r="H60" s="96"/>
      <c r="I60" s="96"/>
      <c r="J60" s="96"/>
      <c r="K60" s="13"/>
      <c r="L60" s="145"/>
      <c r="M60" s="142"/>
      <c r="N60" s="146"/>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4"/>
    </row>
    <row r="61" ht="12.75" customHeight="1" hidden="1">
      <c r="A61" s="28"/>
      <c r="B61" s="13"/>
      <c r="C61" s="13"/>
      <c r="D61" s="13"/>
      <c r="E61" s="13"/>
      <c r="F61" s="13"/>
      <c r="G61" s="13"/>
      <c r="H61" s="13"/>
      <c r="I61" s="13"/>
      <c r="J61" s="13"/>
      <c r="K61" s="13"/>
      <c r="L61" s="145"/>
      <c r="M61" s="142"/>
      <c r="N61" s="146"/>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4"/>
    </row>
    <row r="62" ht="12.75" customHeight="1">
      <c r="A62" s="28"/>
      <c r="B62" s="13"/>
      <c r="C62" s="13"/>
      <c r="D62" s="13"/>
      <c r="E62" s="13"/>
      <c r="F62" s="13"/>
      <c r="G62" s="13"/>
      <c r="H62" s="13"/>
      <c r="I62" s="13"/>
      <c r="J62" s="13"/>
      <c r="K62" s="13"/>
      <c r="L62" s="145"/>
      <c r="M62" s="142"/>
      <c r="N62" s="146"/>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4"/>
    </row>
    <row r="63" ht="12.75" customHeight="1">
      <c r="A63" s="130"/>
      <c r="B63" s="17"/>
      <c r="C63" s="17"/>
      <c r="D63" s="17"/>
      <c r="E63" s="17"/>
      <c r="F63" s="17"/>
      <c r="G63" s="17"/>
      <c r="H63" s="17"/>
      <c r="I63" s="17"/>
      <c r="J63" s="17"/>
      <c r="K63" s="17"/>
      <c r="L63" s="145"/>
      <c r="M63" s="142"/>
      <c r="N63" s="146"/>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8"/>
    </row>
  </sheetData>
  <mergeCells count="30">
    <mergeCell ref="B55:J57"/>
    <mergeCell ref="A55:A56"/>
    <mergeCell ref="A52:A53"/>
    <mergeCell ref="C1:J1"/>
    <mergeCell ref="A9:J9"/>
    <mergeCell ref="A41:A42"/>
    <mergeCell ref="B33:J33"/>
    <mergeCell ref="B35:J35"/>
    <mergeCell ref="B37:J37"/>
    <mergeCell ref="B39:J39"/>
    <mergeCell ref="B19:J19"/>
    <mergeCell ref="B21:J21"/>
    <mergeCell ref="B27:J27"/>
    <mergeCell ref="B29:J29"/>
    <mergeCell ref="B59:J60"/>
    <mergeCell ref="B23:J24"/>
    <mergeCell ref="N3:W3"/>
    <mergeCell ref="B11:J11"/>
    <mergeCell ref="B13:J13"/>
    <mergeCell ref="B17:J17"/>
    <mergeCell ref="C5:I5"/>
    <mergeCell ref="A3:J3"/>
    <mergeCell ref="B7:D7"/>
    <mergeCell ref="A8:J8"/>
    <mergeCell ref="A44:A45"/>
    <mergeCell ref="B44:J45"/>
    <mergeCell ref="B47:J48"/>
    <mergeCell ref="A47:A48"/>
    <mergeCell ref="B50:J51"/>
    <mergeCell ref="B52:J53"/>
  </mergeCells>
  <pageMargins left="0.708661" right="0.708661" top="0.748031" bottom="0.748031" header="0.314961" footer="0.314961"/>
  <pageSetup firstPageNumber="1" fitToHeight="1" fitToWidth="1" scale="93" useFirstPageNumber="0" orientation="portrait" pageOrder="downThenOver"/>
  <headerFooter>
    <oddFooter>&amp;C&amp;"Helvetica Neue,Regular"&amp;12&amp;K000000&amp;P</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dimension ref="A1:BC73"/>
  <sheetViews>
    <sheetView workbookViewId="0" showGridLines="0" defaultGridColor="1"/>
  </sheetViews>
  <sheetFormatPr defaultColWidth="8.83333" defaultRowHeight="12.75" customHeight="1" outlineLevelRow="0" outlineLevelCol="0"/>
  <cols>
    <col min="1" max="1" width="13" style="716" customWidth="1"/>
    <col min="2" max="2" width="10.5" style="716" customWidth="1"/>
    <col min="3" max="3" width="19.3516" style="716" customWidth="1"/>
    <col min="4" max="4" width="23" style="716" customWidth="1"/>
    <col min="5" max="5" width="16.5" style="716" customWidth="1"/>
    <col min="6" max="6" width="23.6719" style="716" customWidth="1"/>
    <col min="7" max="7" width="23.8516" style="716" customWidth="1"/>
    <col min="8" max="8" width="18.3516" style="716" customWidth="1"/>
    <col min="9" max="9" width="9.17188" style="716" customWidth="1"/>
    <col min="10" max="16" hidden="1" width="8.83333" style="716" customWidth="1"/>
    <col min="17" max="55" width="9.17188" style="716" customWidth="1"/>
    <col min="56" max="16384" width="8.85156" style="716" customWidth="1"/>
  </cols>
  <sheetData>
    <row r="1" ht="75" customHeight="1">
      <c r="A1" s="717"/>
      <c r="B1" s="718"/>
      <c r="C1" t="s" s="21">
        <f>IF('Adatlap'!L1="Magyar",'Fordítások'!C310,'Fordítások'!B310)</f>
        <v>25</v>
      </c>
      <c r="D1" s="22"/>
      <c r="E1" s="22"/>
      <c r="F1" s="22"/>
      <c r="G1" s="22"/>
      <c r="H1" s="22"/>
      <c r="I1" s="719"/>
      <c r="J1" s="719"/>
      <c r="K1" s="719"/>
      <c r="L1" s="719"/>
      <c r="M1" s="719"/>
      <c r="N1" s="719"/>
      <c r="O1" s="719"/>
      <c r="P1" s="718"/>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10"/>
    </row>
    <row r="2" ht="45" customHeight="1">
      <c r="A2" t="s" s="720">
        <f>IF('Adatlap'!L1="Magyar",CONCATENATE('Fordítások'!C333,"k"),CONCATENATE('Fordítások'!B333,"s"))</f>
        <v>423</v>
      </c>
      <c r="B2" s="262"/>
      <c r="C2" s="721"/>
      <c r="D2" s="492"/>
      <c r="E2" s="721"/>
      <c r="F2" s="721"/>
      <c r="G2" s="492"/>
      <c r="H2" s="492"/>
      <c r="I2" s="13"/>
      <c r="J2" s="13"/>
      <c r="K2" s="13"/>
      <c r="L2" t="s" s="33">
        <v>424</v>
      </c>
      <c r="M2" s="13"/>
      <c r="N2" s="13"/>
      <c r="O2" s="13"/>
      <c r="P2" s="500"/>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4"/>
    </row>
    <row r="3" ht="12.75" customHeight="1">
      <c r="A3" s="310"/>
      <c r="B3" s="262"/>
      <c r="C3" s="262"/>
      <c r="D3" s="13"/>
      <c r="E3" s="262"/>
      <c r="F3" s="262"/>
      <c r="G3" s="13"/>
      <c r="H3" s="13"/>
      <c r="I3" s="13"/>
      <c r="J3" s="13"/>
      <c r="K3" s="13"/>
      <c r="L3" t="s" s="33">
        <v>425</v>
      </c>
      <c r="M3" s="13"/>
      <c r="N3" s="722">
        <f>MAX('Alapanyagok'!Y13:Y61)</f>
        <v>0</v>
      </c>
      <c r="O3" s="13"/>
      <c r="P3" s="72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4"/>
    </row>
    <row r="4" ht="12.75" customHeight="1">
      <c r="A4" s="310"/>
      <c r="B4" t="s" s="724">
        <f>IF(J4=FALSE,IF('Adatlap'!L1="Magyar","Jelölje be!","Please, check!"),"")</f>
        <v>399</v>
      </c>
      <c r="C4" t="s" s="491">
        <f>IF('Adatlap'!L1="Magyar",'Fordítások'!C332,'Fordítások'!B332)</f>
        <v>426</v>
      </c>
      <c r="D4" s="175"/>
      <c r="E4" s="175"/>
      <c r="F4" s="175"/>
      <c r="G4" s="13"/>
      <c r="H4" s="13"/>
      <c r="I4" s="13"/>
      <c r="J4" t="b" s="34">
        <v>0</v>
      </c>
      <c r="K4" s="13"/>
      <c r="L4" s="13"/>
      <c r="M4" s="13"/>
      <c r="N4" s="13"/>
      <c r="O4" s="13"/>
      <c r="P4" s="72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4"/>
    </row>
    <row r="5" ht="12.75" customHeight="1">
      <c r="A5" s="725"/>
      <c r="B5" s="726"/>
      <c r="C5" s="175"/>
      <c r="D5" s="175"/>
      <c r="E5" s="175"/>
      <c r="F5" s="175"/>
      <c r="G5" s="13"/>
      <c r="H5" s="13"/>
      <c r="I5" s="13"/>
      <c r="J5" s="13"/>
      <c r="K5" s="13"/>
      <c r="L5" s="13"/>
      <c r="M5" s="13"/>
      <c r="N5" s="13"/>
      <c r="O5" s="13"/>
      <c r="P5" s="72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4"/>
    </row>
    <row r="6" ht="12.75" customHeight="1">
      <c r="A6" s="727"/>
      <c r="B6" s="268"/>
      <c r="C6" s="405"/>
      <c r="D6" s="39"/>
      <c r="E6" s="405"/>
      <c r="F6" s="405"/>
      <c r="G6" s="39"/>
      <c r="H6" s="39"/>
      <c r="I6" s="13"/>
      <c r="J6" s="13"/>
      <c r="K6" s="13"/>
      <c r="L6" s="13"/>
      <c r="M6" s="13"/>
      <c r="N6" s="13"/>
      <c r="O6" s="13"/>
      <c r="P6" s="72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4"/>
    </row>
    <row r="7" ht="24.75" customHeight="1">
      <c r="A7" t="s" s="728">
        <f>IF('Adatlap'!L1="Magyar",CONCATENATE('Fordítások'!C334," ",'Összetétel'!E12," ",'Fordítások'!C335),CONCATENATE('Fordítások'!B334," ",'Összetétel'!E12," ",'Fordítások'!B335))</f>
        <v>427</v>
      </c>
      <c r="B7" s="729"/>
      <c r="C7" s="729"/>
      <c r="D7" s="83"/>
      <c r="E7" s="729"/>
      <c r="F7" s="729"/>
      <c r="G7" s="68"/>
      <c r="H7" s="730"/>
      <c r="I7" s="72"/>
      <c r="J7" s="13"/>
      <c r="K7" s="13"/>
      <c r="L7" s="13"/>
      <c r="M7" s="13"/>
      <c r="N7" s="13"/>
      <c r="O7" s="13"/>
      <c r="P7" s="72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4"/>
    </row>
    <row r="8" ht="13.65" customHeight="1">
      <c r="A8" t="s" s="731">
        <f>IF('Adatlap'!L1="Magyar",CONCATENATE('Fordítások'!C333," (*)"),CONCATENATE('Fordítások'!B333," (*)"))</f>
        <v>428</v>
      </c>
      <c r="B8" s="732"/>
      <c r="C8" s="732"/>
      <c r="D8" t="s" s="461">
        <f>IF('Adatlap'!L1="Magyar",'Fordítások'!C348,'Fordítások'!B348)</f>
        <v>429</v>
      </c>
      <c r="E8" t="s" s="381">
        <f>IF('Adatlap'!L1="Magyar",'Fordítások'!C349,'Fordítások'!B349)</f>
        <v>212</v>
      </c>
      <c r="F8" t="s" s="381">
        <f>IF('Adatlap'!L1="Magyar",'Fordítások'!C350,'Fordítások'!B350)</f>
        <v>430</v>
      </c>
      <c r="G8" t="s" s="733">
        <f>IF('Adatlap'!L1="Magyar",'Fordítások'!C351,'Fordítások'!B351)</f>
        <v>431</v>
      </c>
      <c r="H8" t="s" s="461">
        <f>IF('Adatlap'!L1="Magyar",'Fordítások'!C352,'Fordítások'!B352)</f>
        <v>432</v>
      </c>
      <c r="I8" s="72"/>
      <c r="J8" s="13"/>
      <c r="K8" s="13"/>
      <c r="L8" s="13"/>
      <c r="M8" s="13"/>
      <c r="N8" s="13"/>
      <c r="O8" s="13"/>
      <c r="P8" s="72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4"/>
    </row>
    <row r="9" ht="40.5" customHeight="1">
      <c r="A9" t="s" s="381">
        <f>IF('Adatlap'!L1="Magyar",CONCATENATE('Fordítások'!C12," (ha van)"),'Fordítások'!B12)</f>
        <v>433</v>
      </c>
      <c r="B9" s="578"/>
      <c r="C9" t="s" s="381">
        <f>IF('Adatlap'!L1="Magyar",CONCATENATE('Fordítások'!C347,"**"),CONCATENATE('Fordítások'!B347,"**"))</f>
        <v>434</v>
      </c>
      <c r="D9" s="734"/>
      <c r="E9" s="578"/>
      <c r="F9" s="578"/>
      <c r="G9" s="735"/>
      <c r="H9" s="734"/>
      <c r="I9" s="72"/>
      <c r="J9" s="13"/>
      <c r="K9" s="13"/>
      <c r="L9" s="13"/>
      <c r="M9" s="13"/>
      <c r="N9" s="13"/>
      <c r="O9" s="13"/>
      <c r="P9" s="72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4"/>
    </row>
    <row r="10" ht="24.95" customHeight="1">
      <c r="A10" s="464"/>
      <c r="B10" s="464"/>
      <c r="C10" t="s" s="462">
        <f>IF('Alapanyagok_DID'!B13="","",'Alapanyagok_DID'!B13)</f>
      </c>
      <c r="D10" t="s" s="462">
        <f>IF('Alapanyagok'!B13="","",'Alapanyagok'!H13)</f>
      </c>
      <c r="E10" t="s" s="577">
        <f>IF('Alapanyagok'!B13="","",'Alapanyagok'!N13)</f>
      </c>
      <c r="F10" t="s" s="577">
        <f>IF('Alapanyagok'!G13="","",'Alapanyagok'!G13)</f>
      </c>
      <c r="G10" t="s" s="462">
        <f>IF('Alapanyagok_DID'!B13="","",'Alapanyagok_DID'!E13)</f>
      </c>
      <c r="H10" t="s" s="462">
        <f>IF('Alapanyagok_DID'!B13="","",'Alapanyagok_DID'!G13)</f>
      </c>
      <c r="I10" s="72"/>
      <c r="J10" s="13"/>
      <c r="K10" s="13"/>
      <c r="L10" s="13"/>
      <c r="M10" s="13"/>
      <c r="N10" s="13"/>
      <c r="O10" s="34">
        <f>IF(C10="",0,1)</f>
        <v>0</v>
      </c>
      <c r="P10" s="736">
        <f>IF(C10="",0,1)</f>
        <v>0</v>
      </c>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4"/>
    </row>
    <row r="11" ht="24.95" customHeight="1">
      <c r="A11" s="464"/>
      <c r="B11" s="464"/>
      <c r="C11" t="s" s="462">
        <f>IF('Alapanyagok_DID'!B14="","",'Alapanyagok_DID'!B14)</f>
      </c>
      <c r="D11" t="s" s="462">
        <f>IF('Alapanyagok'!B14="","",'Alapanyagok'!H14)</f>
      </c>
      <c r="E11" t="s" s="577">
        <f>IF('Alapanyagok'!B14="","",'Alapanyagok'!N14)</f>
      </c>
      <c r="F11" t="s" s="577">
        <f>IF('Alapanyagok'!G14="","",'Alapanyagok'!G14)</f>
      </c>
      <c r="G11" t="s" s="462">
        <f>IF('Alapanyagok_DID'!B14="","",'Alapanyagok_DID'!E14)</f>
      </c>
      <c r="H11" t="s" s="462">
        <f>IF('Alapanyagok_DID'!B14="","",'Alapanyagok_DID'!G14)</f>
      </c>
      <c r="I11" s="72"/>
      <c r="J11" s="13"/>
      <c r="K11" s="13"/>
      <c r="L11" s="13"/>
      <c r="M11" s="13"/>
      <c r="N11" s="13"/>
      <c r="O11" s="34">
        <f>IF(C11="",0,1)</f>
        <v>0</v>
      </c>
      <c r="P11" s="736">
        <f>IF(C11="",0,1)</f>
        <v>0</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4"/>
    </row>
    <row r="12" ht="24.95" customHeight="1">
      <c r="A12" s="464"/>
      <c r="B12" s="464"/>
      <c r="C12" t="s" s="462">
        <f>IF('Alapanyagok_DID'!B15="","",'Alapanyagok_DID'!B15)</f>
      </c>
      <c r="D12" t="s" s="462">
        <f>IF('Alapanyagok'!B15="","",'Alapanyagok'!H15)</f>
      </c>
      <c r="E12" t="s" s="577">
        <f>IF('Alapanyagok'!B15="","",'Alapanyagok'!N15)</f>
      </c>
      <c r="F12" t="s" s="577">
        <f>IF('Alapanyagok'!G15="","",'Alapanyagok'!G15)</f>
      </c>
      <c r="G12" t="s" s="462">
        <f>IF('Alapanyagok_DID'!B15="","",'Alapanyagok_DID'!E15)</f>
      </c>
      <c r="H12" t="s" s="462">
        <f>IF('Alapanyagok_DID'!B15="","",'Alapanyagok_DID'!G15)</f>
      </c>
      <c r="I12" s="72"/>
      <c r="J12" s="13"/>
      <c r="K12" s="13"/>
      <c r="L12" s="13"/>
      <c r="M12" s="13"/>
      <c r="N12" s="13"/>
      <c r="O12" s="34">
        <f>IF(C12="",0,1)</f>
        <v>0</v>
      </c>
      <c r="P12" s="736">
        <f>IF(C12="",0,1)</f>
        <v>0</v>
      </c>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4"/>
    </row>
    <row r="13" ht="24.95" customHeight="1">
      <c r="A13" s="464"/>
      <c r="B13" s="464"/>
      <c r="C13" t="s" s="462">
        <f>IF('Alapanyagok_DID'!B16="","",'Alapanyagok_DID'!B16)</f>
      </c>
      <c r="D13" t="s" s="462">
        <f>IF('Alapanyagok'!B16="","",'Alapanyagok'!H16)</f>
      </c>
      <c r="E13" t="s" s="577">
        <f>IF('Alapanyagok'!B16="","",'Alapanyagok'!N16)</f>
      </c>
      <c r="F13" t="s" s="577">
        <f>IF('Alapanyagok'!G16="","",'Alapanyagok'!G16)</f>
      </c>
      <c r="G13" t="s" s="462">
        <f>IF('Alapanyagok_DID'!B16="","",'Alapanyagok_DID'!E16)</f>
      </c>
      <c r="H13" t="s" s="462">
        <f>IF('Alapanyagok_DID'!B16="","",'Alapanyagok_DID'!G16)</f>
      </c>
      <c r="I13" s="72"/>
      <c r="J13" s="13"/>
      <c r="K13" s="13"/>
      <c r="L13" s="13"/>
      <c r="M13" s="13"/>
      <c r="N13" s="13"/>
      <c r="O13" s="34">
        <f>IF(C13="",0,1)</f>
        <v>0</v>
      </c>
      <c r="P13" s="736">
        <f>IF(C13="",0,1)</f>
        <v>0</v>
      </c>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4"/>
    </row>
    <row r="14" ht="24.95" customHeight="1">
      <c r="A14" s="464"/>
      <c r="B14" s="464"/>
      <c r="C14" t="s" s="462">
        <f>IF('Alapanyagok_DID'!B17="","",'Alapanyagok_DID'!B17)</f>
      </c>
      <c r="D14" t="s" s="462">
        <f>IF('Alapanyagok'!B17="","",'Alapanyagok'!H17)</f>
      </c>
      <c r="E14" t="s" s="577">
        <f>IF('Alapanyagok'!B17="","",'Alapanyagok'!N17)</f>
      </c>
      <c r="F14" t="s" s="577">
        <f>IF('Alapanyagok'!G17="","",'Alapanyagok'!G17)</f>
      </c>
      <c r="G14" t="s" s="462">
        <f>IF('Alapanyagok_DID'!B17="","",'Alapanyagok_DID'!E17)</f>
      </c>
      <c r="H14" t="s" s="462">
        <f>IF('Alapanyagok_DID'!B17="","",'Alapanyagok_DID'!G17)</f>
      </c>
      <c r="I14" s="72"/>
      <c r="J14" s="13"/>
      <c r="K14" s="13"/>
      <c r="L14" s="13"/>
      <c r="M14" s="13"/>
      <c r="N14" s="13"/>
      <c r="O14" s="34">
        <f>IF(C14="",0,1)</f>
        <v>0</v>
      </c>
      <c r="P14" s="736">
        <f>IF(C14="",0,1)</f>
        <v>0</v>
      </c>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4"/>
    </row>
    <row r="15" ht="24.95" customHeight="1">
      <c r="A15" s="464"/>
      <c r="B15" s="464"/>
      <c r="C15" t="s" s="462">
        <f>IF('Alapanyagok_DID'!B18="","",'Alapanyagok_DID'!B18)</f>
      </c>
      <c r="D15" t="s" s="462">
        <f>IF('Alapanyagok'!B18="","",'Alapanyagok'!H18)</f>
      </c>
      <c r="E15" t="s" s="577">
        <f>IF('Alapanyagok'!B18="","",'Alapanyagok'!N18)</f>
      </c>
      <c r="F15" t="s" s="577">
        <f>IF('Alapanyagok'!G18="","",'Alapanyagok'!G18)</f>
      </c>
      <c r="G15" t="s" s="462">
        <f>IF('Alapanyagok_DID'!B18="","",'Alapanyagok_DID'!E18)</f>
      </c>
      <c r="H15" t="s" s="462">
        <f>IF('Alapanyagok_DID'!B18="","",'Alapanyagok_DID'!G18)</f>
      </c>
      <c r="I15" s="72"/>
      <c r="J15" s="13"/>
      <c r="K15" s="13"/>
      <c r="L15" s="13"/>
      <c r="M15" s="13"/>
      <c r="N15" s="13"/>
      <c r="O15" s="34">
        <f>IF(C15="",0,1)</f>
        <v>0</v>
      </c>
      <c r="P15" s="736">
        <f>IF(C15="",0,1)</f>
        <v>0</v>
      </c>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4"/>
    </row>
    <row r="16" ht="24.95" customHeight="1">
      <c r="A16" s="464"/>
      <c r="B16" s="464"/>
      <c r="C16" t="s" s="462">
        <f>IF('Alapanyagok_DID'!B19="","",'Alapanyagok_DID'!B19)</f>
      </c>
      <c r="D16" t="s" s="462">
        <f>IF('Alapanyagok'!B19="","",'Alapanyagok'!H19)</f>
      </c>
      <c r="E16" t="s" s="577">
        <f>IF('Alapanyagok'!B19="","",'Alapanyagok'!N19)</f>
      </c>
      <c r="F16" t="s" s="577">
        <f>IF('Alapanyagok'!G19="","",'Alapanyagok'!G19)</f>
      </c>
      <c r="G16" t="s" s="462">
        <f>IF('Alapanyagok_DID'!B19="","",'Alapanyagok_DID'!E19)</f>
      </c>
      <c r="H16" t="s" s="462">
        <f>IF('Alapanyagok_DID'!B19="","",'Alapanyagok_DID'!G19)</f>
      </c>
      <c r="I16" s="72"/>
      <c r="J16" s="13"/>
      <c r="K16" s="13"/>
      <c r="L16" s="13"/>
      <c r="M16" s="13"/>
      <c r="N16" s="13"/>
      <c r="O16" s="34">
        <f>IF(C16="",0,1)</f>
        <v>0</v>
      </c>
      <c r="P16" s="736">
        <f>IF(C16="",0,1)</f>
        <v>0</v>
      </c>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4"/>
    </row>
    <row r="17" ht="24.95" customHeight="1">
      <c r="A17" s="464"/>
      <c r="B17" s="464"/>
      <c r="C17" t="s" s="462">
        <f>IF('Alapanyagok_DID'!B20="","",'Alapanyagok_DID'!B20)</f>
      </c>
      <c r="D17" t="s" s="462">
        <f>IF('Alapanyagok'!B20="","",'Alapanyagok'!H20)</f>
      </c>
      <c r="E17" t="s" s="577">
        <f>IF('Alapanyagok'!B20="","",'Alapanyagok'!N20)</f>
      </c>
      <c r="F17" t="s" s="577">
        <f>IF('Alapanyagok'!G20="","",'Alapanyagok'!G20)</f>
      </c>
      <c r="G17" t="s" s="462">
        <f>IF('Alapanyagok_DID'!B20="","",'Alapanyagok_DID'!E20)</f>
      </c>
      <c r="H17" t="s" s="462">
        <f>IF('Alapanyagok_DID'!B20="","",'Alapanyagok_DID'!G20)</f>
      </c>
      <c r="I17" s="72"/>
      <c r="J17" s="13"/>
      <c r="K17" s="13"/>
      <c r="L17" s="13"/>
      <c r="M17" s="13"/>
      <c r="N17" s="13"/>
      <c r="O17" s="34">
        <f>IF(C17="",0,1)</f>
        <v>0</v>
      </c>
      <c r="P17" s="736">
        <f>IF(C17="",0,1)</f>
        <v>0</v>
      </c>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4"/>
    </row>
    <row r="18" ht="24.95" customHeight="1">
      <c r="A18" s="464"/>
      <c r="B18" s="464"/>
      <c r="C18" t="s" s="462">
        <f>IF('Alapanyagok_DID'!B21="","",'Alapanyagok_DID'!B21)</f>
      </c>
      <c r="D18" t="s" s="462">
        <f>IF('Alapanyagok'!B21="","",'Alapanyagok'!H21)</f>
      </c>
      <c r="E18" t="s" s="577">
        <f>IF('Alapanyagok'!B21="","",'Alapanyagok'!N21)</f>
      </c>
      <c r="F18" t="s" s="577">
        <f>IF('Alapanyagok'!G21="","",'Alapanyagok'!G21)</f>
      </c>
      <c r="G18" t="s" s="462">
        <f>IF('Alapanyagok_DID'!B21="","",'Alapanyagok_DID'!E21)</f>
      </c>
      <c r="H18" t="s" s="462">
        <f>IF('Alapanyagok_DID'!B21="","",'Alapanyagok_DID'!G21)</f>
      </c>
      <c r="I18" s="72"/>
      <c r="J18" s="13"/>
      <c r="K18" s="13"/>
      <c r="L18" s="13"/>
      <c r="M18" s="13"/>
      <c r="N18" s="13"/>
      <c r="O18" s="34">
        <f>IF(C18="",0,1)</f>
        <v>0</v>
      </c>
      <c r="P18" s="736">
        <f>IF(C18="",0,1)</f>
        <v>0</v>
      </c>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4"/>
    </row>
    <row r="19" ht="24.95" customHeight="1">
      <c r="A19" s="464"/>
      <c r="B19" s="464"/>
      <c r="C19" t="s" s="462">
        <f>IF('Alapanyagok_DID'!B22="","",'Alapanyagok_DID'!B22)</f>
      </c>
      <c r="D19" t="s" s="462">
        <f>IF('Alapanyagok'!B22="","",'Alapanyagok'!H22)</f>
      </c>
      <c r="E19" t="s" s="577">
        <f>IF('Alapanyagok'!B22="","",'Alapanyagok'!N22)</f>
      </c>
      <c r="F19" t="s" s="577">
        <f>IF('Alapanyagok'!G22="","",'Alapanyagok'!G22)</f>
      </c>
      <c r="G19" t="s" s="462">
        <f>IF('Alapanyagok_DID'!B22="","",'Alapanyagok_DID'!E22)</f>
      </c>
      <c r="H19" t="s" s="462">
        <f>IF('Alapanyagok_DID'!B22="","",'Alapanyagok_DID'!G22)</f>
      </c>
      <c r="I19" s="72"/>
      <c r="J19" s="13"/>
      <c r="K19" s="13"/>
      <c r="L19" s="13"/>
      <c r="M19" s="13"/>
      <c r="N19" s="13"/>
      <c r="O19" s="34">
        <f>IF(C19="",0,1)</f>
        <v>0</v>
      </c>
      <c r="P19" s="736">
        <f>IF(C19="",0,1)</f>
        <v>0</v>
      </c>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4"/>
    </row>
    <row r="20" ht="24.95" customHeight="1">
      <c r="A20" s="464"/>
      <c r="B20" s="464"/>
      <c r="C20" t="s" s="462">
        <f>IF('Alapanyagok_DID'!B23="","",'Alapanyagok_DID'!B23)</f>
      </c>
      <c r="D20" t="s" s="462">
        <f>IF('Alapanyagok'!B23="","",'Alapanyagok'!H23)</f>
      </c>
      <c r="E20" t="s" s="577">
        <f>IF('Alapanyagok'!B23="","",'Alapanyagok'!N23)</f>
      </c>
      <c r="F20" t="s" s="577">
        <f>IF('Alapanyagok'!G23="","",'Alapanyagok'!G23)</f>
      </c>
      <c r="G20" t="s" s="462">
        <f>IF('Alapanyagok_DID'!B23="","",'Alapanyagok_DID'!E23)</f>
      </c>
      <c r="H20" t="s" s="462">
        <f>IF('Alapanyagok_DID'!B23="","",'Alapanyagok_DID'!G23)</f>
      </c>
      <c r="I20" s="72"/>
      <c r="J20" s="13"/>
      <c r="K20" s="13"/>
      <c r="L20" s="13"/>
      <c r="M20" s="13"/>
      <c r="N20" s="13"/>
      <c r="O20" s="34">
        <f>IF(C20="",0,1)</f>
        <v>0</v>
      </c>
      <c r="P20" s="736">
        <f>IF(C20="",0,1)</f>
        <v>0</v>
      </c>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4"/>
    </row>
    <row r="21" ht="24.95" customHeight="1">
      <c r="A21" s="464"/>
      <c r="B21" s="464"/>
      <c r="C21" t="s" s="462">
        <f>IF('Alapanyagok_DID'!B24="","",'Alapanyagok_DID'!B24)</f>
      </c>
      <c r="D21" t="s" s="462">
        <f>IF('Alapanyagok'!B24="","",'Alapanyagok'!H24)</f>
      </c>
      <c r="E21" t="s" s="577">
        <f>IF('Alapanyagok'!B24="","",'Alapanyagok'!N24)</f>
      </c>
      <c r="F21" t="s" s="577">
        <f>IF('Alapanyagok'!G24="","",'Alapanyagok'!G24)</f>
      </c>
      <c r="G21" t="s" s="462">
        <f>IF('Alapanyagok_DID'!B24="","",'Alapanyagok_DID'!E24)</f>
      </c>
      <c r="H21" t="s" s="462">
        <f>IF('Alapanyagok_DID'!B24="","",'Alapanyagok_DID'!G24)</f>
      </c>
      <c r="I21" s="72"/>
      <c r="J21" s="13"/>
      <c r="K21" s="13"/>
      <c r="L21" s="13"/>
      <c r="M21" s="13"/>
      <c r="N21" s="13"/>
      <c r="O21" s="34">
        <f>IF(C21="",0,1)</f>
        <v>0</v>
      </c>
      <c r="P21" s="736">
        <f>IF(C21="",0,1)</f>
        <v>0</v>
      </c>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4"/>
    </row>
    <row r="22" ht="24.95" customHeight="1">
      <c r="A22" s="464"/>
      <c r="B22" s="464"/>
      <c r="C22" t="s" s="462">
        <f>IF('Alapanyagok_DID'!B25="","",'Alapanyagok_DID'!B25)</f>
      </c>
      <c r="D22" t="s" s="462">
        <f>IF('Alapanyagok'!B25="","",'Alapanyagok'!H25)</f>
      </c>
      <c r="E22" t="s" s="577">
        <f>IF('Alapanyagok'!B25="","",'Alapanyagok'!N25)</f>
      </c>
      <c r="F22" t="s" s="577">
        <f>IF('Alapanyagok'!G25="","",'Alapanyagok'!G25)</f>
      </c>
      <c r="G22" t="s" s="462">
        <f>IF('Alapanyagok_DID'!B25="","",'Alapanyagok_DID'!E25)</f>
      </c>
      <c r="H22" t="s" s="462">
        <f>IF('Alapanyagok_DID'!B25="","",'Alapanyagok_DID'!G25)</f>
      </c>
      <c r="I22" s="72"/>
      <c r="J22" s="13"/>
      <c r="K22" s="13"/>
      <c r="L22" s="13"/>
      <c r="M22" s="13"/>
      <c r="N22" s="13"/>
      <c r="O22" s="34">
        <f>IF(C22="",0,1)</f>
        <v>0</v>
      </c>
      <c r="P22" s="736">
        <f>IF(C22="",0,1)</f>
        <v>0</v>
      </c>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4"/>
    </row>
    <row r="23" ht="24.95" customHeight="1">
      <c r="A23" s="464"/>
      <c r="B23" s="464"/>
      <c r="C23" t="s" s="462">
        <f>IF('Alapanyagok_DID'!B26="","",'Alapanyagok_DID'!B26)</f>
      </c>
      <c r="D23" t="s" s="462">
        <f>IF('Alapanyagok'!B26="","",'Alapanyagok'!H26)</f>
      </c>
      <c r="E23" t="s" s="577">
        <f>IF('Alapanyagok'!B26="","",'Alapanyagok'!N26)</f>
      </c>
      <c r="F23" t="s" s="577">
        <f>IF('Alapanyagok'!G26="","",'Alapanyagok'!G26)</f>
      </c>
      <c r="G23" t="s" s="462">
        <f>IF('Alapanyagok_DID'!B26="","",'Alapanyagok_DID'!E26)</f>
      </c>
      <c r="H23" t="s" s="462">
        <f>IF('Alapanyagok_DID'!B26="","",'Alapanyagok_DID'!G26)</f>
      </c>
      <c r="I23" s="72"/>
      <c r="J23" s="13"/>
      <c r="K23" s="13"/>
      <c r="L23" s="13"/>
      <c r="M23" s="13"/>
      <c r="N23" s="13"/>
      <c r="O23" s="34">
        <f>IF(C23="",0,1)</f>
        <v>0</v>
      </c>
      <c r="P23" s="736">
        <f>IF(C23="",0,1)</f>
        <v>0</v>
      </c>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4"/>
    </row>
    <row r="24" ht="24.95" customHeight="1">
      <c r="A24" s="464"/>
      <c r="B24" s="464"/>
      <c r="C24" t="s" s="462">
        <f>IF('Alapanyagok_DID'!B27="","",'Alapanyagok_DID'!B27)</f>
      </c>
      <c r="D24" t="s" s="462">
        <f>IF('Alapanyagok'!B27="","",'Alapanyagok'!H27)</f>
      </c>
      <c r="E24" t="s" s="577">
        <f>IF('Alapanyagok'!B27="","",'Alapanyagok'!N27)</f>
      </c>
      <c r="F24" t="s" s="577">
        <f>IF('Alapanyagok'!G27="","",'Alapanyagok'!G27)</f>
      </c>
      <c r="G24" t="s" s="462">
        <f>IF('Alapanyagok_DID'!B27="","",'Alapanyagok_DID'!E27)</f>
      </c>
      <c r="H24" t="s" s="462">
        <f>IF('Alapanyagok_DID'!B27="","",'Alapanyagok_DID'!G27)</f>
      </c>
      <c r="I24" s="72"/>
      <c r="J24" t="s" s="33">
        <v>435</v>
      </c>
      <c r="K24" s="13"/>
      <c r="L24" s="13"/>
      <c r="M24" s="13"/>
      <c r="N24" s="13"/>
      <c r="O24" s="34">
        <f>IF(C24="",0,1)</f>
        <v>0</v>
      </c>
      <c r="P24" s="736">
        <f>IF(C24="",0,1)</f>
        <v>0</v>
      </c>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4"/>
    </row>
    <row r="25" ht="24.95" customHeight="1">
      <c r="A25" s="464"/>
      <c r="B25" s="464"/>
      <c r="C25" t="s" s="462">
        <f>IF('Alapanyagok_DID'!B28="","",'Alapanyagok_DID'!B28)</f>
      </c>
      <c r="D25" t="s" s="462">
        <f>IF('Alapanyagok'!B28="","",'Alapanyagok'!H28)</f>
      </c>
      <c r="E25" t="s" s="577">
        <f>IF('Alapanyagok'!B28="","",'Alapanyagok'!N28)</f>
      </c>
      <c r="F25" t="s" s="577">
        <f>IF('Alapanyagok'!G28="","",'Alapanyagok'!G28)</f>
      </c>
      <c r="G25" t="s" s="462">
        <f>IF('Alapanyagok_DID'!B28="","",'Alapanyagok_DID'!E28)</f>
      </c>
      <c r="H25" t="s" s="462">
        <f>IF('Alapanyagok_DID'!B28="","",'Alapanyagok_DID'!G28)</f>
      </c>
      <c r="I25" s="72"/>
      <c r="J25" s="13"/>
      <c r="K25" s="13"/>
      <c r="L25" s="13"/>
      <c r="M25" s="13"/>
      <c r="N25" t="s" s="33">
        <f>IF(MAX(P10:P27)=0,"üres",MAX(P10:P27))</f>
        <v>436</v>
      </c>
      <c r="O25" s="34">
        <f>IF(C25="",0,1)</f>
        <v>0</v>
      </c>
      <c r="P25" s="736">
        <f>IF(C25="",0,1)</f>
        <v>0</v>
      </c>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4"/>
    </row>
    <row r="26" ht="24.95" customHeight="1">
      <c r="A26" s="464"/>
      <c r="B26" s="464"/>
      <c r="C26" t="s" s="462">
        <f>IF('Alapanyagok_DID'!B29="","",'Alapanyagok_DID'!B29)</f>
      </c>
      <c r="D26" t="s" s="462">
        <f>IF('Alapanyagok'!B29="","",'Alapanyagok'!H29)</f>
      </c>
      <c r="E26" t="s" s="577">
        <f>IF('Alapanyagok'!B29="","",'Alapanyagok'!N29)</f>
      </c>
      <c r="F26" t="s" s="577">
        <f>IF('Alapanyagok'!G29="","",'Alapanyagok'!G29)</f>
      </c>
      <c r="G26" t="s" s="462">
        <f>IF('Alapanyagok_DID'!B29="","",'Alapanyagok_DID'!E29)</f>
      </c>
      <c r="H26" t="s" s="462">
        <f>IF('Alapanyagok_DID'!B29="","",'Alapanyagok_DID'!G29)</f>
      </c>
      <c r="I26" s="72"/>
      <c r="J26" s="13"/>
      <c r="K26" s="13"/>
      <c r="L26" s="13"/>
      <c r="M26" s="13"/>
      <c r="N26" s="13"/>
      <c r="O26" s="34">
        <f>IF(C26="",0,1)</f>
        <v>0</v>
      </c>
      <c r="P26" s="736">
        <f>IF(C26="",0,1)</f>
        <v>0</v>
      </c>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4"/>
    </row>
    <row r="27" ht="24.95" customHeight="1">
      <c r="A27" s="464"/>
      <c r="B27" s="464"/>
      <c r="C27" t="s" s="462">
        <f>IF('Alapanyagok_DID'!B30="","",'Alapanyagok_DID'!B30)</f>
      </c>
      <c r="D27" t="s" s="462">
        <f>IF('Alapanyagok'!B30="","",'Alapanyagok'!H30)</f>
      </c>
      <c r="E27" t="s" s="577">
        <f>IF('Alapanyagok'!B30="","",'Alapanyagok'!N30)</f>
      </c>
      <c r="F27" t="s" s="577">
        <f>IF('Alapanyagok'!G30="","",'Alapanyagok'!G30)</f>
      </c>
      <c r="G27" t="s" s="462">
        <f>IF('Alapanyagok_DID'!B30="","",'Alapanyagok_DID'!E30)</f>
      </c>
      <c r="H27" t="s" s="462">
        <f>IF('Alapanyagok_DID'!B30="","",'Alapanyagok_DID'!G30)</f>
      </c>
      <c r="I27" s="72"/>
      <c r="J27" s="13"/>
      <c r="K27" s="13"/>
      <c r="L27" s="13"/>
      <c r="M27" s="13"/>
      <c r="N27" s="13"/>
      <c r="O27" s="34">
        <f>IF(C27="",0,1)</f>
        <v>0</v>
      </c>
      <c r="P27" s="736">
        <f>IF(C27="",0,1)</f>
        <v>0</v>
      </c>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4"/>
    </row>
    <row r="28" ht="24.95" customHeight="1">
      <c r="A28" s="464"/>
      <c r="B28" s="464"/>
      <c r="C28" t="s" s="462">
        <f>IF('Alapanyagok_DID'!B31="","",'Alapanyagok_DID'!B31)</f>
      </c>
      <c r="D28" t="s" s="462">
        <f>IF('Alapanyagok'!B31="","",'Alapanyagok'!H31)</f>
      </c>
      <c r="E28" t="s" s="577">
        <f>IF('Alapanyagok'!B31="","",'Alapanyagok'!N31)</f>
      </c>
      <c r="F28" t="s" s="577">
        <f>IF('Alapanyagok'!G31="","",'Alapanyagok'!G31)</f>
      </c>
      <c r="G28" t="s" s="462">
        <f>IF('Alapanyagok_DID'!B31="","",'Alapanyagok_DID'!E31)</f>
      </c>
      <c r="H28" t="s" s="462">
        <f>IF('Alapanyagok_DID'!B31="","",'Alapanyagok_DID'!G31)</f>
      </c>
      <c r="I28" s="72"/>
      <c r="J28" s="13"/>
      <c r="K28" s="13"/>
      <c r="L28" s="13"/>
      <c r="M28" s="13"/>
      <c r="N28" s="13"/>
      <c r="O28" s="34">
        <f>IF(C28="",0,1)</f>
        <v>0</v>
      </c>
      <c r="P28" s="736">
        <f>IF(C28="",0,1)</f>
        <v>0</v>
      </c>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4"/>
    </row>
    <row r="29" ht="24.95" customHeight="1">
      <c r="A29" s="464"/>
      <c r="B29" s="464"/>
      <c r="C29" t="s" s="462">
        <f>IF('Alapanyagok_DID'!B32="","",'Alapanyagok_DID'!B32)</f>
      </c>
      <c r="D29" t="s" s="462">
        <f>IF('Alapanyagok'!B32="","",'Alapanyagok'!H32)</f>
      </c>
      <c r="E29" t="s" s="577">
        <f>IF('Alapanyagok'!B32="","",'Alapanyagok'!N32)</f>
      </c>
      <c r="F29" t="s" s="577">
        <f>IF('Alapanyagok'!G32="","",'Alapanyagok'!G32)</f>
      </c>
      <c r="G29" t="s" s="462">
        <f>IF('Alapanyagok_DID'!B32="","",'Alapanyagok_DID'!E32)</f>
      </c>
      <c r="H29" t="s" s="462">
        <f>IF('Alapanyagok_DID'!B32="","",'Alapanyagok_DID'!G32)</f>
      </c>
      <c r="I29" s="72"/>
      <c r="J29" s="13"/>
      <c r="K29" s="13"/>
      <c r="L29" s="13"/>
      <c r="M29" s="13"/>
      <c r="N29" s="13"/>
      <c r="O29" s="34">
        <f>IF(C29="",0,1)</f>
        <v>0</v>
      </c>
      <c r="P29" s="736">
        <f>IF(C29="",0,1)</f>
        <v>0</v>
      </c>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4"/>
    </row>
    <row r="30" ht="24.95" customHeight="1">
      <c r="A30" s="464"/>
      <c r="B30" s="464"/>
      <c r="C30" t="s" s="462">
        <f>IF('Alapanyagok_DID'!B33="","",'Alapanyagok_DID'!B33)</f>
      </c>
      <c r="D30" t="s" s="462">
        <f>IF('Alapanyagok'!B33="","",'Alapanyagok'!H33)</f>
      </c>
      <c r="E30" t="s" s="577">
        <f>IF('Alapanyagok'!B33="","",'Alapanyagok'!N33)</f>
      </c>
      <c r="F30" t="s" s="577">
        <f>IF('Alapanyagok'!G33="","",'Alapanyagok'!G33)</f>
      </c>
      <c r="G30" t="s" s="462">
        <f>IF('Alapanyagok_DID'!B33="","",'Alapanyagok_DID'!E33)</f>
      </c>
      <c r="H30" t="s" s="462">
        <f>IF('Alapanyagok_DID'!B33="","",'Alapanyagok_DID'!G33)</f>
      </c>
      <c r="I30" s="72"/>
      <c r="J30" s="13"/>
      <c r="K30" s="13"/>
      <c r="L30" s="13"/>
      <c r="M30" s="13"/>
      <c r="N30" s="13"/>
      <c r="O30" s="34">
        <f>IF(C30="",0,1)</f>
        <v>0</v>
      </c>
      <c r="P30" s="736">
        <f>IF(C30="",0,1)</f>
        <v>0</v>
      </c>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4"/>
    </row>
    <row r="31" ht="24.95" customHeight="1">
      <c r="A31" s="464"/>
      <c r="B31" s="464"/>
      <c r="C31" t="s" s="462">
        <f>IF('Alapanyagok_DID'!B34="","",'Alapanyagok_DID'!B34)</f>
      </c>
      <c r="D31" t="s" s="462">
        <f>IF('Alapanyagok'!B34="","",'Alapanyagok'!H34)</f>
      </c>
      <c r="E31" t="s" s="577">
        <f>IF('Alapanyagok'!B34="","",'Alapanyagok'!N34)</f>
      </c>
      <c r="F31" t="s" s="577">
        <f>IF('Alapanyagok'!G34="","",'Alapanyagok'!G34)</f>
      </c>
      <c r="G31" t="s" s="462">
        <f>IF('Alapanyagok_DID'!B34="","",'Alapanyagok_DID'!E34)</f>
      </c>
      <c r="H31" t="s" s="462">
        <f>IF('Alapanyagok_DID'!B34="","",'Alapanyagok_DID'!G34)</f>
      </c>
      <c r="I31" s="72"/>
      <c r="J31" s="13"/>
      <c r="K31" s="13"/>
      <c r="L31" s="13"/>
      <c r="M31" s="13"/>
      <c r="N31" s="13"/>
      <c r="O31" s="34">
        <f>IF(C31="",0,1)</f>
        <v>0</v>
      </c>
      <c r="P31" s="736">
        <f>IF(C31="",0,1)</f>
        <v>0</v>
      </c>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4"/>
    </row>
    <row r="32" ht="24.95" customHeight="1">
      <c r="A32" s="464"/>
      <c r="B32" s="464"/>
      <c r="C32" t="s" s="462">
        <f>IF('Alapanyagok_DID'!B35="","",'Alapanyagok_DID'!B35)</f>
      </c>
      <c r="D32" t="s" s="462">
        <f>IF('Alapanyagok'!B35="","",'Alapanyagok'!H35)</f>
      </c>
      <c r="E32" t="s" s="577">
        <f>IF('Alapanyagok'!B35="","",'Alapanyagok'!N35)</f>
      </c>
      <c r="F32" t="s" s="577">
        <f>IF('Alapanyagok'!G35="","",'Alapanyagok'!G35)</f>
      </c>
      <c r="G32" t="s" s="462">
        <f>IF('Alapanyagok_DID'!B35="","",'Alapanyagok_DID'!E35)</f>
      </c>
      <c r="H32" t="s" s="462">
        <f>IF('Alapanyagok_DID'!B35="","",'Alapanyagok_DID'!G35)</f>
      </c>
      <c r="I32" s="72"/>
      <c r="J32" s="13"/>
      <c r="K32" s="13"/>
      <c r="L32" s="13"/>
      <c r="M32" s="13"/>
      <c r="N32" s="13"/>
      <c r="O32" s="34">
        <f>IF(C32="",0,1)</f>
        <v>0</v>
      </c>
      <c r="P32" s="736">
        <f>IF(C32="",0,1)</f>
        <v>0</v>
      </c>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4"/>
    </row>
    <row r="33" ht="24.95" customHeight="1">
      <c r="A33" s="464"/>
      <c r="B33" s="464"/>
      <c r="C33" t="s" s="462">
        <f>IF('Alapanyagok_DID'!B36="","",'Alapanyagok_DID'!B36)</f>
      </c>
      <c r="D33" t="s" s="462">
        <f>IF('Alapanyagok'!B36="","",'Alapanyagok'!H36)</f>
      </c>
      <c r="E33" t="s" s="577">
        <f>IF('Alapanyagok'!B36="","",'Alapanyagok'!N36)</f>
      </c>
      <c r="F33" t="s" s="577">
        <f>IF('Alapanyagok'!G36="","",'Alapanyagok'!G36)</f>
      </c>
      <c r="G33" t="s" s="462">
        <f>IF('Alapanyagok_DID'!B36="","",'Alapanyagok_DID'!E36)</f>
      </c>
      <c r="H33" t="s" s="462">
        <f>IF('Alapanyagok_DID'!B36="","",'Alapanyagok_DID'!G36)</f>
      </c>
      <c r="I33" s="72"/>
      <c r="J33" s="13"/>
      <c r="K33" s="13"/>
      <c r="L33" s="13"/>
      <c r="M33" s="13"/>
      <c r="N33" s="13"/>
      <c r="O33" s="34">
        <f>IF(C33="",0,1)</f>
        <v>0</v>
      </c>
      <c r="P33" s="736">
        <f>IF(C33="",0,1)</f>
        <v>0</v>
      </c>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4"/>
    </row>
    <row r="34" ht="24.95" customHeight="1">
      <c r="A34" s="464"/>
      <c r="B34" s="464"/>
      <c r="C34" t="s" s="462">
        <f>IF('Alapanyagok_DID'!B37="","",'Alapanyagok_DID'!B37)</f>
      </c>
      <c r="D34" t="s" s="462">
        <f>IF('Alapanyagok'!B37="","",'Alapanyagok'!H37)</f>
      </c>
      <c r="E34" t="s" s="577">
        <f>IF('Alapanyagok'!B37="","",'Alapanyagok'!N37)</f>
      </c>
      <c r="F34" t="s" s="577">
        <f>IF('Alapanyagok'!G37="","",'Alapanyagok'!G37)</f>
      </c>
      <c r="G34" t="s" s="462">
        <f>IF('Alapanyagok_DID'!B37="","",'Alapanyagok_DID'!E37)</f>
      </c>
      <c r="H34" t="s" s="462">
        <f>IF('Alapanyagok_DID'!B37="","",'Alapanyagok_DID'!G37)</f>
      </c>
      <c r="I34" s="72"/>
      <c r="J34" s="13"/>
      <c r="K34" s="13"/>
      <c r="L34" s="13"/>
      <c r="M34" s="13"/>
      <c r="N34" s="13"/>
      <c r="O34" s="34">
        <f>IF(C34="",0,1)</f>
        <v>0</v>
      </c>
      <c r="P34" s="736">
        <f>IF(C34="",0,1)</f>
        <v>0</v>
      </c>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4"/>
    </row>
    <row r="35" ht="24.95" customHeight="1">
      <c r="A35" s="464"/>
      <c r="B35" s="464"/>
      <c r="C35" t="s" s="462">
        <f>IF('Alapanyagok_DID'!B38="","",'Alapanyagok_DID'!B38)</f>
      </c>
      <c r="D35" t="s" s="462">
        <f>IF('Alapanyagok'!B38="","",'Alapanyagok'!H38)</f>
      </c>
      <c r="E35" t="s" s="577">
        <f>IF('Alapanyagok'!B38="","",'Alapanyagok'!N38)</f>
      </c>
      <c r="F35" t="s" s="577">
        <f>IF('Alapanyagok'!G38="","",'Alapanyagok'!G38)</f>
      </c>
      <c r="G35" t="s" s="462">
        <f>IF('Alapanyagok_DID'!B38="","",'Alapanyagok_DID'!E38)</f>
      </c>
      <c r="H35" t="s" s="462">
        <f>IF('Alapanyagok_DID'!B38="","",'Alapanyagok_DID'!G38)</f>
      </c>
      <c r="I35" s="72"/>
      <c r="J35" s="13"/>
      <c r="K35" s="13"/>
      <c r="L35" s="13"/>
      <c r="M35" s="13"/>
      <c r="N35" s="13"/>
      <c r="O35" s="34">
        <f>IF(C35="",0,1)</f>
        <v>0</v>
      </c>
      <c r="P35" s="736">
        <f>IF(C35="",0,1)</f>
        <v>0</v>
      </c>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4"/>
    </row>
    <row r="36" ht="24.95" customHeight="1">
      <c r="A36" s="464"/>
      <c r="B36" s="464"/>
      <c r="C36" t="s" s="462">
        <f>IF('Alapanyagok_DID'!B39="","",'Alapanyagok_DID'!B39)</f>
      </c>
      <c r="D36" t="s" s="462">
        <f>IF('Alapanyagok'!B39="","",'Alapanyagok'!H39)</f>
      </c>
      <c r="E36" t="s" s="577">
        <f>IF('Alapanyagok'!B39="","",'Alapanyagok'!N39)</f>
      </c>
      <c r="F36" t="s" s="577">
        <f>IF('Alapanyagok'!G39="","",'Alapanyagok'!G39)</f>
      </c>
      <c r="G36" t="s" s="462">
        <f>IF('Alapanyagok_DID'!B39="","",'Alapanyagok_DID'!E39)</f>
      </c>
      <c r="H36" t="s" s="462">
        <f>IF('Alapanyagok_DID'!B39="","",'Alapanyagok_DID'!G39)</f>
      </c>
      <c r="I36" s="72"/>
      <c r="J36" s="13"/>
      <c r="K36" s="13"/>
      <c r="L36" s="13"/>
      <c r="M36" s="13"/>
      <c r="N36" s="13"/>
      <c r="O36" s="34">
        <f>IF(C36="",0,1)</f>
        <v>0</v>
      </c>
      <c r="P36" s="736">
        <f>IF(C36="",0,1)</f>
        <v>0</v>
      </c>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4"/>
    </row>
    <row r="37" ht="24.95" customHeight="1">
      <c r="A37" s="464"/>
      <c r="B37" s="464"/>
      <c r="C37" t="s" s="462">
        <f>IF('Alapanyagok_DID'!B40="","",'Alapanyagok_DID'!B40)</f>
      </c>
      <c r="D37" t="s" s="462">
        <f>IF('Alapanyagok'!B40="","",'Alapanyagok'!H40)</f>
      </c>
      <c r="E37" t="s" s="577">
        <f>IF('Alapanyagok'!B40="","",'Alapanyagok'!N40)</f>
      </c>
      <c r="F37" t="s" s="577">
        <f>IF('Alapanyagok'!G40="","",'Alapanyagok'!G40)</f>
      </c>
      <c r="G37" t="s" s="462">
        <f>IF('Alapanyagok_DID'!B40="","",'Alapanyagok_DID'!E40)</f>
      </c>
      <c r="H37" t="s" s="462">
        <f>IF('Alapanyagok_DID'!B40="","",'Alapanyagok_DID'!G40)</f>
      </c>
      <c r="I37" s="72"/>
      <c r="J37" s="13"/>
      <c r="K37" s="13"/>
      <c r="L37" s="13"/>
      <c r="M37" s="13"/>
      <c r="N37" s="13"/>
      <c r="O37" s="34">
        <f>IF(C37="",0,1)</f>
        <v>0</v>
      </c>
      <c r="P37" s="736">
        <f>IF(C37="",0,1)</f>
        <v>0</v>
      </c>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4"/>
    </row>
    <row r="38" ht="24.95" customHeight="1">
      <c r="A38" s="464"/>
      <c r="B38" s="464"/>
      <c r="C38" t="s" s="462">
        <f>IF('Alapanyagok_DID'!B41="","",'Alapanyagok_DID'!B41)</f>
      </c>
      <c r="D38" t="s" s="462">
        <f>IF('Alapanyagok'!B41="","",'Alapanyagok'!H41)</f>
      </c>
      <c r="E38" t="s" s="577">
        <f>IF('Alapanyagok'!B41="","",'Alapanyagok'!N41)</f>
      </c>
      <c r="F38" t="s" s="577">
        <f>IF('Alapanyagok'!G41="","",'Alapanyagok'!G41)</f>
      </c>
      <c r="G38" t="s" s="462">
        <f>IF('Alapanyagok_DID'!B41="","",'Alapanyagok_DID'!E41)</f>
      </c>
      <c r="H38" t="s" s="462">
        <f>IF('Alapanyagok_DID'!B41="","",'Alapanyagok_DID'!G41)</f>
      </c>
      <c r="I38" s="72"/>
      <c r="J38" s="13"/>
      <c r="K38" s="13"/>
      <c r="L38" s="13"/>
      <c r="M38" s="13"/>
      <c r="N38" s="13"/>
      <c r="O38" s="34">
        <f>IF(C38="",0,1)</f>
        <v>0</v>
      </c>
      <c r="P38" s="736">
        <f>IF(C38="",0,1)</f>
        <v>0</v>
      </c>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4"/>
    </row>
    <row r="39" ht="24.95" customHeight="1">
      <c r="A39" s="464"/>
      <c r="B39" s="464"/>
      <c r="C39" t="s" s="462">
        <f>IF('Alapanyagok_DID'!B42="","",'Alapanyagok_DID'!B42)</f>
      </c>
      <c r="D39" t="s" s="462">
        <f>IF('Alapanyagok'!B42="","",'Alapanyagok'!H42)</f>
      </c>
      <c r="E39" t="s" s="577">
        <f>IF('Alapanyagok'!B42="","",'Alapanyagok'!N42)</f>
      </c>
      <c r="F39" t="s" s="577">
        <f>IF('Alapanyagok'!G42="","",'Alapanyagok'!G42)</f>
      </c>
      <c r="G39" t="s" s="462">
        <f>IF('Alapanyagok_DID'!B42="","",'Alapanyagok_DID'!E42)</f>
      </c>
      <c r="H39" t="s" s="462">
        <f>IF('Alapanyagok_DID'!B42="","",'Alapanyagok_DID'!G42)</f>
      </c>
      <c r="I39" s="72"/>
      <c r="J39" s="13"/>
      <c r="K39" s="13"/>
      <c r="L39" s="13"/>
      <c r="M39" s="13"/>
      <c r="N39" s="13"/>
      <c r="O39" s="34">
        <f>IF(C39="",0,1)</f>
        <v>0</v>
      </c>
      <c r="P39" s="736">
        <f>IF(C39="",0,1)</f>
        <v>0</v>
      </c>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4"/>
    </row>
    <row r="40" ht="24.95" customHeight="1">
      <c r="A40" s="464"/>
      <c r="B40" s="464"/>
      <c r="C40" t="s" s="462">
        <f>IF('Alapanyagok_DID'!B43="","",'Alapanyagok_DID'!B43)</f>
      </c>
      <c r="D40" t="s" s="462">
        <f>IF('Alapanyagok'!B43="","",'Alapanyagok'!H43)</f>
      </c>
      <c r="E40" t="s" s="577">
        <f>IF('Alapanyagok'!B43="","",'Alapanyagok'!N43)</f>
      </c>
      <c r="F40" t="s" s="577">
        <f>IF('Alapanyagok'!G43="","",'Alapanyagok'!G43)</f>
      </c>
      <c r="G40" t="s" s="462">
        <f>IF('Alapanyagok_DID'!B43="","",'Alapanyagok_DID'!E43)</f>
      </c>
      <c r="H40" t="s" s="462">
        <f>IF('Alapanyagok_DID'!B43="","",'Alapanyagok_DID'!G43)</f>
      </c>
      <c r="I40" s="72"/>
      <c r="J40" s="13"/>
      <c r="K40" s="13"/>
      <c r="L40" s="13"/>
      <c r="M40" s="13"/>
      <c r="N40" s="13"/>
      <c r="O40" s="34">
        <f>IF(C40="",0,1)</f>
        <v>0</v>
      </c>
      <c r="P40" s="736">
        <f>IF(C40="",0,1)</f>
        <v>0</v>
      </c>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4"/>
    </row>
    <row r="41" ht="24.95" customHeight="1">
      <c r="A41" s="464"/>
      <c r="B41" s="464"/>
      <c r="C41" t="s" s="462">
        <f>IF('Alapanyagok_DID'!B44="","",'Alapanyagok_DID'!B44)</f>
      </c>
      <c r="D41" t="s" s="462">
        <f>IF('Alapanyagok'!B44="","",'Alapanyagok'!H44)</f>
      </c>
      <c r="E41" t="s" s="577">
        <f>IF('Alapanyagok'!B44="","",'Alapanyagok'!N44)</f>
      </c>
      <c r="F41" t="s" s="577">
        <f>IF('Alapanyagok'!G44="","",'Alapanyagok'!G44)</f>
      </c>
      <c r="G41" t="s" s="462">
        <f>IF('Alapanyagok_DID'!B44="","",'Alapanyagok_DID'!E44)</f>
      </c>
      <c r="H41" t="s" s="462">
        <f>IF('Alapanyagok_DID'!B44="","",'Alapanyagok_DID'!G44)</f>
      </c>
      <c r="I41" s="72"/>
      <c r="J41" s="13"/>
      <c r="K41" s="13"/>
      <c r="L41" s="13"/>
      <c r="M41" s="13"/>
      <c r="N41" s="13"/>
      <c r="O41" s="34">
        <f>IF(C41="",0,1)</f>
        <v>0</v>
      </c>
      <c r="P41" s="736">
        <f>IF(C41="",0,1)</f>
        <v>0</v>
      </c>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4"/>
    </row>
    <row r="42" ht="24.95" customHeight="1">
      <c r="A42" s="464"/>
      <c r="B42" s="464"/>
      <c r="C42" t="s" s="462">
        <f>IF('Alapanyagok_DID'!B45="","",'Alapanyagok_DID'!B45)</f>
      </c>
      <c r="D42" t="s" s="462">
        <f>IF('Alapanyagok'!B45="","",'Alapanyagok'!H45)</f>
      </c>
      <c r="E42" t="s" s="577">
        <f>IF('Alapanyagok'!B45="","",'Alapanyagok'!N45)</f>
      </c>
      <c r="F42" t="s" s="577">
        <f>IF('Alapanyagok'!G45="","",'Alapanyagok'!G45)</f>
      </c>
      <c r="G42" t="s" s="462">
        <f>IF('Alapanyagok_DID'!B45="","",'Alapanyagok_DID'!E45)</f>
      </c>
      <c r="H42" t="s" s="462">
        <f>IF('Alapanyagok_DID'!B45="","",'Alapanyagok_DID'!G45)</f>
      </c>
      <c r="I42" s="72"/>
      <c r="J42" s="13"/>
      <c r="K42" s="13"/>
      <c r="L42" s="13"/>
      <c r="M42" s="13"/>
      <c r="N42" s="13"/>
      <c r="O42" s="34">
        <f>IF(C42="",0,1)</f>
        <v>0</v>
      </c>
      <c r="P42" s="736">
        <f>IF(C42="",0,1)</f>
        <v>0</v>
      </c>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4"/>
    </row>
    <row r="43" ht="24.95" customHeight="1">
      <c r="A43" s="464"/>
      <c r="B43" s="464"/>
      <c r="C43" t="s" s="462">
        <f>IF('Alapanyagok_DID'!B46="","",'Alapanyagok_DID'!B46)</f>
      </c>
      <c r="D43" t="s" s="462">
        <f>IF('Alapanyagok'!B46="","",'Alapanyagok'!H46)</f>
      </c>
      <c r="E43" t="s" s="577">
        <f>IF('Alapanyagok'!B46="","",'Alapanyagok'!N46)</f>
      </c>
      <c r="F43" t="s" s="577">
        <f>IF('Alapanyagok'!G46="","",'Alapanyagok'!G46)</f>
      </c>
      <c r="G43" t="s" s="462">
        <f>IF('Alapanyagok_DID'!B46="","",'Alapanyagok_DID'!E46)</f>
      </c>
      <c r="H43" t="s" s="462">
        <f>IF('Alapanyagok_DID'!B46="","",'Alapanyagok_DID'!G46)</f>
      </c>
      <c r="I43" s="72"/>
      <c r="J43" s="13"/>
      <c r="K43" s="13"/>
      <c r="L43" s="13"/>
      <c r="M43" s="13"/>
      <c r="N43" s="13"/>
      <c r="O43" s="34">
        <f>IF(C43="",0,1)</f>
        <v>0</v>
      </c>
      <c r="P43" s="736">
        <f>IF(C43="",0,1)</f>
        <v>0</v>
      </c>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4"/>
    </row>
    <row r="44" ht="24.95" customHeight="1">
      <c r="A44" s="464"/>
      <c r="B44" s="464"/>
      <c r="C44" t="s" s="462">
        <f>IF('Alapanyagok_DID'!B47="","",'Alapanyagok_DID'!B47)</f>
      </c>
      <c r="D44" t="s" s="462">
        <f>IF('Alapanyagok'!B47="","",'Alapanyagok'!H47)</f>
      </c>
      <c r="E44" t="s" s="577">
        <f>IF('Alapanyagok'!B47="","",'Alapanyagok'!N47)</f>
      </c>
      <c r="F44" t="s" s="577">
        <f>IF('Alapanyagok'!G47="","",'Alapanyagok'!G47)</f>
      </c>
      <c r="G44" t="s" s="462">
        <f>IF('Alapanyagok_DID'!B47="","",'Alapanyagok_DID'!E47)</f>
      </c>
      <c r="H44" t="s" s="462">
        <f>IF('Alapanyagok_DID'!B47="","",'Alapanyagok_DID'!G47)</f>
      </c>
      <c r="I44" s="72"/>
      <c r="J44" s="13"/>
      <c r="K44" s="13"/>
      <c r="L44" s="13"/>
      <c r="M44" s="13"/>
      <c r="N44" s="13"/>
      <c r="O44" s="34">
        <f>IF(C44="",0,1)</f>
        <v>0</v>
      </c>
      <c r="P44" s="736">
        <f>IF(C44="",0,1)</f>
        <v>0</v>
      </c>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4"/>
    </row>
    <row r="45" ht="24.95" customHeight="1">
      <c r="A45" s="464"/>
      <c r="B45" s="464"/>
      <c r="C45" t="s" s="462">
        <f>IF('Alapanyagok_DID'!B48="","",'Alapanyagok_DID'!B48)</f>
      </c>
      <c r="D45" t="s" s="462">
        <f>IF('Alapanyagok'!B48="","",'Alapanyagok'!H48)</f>
      </c>
      <c r="E45" t="s" s="577">
        <f>IF('Alapanyagok'!B48="","",'Alapanyagok'!N48)</f>
      </c>
      <c r="F45" t="s" s="577">
        <f>IF('Alapanyagok'!G48="","",'Alapanyagok'!G48)</f>
      </c>
      <c r="G45" t="s" s="462">
        <f>IF('Alapanyagok_DID'!B48="","",'Alapanyagok_DID'!E48)</f>
      </c>
      <c r="H45" t="s" s="462">
        <f>IF('Alapanyagok_DID'!B48="","",'Alapanyagok_DID'!G48)</f>
      </c>
      <c r="I45" s="72"/>
      <c r="J45" s="13"/>
      <c r="K45" s="13"/>
      <c r="L45" s="13"/>
      <c r="M45" s="13"/>
      <c r="N45" s="13"/>
      <c r="O45" s="34">
        <f>IF(C45="",0,1)</f>
        <v>0</v>
      </c>
      <c r="P45" s="736">
        <f>IF(C45="",0,1)</f>
        <v>0</v>
      </c>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4"/>
    </row>
    <row r="46" ht="24.95" customHeight="1">
      <c r="A46" s="464"/>
      <c r="B46" s="464"/>
      <c r="C46" t="s" s="462">
        <f>IF('Alapanyagok_DID'!B49="","",'Alapanyagok_DID'!B49)</f>
      </c>
      <c r="D46" t="s" s="462">
        <f>IF('Alapanyagok'!B49="","",'Alapanyagok'!H49)</f>
      </c>
      <c r="E46" t="s" s="577">
        <f>IF('Alapanyagok'!B49="","",'Alapanyagok'!N49)</f>
      </c>
      <c r="F46" t="s" s="577">
        <f>IF('Alapanyagok'!G49="","",'Alapanyagok'!G49)</f>
      </c>
      <c r="G46" t="s" s="462">
        <f>IF('Alapanyagok_DID'!B49="","",'Alapanyagok_DID'!E49)</f>
      </c>
      <c r="H46" t="s" s="462">
        <f>IF('Alapanyagok_DID'!B49="","",'Alapanyagok_DID'!G49)</f>
      </c>
      <c r="I46" s="72"/>
      <c r="J46" s="13"/>
      <c r="K46" s="13"/>
      <c r="L46" s="13"/>
      <c r="M46" s="13"/>
      <c r="N46" s="13"/>
      <c r="O46" s="34">
        <f>IF(C46="",0,1)</f>
        <v>0</v>
      </c>
      <c r="P46" s="736">
        <f>IF(C46="",0,1)</f>
        <v>0</v>
      </c>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4"/>
    </row>
    <row r="47" ht="24.95" customHeight="1">
      <c r="A47" s="464"/>
      <c r="B47" s="464"/>
      <c r="C47" t="s" s="462">
        <f>IF('Alapanyagok_DID'!B50="","",'Alapanyagok_DID'!B50)</f>
      </c>
      <c r="D47" t="s" s="462">
        <f>IF('Alapanyagok'!B50="","",'Alapanyagok'!H50)</f>
      </c>
      <c r="E47" t="s" s="577">
        <f>IF('Alapanyagok'!B50="","",'Alapanyagok'!N50)</f>
      </c>
      <c r="F47" t="s" s="577">
        <f>IF('Alapanyagok'!G50="","",'Alapanyagok'!G50)</f>
      </c>
      <c r="G47" t="s" s="462">
        <f>IF('Alapanyagok_DID'!B50="","",'Alapanyagok_DID'!E50)</f>
      </c>
      <c r="H47" t="s" s="462">
        <f>IF('Alapanyagok_DID'!B50="","",'Alapanyagok_DID'!G50)</f>
      </c>
      <c r="I47" s="72"/>
      <c r="J47" s="13"/>
      <c r="K47" s="13"/>
      <c r="L47" s="13"/>
      <c r="M47" s="13"/>
      <c r="N47" s="13"/>
      <c r="O47" s="34">
        <f>IF(C47="",0,1)</f>
        <v>0</v>
      </c>
      <c r="P47" s="736">
        <f>IF(C47="",0,1)</f>
        <v>0</v>
      </c>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4"/>
    </row>
    <row r="48" ht="24.95" customHeight="1">
      <c r="A48" s="464"/>
      <c r="B48" s="464"/>
      <c r="C48" t="s" s="462">
        <f>IF('Alapanyagok_DID'!B51="","",'Alapanyagok_DID'!B51)</f>
      </c>
      <c r="D48" t="s" s="462">
        <f>IF('Alapanyagok'!B51="","",'Alapanyagok'!H51)</f>
      </c>
      <c r="E48" t="s" s="577">
        <f>IF('Alapanyagok'!B51="","",'Alapanyagok'!N51)</f>
      </c>
      <c r="F48" t="s" s="577">
        <f>IF('Alapanyagok'!G51="","",'Alapanyagok'!G51)</f>
      </c>
      <c r="G48" t="s" s="462">
        <f>IF('Alapanyagok_DID'!B51="","",'Alapanyagok_DID'!E51)</f>
      </c>
      <c r="H48" t="s" s="462">
        <f>IF('Alapanyagok_DID'!B51="","",'Alapanyagok_DID'!G51)</f>
      </c>
      <c r="I48" s="72"/>
      <c r="J48" s="13"/>
      <c r="K48" s="13"/>
      <c r="L48" s="13"/>
      <c r="M48" s="13"/>
      <c r="N48" s="13"/>
      <c r="O48" s="34">
        <f>IF(C48="",0,1)</f>
        <v>0</v>
      </c>
      <c r="P48" s="736">
        <f>IF(C48="",0,1)</f>
        <v>0</v>
      </c>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4"/>
    </row>
    <row r="49" ht="24.95" customHeight="1">
      <c r="A49" s="464"/>
      <c r="B49" s="464"/>
      <c r="C49" t="s" s="462">
        <f>IF('Alapanyagok_DID'!B52="","",'Alapanyagok_DID'!B52)</f>
      </c>
      <c r="D49" t="s" s="462">
        <f>IF('Alapanyagok'!B52="","",'Alapanyagok'!H52)</f>
      </c>
      <c r="E49" t="s" s="577">
        <f>IF('Alapanyagok'!B52="","",'Alapanyagok'!N52)</f>
      </c>
      <c r="F49" t="s" s="577">
        <f>IF('Alapanyagok'!G52="","",'Alapanyagok'!G52)</f>
      </c>
      <c r="G49" t="s" s="462">
        <f>IF('Alapanyagok_DID'!B52="","",'Alapanyagok_DID'!E52)</f>
      </c>
      <c r="H49" t="s" s="462">
        <f>IF('Alapanyagok_DID'!B52="","",'Alapanyagok_DID'!G52)</f>
      </c>
      <c r="I49" s="72"/>
      <c r="J49" s="13"/>
      <c r="K49" s="13"/>
      <c r="L49" s="13"/>
      <c r="M49" s="13"/>
      <c r="N49" s="13"/>
      <c r="O49" s="34">
        <f>IF(C49="",0,1)</f>
        <v>0</v>
      </c>
      <c r="P49" s="736">
        <f>IF(C49="",0,1)</f>
        <v>0</v>
      </c>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4"/>
    </row>
    <row r="50" ht="24.95" customHeight="1">
      <c r="A50" s="464"/>
      <c r="B50" s="464"/>
      <c r="C50" t="s" s="462">
        <f>IF('Alapanyagok_DID'!B53="","",'Alapanyagok_DID'!B53)</f>
      </c>
      <c r="D50" t="s" s="462">
        <f>IF('Alapanyagok'!B53="","",'Alapanyagok'!H53)</f>
      </c>
      <c r="E50" t="s" s="577">
        <f>IF('Alapanyagok'!B53="","",'Alapanyagok'!N53)</f>
      </c>
      <c r="F50" t="s" s="577">
        <f>IF('Alapanyagok'!G53="","",'Alapanyagok'!G53)</f>
      </c>
      <c r="G50" t="s" s="462">
        <f>IF('Alapanyagok_DID'!B53="","",'Alapanyagok_DID'!E53)</f>
      </c>
      <c r="H50" t="s" s="462">
        <f>IF('Alapanyagok_DID'!B53="","",'Alapanyagok_DID'!G53)</f>
      </c>
      <c r="I50" s="72"/>
      <c r="J50" s="13"/>
      <c r="K50" s="13"/>
      <c r="L50" s="13"/>
      <c r="M50" s="13"/>
      <c r="N50" s="13"/>
      <c r="O50" s="34">
        <f>IF(C50="",0,1)</f>
        <v>0</v>
      </c>
      <c r="P50" s="736">
        <f>IF(C50="",0,1)</f>
        <v>0</v>
      </c>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4"/>
    </row>
    <row r="51" ht="24.95" customHeight="1">
      <c r="A51" s="464"/>
      <c r="B51" s="464"/>
      <c r="C51" t="s" s="462">
        <f>IF('Alapanyagok_DID'!B54="","",'Alapanyagok_DID'!B54)</f>
      </c>
      <c r="D51" t="s" s="462">
        <f>IF('Alapanyagok'!B54="","",'Alapanyagok'!H54)</f>
      </c>
      <c r="E51" t="s" s="577">
        <f>IF('Alapanyagok'!B54="","",'Alapanyagok'!N54)</f>
      </c>
      <c r="F51" t="s" s="577">
        <f>IF('Alapanyagok'!G54="","",'Alapanyagok'!G54)</f>
      </c>
      <c r="G51" t="s" s="462">
        <f>IF('Alapanyagok_DID'!B54="","",'Alapanyagok_DID'!E54)</f>
      </c>
      <c r="H51" t="s" s="462">
        <f>IF('Alapanyagok_DID'!B54="","",'Alapanyagok_DID'!G54)</f>
      </c>
      <c r="I51" s="72"/>
      <c r="J51" s="13"/>
      <c r="K51" s="13"/>
      <c r="L51" s="13"/>
      <c r="M51" s="13"/>
      <c r="N51" s="13"/>
      <c r="O51" s="34">
        <f>IF(C51="",0,1)</f>
        <v>0</v>
      </c>
      <c r="P51" s="736">
        <f>IF(C51="",0,1)</f>
        <v>0</v>
      </c>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4"/>
    </row>
    <row r="52" ht="24.95" customHeight="1">
      <c r="A52" s="464"/>
      <c r="B52" s="464"/>
      <c r="C52" t="s" s="462">
        <f>IF('Alapanyagok_DID'!B55="","",'Alapanyagok_DID'!B55)</f>
      </c>
      <c r="D52" t="s" s="462">
        <f>IF('Alapanyagok'!B55="","",'Alapanyagok'!H55)</f>
      </c>
      <c r="E52" t="s" s="577">
        <f>IF('Alapanyagok'!B55="","",'Alapanyagok'!N55)</f>
      </c>
      <c r="F52" t="s" s="577">
        <f>IF('Alapanyagok'!G55="","",'Alapanyagok'!G55)</f>
      </c>
      <c r="G52" t="s" s="462">
        <f>IF('Alapanyagok_DID'!B55="","",'Alapanyagok_DID'!E55)</f>
      </c>
      <c r="H52" t="s" s="462">
        <f>IF('Alapanyagok_DID'!B55="","",'Alapanyagok_DID'!G55)</f>
      </c>
      <c r="I52" s="72"/>
      <c r="J52" s="13"/>
      <c r="K52" s="13"/>
      <c r="L52" s="13"/>
      <c r="M52" s="13"/>
      <c r="N52" s="13"/>
      <c r="O52" s="34">
        <f>IF(C52="",0,1)</f>
        <v>0</v>
      </c>
      <c r="P52" s="736">
        <f>IF(C52="",0,1)</f>
        <v>0</v>
      </c>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4"/>
    </row>
    <row r="53" ht="24.95" customHeight="1">
      <c r="A53" s="464"/>
      <c r="B53" s="464"/>
      <c r="C53" t="s" s="462">
        <f>IF('Alapanyagok_DID'!B56="","",'Alapanyagok_DID'!B56)</f>
      </c>
      <c r="D53" t="s" s="462">
        <f>IF('Alapanyagok'!B56="","",'Alapanyagok'!H56)</f>
      </c>
      <c r="E53" t="s" s="577">
        <f>IF('Alapanyagok'!B56="","",'Alapanyagok'!N56)</f>
      </c>
      <c r="F53" t="s" s="577">
        <f>IF('Alapanyagok'!G56="","",'Alapanyagok'!G56)</f>
      </c>
      <c r="G53" t="s" s="462">
        <f>IF('Alapanyagok_DID'!B56="","",'Alapanyagok_DID'!E56)</f>
      </c>
      <c r="H53" t="s" s="462">
        <f>IF('Alapanyagok_DID'!B56="","",'Alapanyagok_DID'!G56)</f>
      </c>
      <c r="I53" s="72"/>
      <c r="J53" s="13"/>
      <c r="K53" s="13"/>
      <c r="L53" s="13"/>
      <c r="M53" s="13"/>
      <c r="N53" s="13"/>
      <c r="O53" s="34">
        <f>IF(C53="",0,1)</f>
        <v>0</v>
      </c>
      <c r="P53" s="736">
        <f>IF(C53="",0,1)</f>
        <v>0</v>
      </c>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4"/>
    </row>
    <row r="54" ht="24.95" customHeight="1">
      <c r="A54" s="464"/>
      <c r="B54" s="464"/>
      <c r="C54" t="s" s="462">
        <f>IF('Alapanyagok_DID'!B57="","",'Alapanyagok_DID'!B57)</f>
      </c>
      <c r="D54" t="s" s="462">
        <f>IF('Alapanyagok'!B57="","",'Alapanyagok'!H57)</f>
      </c>
      <c r="E54" t="s" s="577">
        <f>IF('Alapanyagok'!B57="","",'Alapanyagok'!N57)</f>
      </c>
      <c r="F54" t="s" s="577">
        <f>IF('Alapanyagok'!G57="","",'Alapanyagok'!G57)</f>
      </c>
      <c r="G54" t="s" s="462">
        <f>IF('Alapanyagok_DID'!B57="","",'Alapanyagok_DID'!E57)</f>
      </c>
      <c r="H54" t="s" s="462">
        <f>IF('Alapanyagok_DID'!B57="","",'Alapanyagok_DID'!G57)</f>
      </c>
      <c r="I54" s="72"/>
      <c r="J54" s="13"/>
      <c r="K54" s="13"/>
      <c r="L54" s="13"/>
      <c r="M54" s="13"/>
      <c r="N54" s="13"/>
      <c r="O54" s="34">
        <f>IF(C54="",0,1)</f>
        <v>0</v>
      </c>
      <c r="P54" s="736">
        <f>IF(C54="",0,1)</f>
        <v>0</v>
      </c>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4"/>
    </row>
    <row r="55" ht="24.95" customHeight="1">
      <c r="A55" s="464"/>
      <c r="B55" s="464"/>
      <c r="C55" t="s" s="462">
        <f>IF('Alapanyagok_DID'!B58="","",'Alapanyagok_DID'!B58)</f>
      </c>
      <c r="D55" t="s" s="462">
        <f>IF('Alapanyagok'!B58="","",'Alapanyagok'!H58)</f>
      </c>
      <c r="E55" t="s" s="577">
        <f>IF('Alapanyagok'!B58="","",'Alapanyagok'!N58)</f>
      </c>
      <c r="F55" t="s" s="577">
        <f>IF('Alapanyagok'!G58="","",'Alapanyagok'!G58)</f>
      </c>
      <c r="G55" t="s" s="462">
        <f>IF('Alapanyagok_DID'!B58="","",'Alapanyagok_DID'!E58)</f>
      </c>
      <c r="H55" t="s" s="462">
        <f>IF('Alapanyagok_DID'!B58="","",'Alapanyagok_DID'!G58)</f>
      </c>
      <c r="I55" s="72"/>
      <c r="J55" s="13"/>
      <c r="K55" s="13"/>
      <c r="L55" s="13"/>
      <c r="M55" s="13"/>
      <c r="N55" s="13"/>
      <c r="O55" s="34">
        <f>IF(C55="",0,1)</f>
        <v>0</v>
      </c>
      <c r="P55" s="736">
        <f>IF(C55="",0,1)</f>
        <v>0</v>
      </c>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4"/>
    </row>
    <row r="56" ht="24.95" customHeight="1">
      <c r="A56" s="464"/>
      <c r="B56" s="464"/>
      <c r="C56" t="s" s="462">
        <f>IF('Alapanyagok_DID'!B59="","",'Alapanyagok_DID'!B59)</f>
      </c>
      <c r="D56" t="s" s="462">
        <f>IF('Alapanyagok'!B59="","",'Alapanyagok'!H59)</f>
      </c>
      <c r="E56" t="s" s="577">
        <f>IF('Alapanyagok'!B59="","",'Alapanyagok'!N59)</f>
      </c>
      <c r="F56" t="s" s="577">
        <f>IF('Alapanyagok'!G59="","",'Alapanyagok'!G59)</f>
      </c>
      <c r="G56" t="s" s="462">
        <f>IF('Alapanyagok_DID'!B59="","",'Alapanyagok_DID'!E59)</f>
      </c>
      <c r="H56" t="s" s="462">
        <f>IF('Alapanyagok_DID'!B59="","",'Alapanyagok_DID'!G59)</f>
      </c>
      <c r="I56" s="72"/>
      <c r="J56" s="13"/>
      <c r="K56" s="13"/>
      <c r="L56" s="13"/>
      <c r="M56" s="13"/>
      <c r="N56" s="13"/>
      <c r="O56" s="34">
        <f>IF(C56="",0,1)</f>
        <v>0</v>
      </c>
      <c r="P56" s="736">
        <f>IF(C56="",0,1)</f>
        <v>0</v>
      </c>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4"/>
    </row>
    <row r="57" ht="24.95" customHeight="1">
      <c r="A57" s="464"/>
      <c r="B57" s="464"/>
      <c r="C57" t="s" s="462">
        <f>IF('Alapanyagok_DID'!B60="","",'Alapanyagok_DID'!B60)</f>
      </c>
      <c r="D57" t="s" s="462">
        <f>IF('Alapanyagok'!B60="","",'Alapanyagok'!H60)</f>
      </c>
      <c r="E57" t="s" s="577">
        <f>IF('Alapanyagok'!B60="","",'Alapanyagok'!N60)</f>
      </c>
      <c r="F57" t="s" s="577">
        <f>IF('Alapanyagok'!G60="","",'Alapanyagok'!G60)</f>
      </c>
      <c r="G57" t="s" s="462">
        <f>IF('Alapanyagok_DID'!B60="","",'Alapanyagok_DID'!E60)</f>
      </c>
      <c r="H57" t="s" s="462">
        <f>IF('Alapanyagok_DID'!B60="","",'Alapanyagok_DID'!G60)</f>
      </c>
      <c r="I57" s="72"/>
      <c r="J57" s="13"/>
      <c r="K57" s="13"/>
      <c r="L57" s="13"/>
      <c r="M57" s="13"/>
      <c r="N57" s="13"/>
      <c r="O57" s="34">
        <f>IF(C57="",0,1)</f>
        <v>0</v>
      </c>
      <c r="P57" s="736">
        <f>IF(C57="",0,1)</f>
        <v>0</v>
      </c>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4"/>
    </row>
    <row r="58" ht="24.95" customHeight="1">
      <c r="A58" s="464"/>
      <c r="B58" s="464"/>
      <c r="C58" t="s" s="462">
        <f>IF('Alapanyagok_DID'!B61="","",'Alapanyagok_DID'!B61)</f>
      </c>
      <c r="D58" t="s" s="462">
        <f>IF('Alapanyagok'!B61="","",'Alapanyagok'!H61)</f>
      </c>
      <c r="E58" t="s" s="577">
        <f>IF('Alapanyagok'!B61="","",'Alapanyagok'!N61)</f>
      </c>
      <c r="F58" t="s" s="577">
        <f>IF('Alapanyagok'!G61="","",'Alapanyagok'!G61)</f>
      </c>
      <c r="G58" t="s" s="462">
        <f>IF('Alapanyagok_DID'!B61="","",'Alapanyagok_DID'!E61)</f>
      </c>
      <c r="H58" t="s" s="462">
        <f>IF('Alapanyagok_DID'!B61="","",'Alapanyagok_DID'!G61)</f>
      </c>
      <c r="I58" s="72"/>
      <c r="J58" s="13"/>
      <c r="K58" s="13"/>
      <c r="L58" s="13"/>
      <c r="M58" s="13"/>
      <c r="N58" s="13"/>
      <c r="O58" s="34">
        <f>IF(C58="",0,1)</f>
        <v>0</v>
      </c>
      <c r="P58" s="736">
        <f>IF(C58="",0,1)</f>
        <v>0</v>
      </c>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4"/>
    </row>
    <row r="59" ht="24.95" customHeight="1">
      <c r="A59" t="s" s="737">
        <f>IF('Adatlap'!L1="Magyar",'Fordítások'!C355,'Fordítások'!B355)</f>
        <v>437</v>
      </c>
      <c r="B59" s="738"/>
      <c r="C59" s="738"/>
      <c r="D59" s="738"/>
      <c r="E59" s="738"/>
      <c r="F59" s="738"/>
      <c r="G59" s="738"/>
      <c r="H59" s="738"/>
      <c r="I59" s="13"/>
      <c r="J59" s="13"/>
      <c r="K59" s="13"/>
      <c r="L59" s="13"/>
      <c r="M59" s="13"/>
      <c r="N59" s="13"/>
      <c r="O59" s="13"/>
      <c r="P59" s="72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4"/>
    </row>
    <row r="60" ht="33" customHeight="1">
      <c r="A60" t="s" s="739">
        <f>IF('Adatlap'!L1="Magyar",'Fordítások'!C356,'Fordítások'!B356)</f>
        <v>438</v>
      </c>
      <c r="B60" s="740"/>
      <c r="C60" s="740"/>
      <c r="D60" s="740"/>
      <c r="E60" s="740"/>
      <c r="F60" s="740"/>
      <c r="G60" s="740"/>
      <c r="H60" s="740"/>
      <c r="I60" s="13"/>
      <c r="J60" s="13"/>
      <c r="K60" s="13"/>
      <c r="L60" s="13"/>
      <c r="M60" s="13"/>
      <c r="N60" s="13"/>
      <c r="O60" s="13"/>
      <c r="P60" s="72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4"/>
    </row>
    <row r="61" ht="12.75" customHeight="1">
      <c r="A61" s="310"/>
      <c r="B61" t="s" s="724">
        <f>IF(J61=FALSE,IF('Adatlap'!L1="Magyar","Jelölje be!","Please, check!"),"")</f>
        <v>399</v>
      </c>
      <c r="C61" t="s" s="715">
        <f>IF('Adatlap'!L1="Magyar",'Fordítások'!C357,'Fordítások'!B357)</f>
        <v>439</v>
      </c>
      <c r="D61" s="109"/>
      <c r="E61" s="109"/>
      <c r="F61" s="109"/>
      <c r="G61" s="109"/>
      <c r="H61" s="109"/>
      <c r="I61" s="13"/>
      <c r="J61" t="b" s="34">
        <v>0</v>
      </c>
      <c r="K61" s="13"/>
      <c r="L61" s="13"/>
      <c r="M61" s="13"/>
      <c r="N61" s="13"/>
      <c r="O61" s="13"/>
      <c r="P61" s="72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4"/>
    </row>
    <row r="62" ht="12.75" customHeight="1">
      <c r="A62" s="310"/>
      <c r="B62" s="726"/>
      <c r="C62" s="109"/>
      <c r="D62" s="109"/>
      <c r="E62" s="109"/>
      <c r="F62" s="109"/>
      <c r="G62" s="109"/>
      <c r="H62" s="109"/>
      <c r="I62" s="13"/>
      <c r="J62" s="13"/>
      <c r="K62" s="13"/>
      <c r="L62" s="13"/>
      <c r="M62" s="13"/>
      <c r="N62" s="13"/>
      <c r="O62" s="13"/>
      <c r="P62" s="72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4"/>
    </row>
    <row r="63" ht="12.75" customHeight="1">
      <c r="A63" s="310"/>
      <c r="B63" s="262"/>
      <c r="C63" s="262"/>
      <c r="D63" s="13"/>
      <c r="E63" s="262"/>
      <c r="F63" s="262"/>
      <c r="G63" s="13"/>
      <c r="H63" s="13"/>
      <c r="I63" s="13"/>
      <c r="J63" s="13"/>
      <c r="K63" s="13"/>
      <c r="L63" s="13"/>
      <c r="M63" s="13"/>
      <c r="N63" s="13"/>
      <c r="O63" s="13"/>
      <c r="P63" s="72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4"/>
    </row>
    <row r="64" ht="12.75" customHeight="1">
      <c r="A64" s="310"/>
      <c r="B64" t="s" s="724">
        <f>IF(J64=FALSE,IF('Adatlap'!L1="Magyar","Jelölje be!","Please, check!"),"")</f>
        <v>399</v>
      </c>
      <c r="C64" t="s" s="741">
        <f>IF('Adatlap'!L1="Magyar",'Fordítások'!C358,'Fordítások'!B358)</f>
        <v>440</v>
      </c>
      <c r="D64" s="708"/>
      <c r="E64" s="742"/>
      <c r="F64" s="742"/>
      <c r="G64" s="708"/>
      <c r="H64" s="708"/>
      <c r="I64" s="13"/>
      <c r="J64" t="b" s="34">
        <v>0</v>
      </c>
      <c r="K64" s="13"/>
      <c r="L64" s="13"/>
      <c r="M64" s="13"/>
      <c r="N64" s="13"/>
      <c r="O64" s="13"/>
      <c r="P64" s="72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4"/>
    </row>
    <row r="65" ht="12.75" customHeight="1">
      <c r="A65" s="310"/>
      <c r="B65" s="726"/>
      <c r="C65" s="262"/>
      <c r="D65" s="13"/>
      <c r="E65" s="262"/>
      <c r="F65" s="262"/>
      <c r="G65" s="13"/>
      <c r="H65" s="13"/>
      <c r="I65" s="13"/>
      <c r="J65" s="13"/>
      <c r="K65" s="13"/>
      <c r="L65" s="13"/>
      <c r="M65" s="13"/>
      <c r="N65" s="13"/>
      <c r="O65" s="13"/>
      <c r="P65" s="72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4"/>
    </row>
    <row r="66" ht="12.75" customHeight="1">
      <c r="A66" s="310"/>
      <c r="B66" s="262"/>
      <c r="C66" s="262"/>
      <c r="D66" s="13"/>
      <c r="E66" s="262"/>
      <c r="F66" s="262"/>
      <c r="G66" s="13"/>
      <c r="H66" s="13"/>
      <c r="I66" s="13"/>
      <c r="J66" s="13"/>
      <c r="K66" s="13"/>
      <c r="L66" s="13"/>
      <c r="M66" s="13"/>
      <c r="N66" s="13"/>
      <c r="O66" s="13"/>
      <c r="P66" s="72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4"/>
    </row>
    <row r="67" ht="12.75" customHeight="1">
      <c r="A67" s="310"/>
      <c r="B67" s="262"/>
      <c r="C67" s="262"/>
      <c r="D67" s="13"/>
      <c r="E67" s="262"/>
      <c r="F67" s="262"/>
      <c r="G67" s="13"/>
      <c r="H67" s="13"/>
      <c r="I67" s="13"/>
      <c r="J67" s="13"/>
      <c r="K67" s="13"/>
      <c r="L67" s="13"/>
      <c r="M67" s="13"/>
      <c r="N67" s="13"/>
      <c r="O67" s="13"/>
      <c r="P67" s="72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4"/>
    </row>
    <row r="68" ht="12.75" customHeight="1">
      <c r="A68" s="727"/>
      <c r="B68" s="405"/>
      <c r="C68" s="262"/>
      <c r="D68" s="13"/>
      <c r="E68" s="262"/>
      <c r="F68" s="262"/>
      <c r="G68" s="13"/>
      <c r="H68" s="13"/>
      <c r="I68" s="13"/>
      <c r="J68" s="13"/>
      <c r="K68" s="13"/>
      <c r="L68" s="13"/>
      <c r="M68" s="13"/>
      <c r="N68" s="13"/>
      <c r="O68" s="13"/>
      <c r="P68" s="72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4"/>
    </row>
    <row r="69" ht="33" customHeight="1">
      <c r="A69" t="s" s="743">
        <f>IF('Adatlap'!L1="Magyar",'Fordítások'!C359,'Fordítások'!B359)</f>
        <v>441</v>
      </c>
      <c r="B69" s="744"/>
      <c r="C69" s="745"/>
      <c r="D69" s="745"/>
      <c r="E69" s="745"/>
      <c r="F69" s="745"/>
      <c r="G69" s="745"/>
      <c r="H69" s="745"/>
      <c r="I69" s="13"/>
      <c r="J69" s="13"/>
      <c r="K69" s="13"/>
      <c r="L69" s="13"/>
      <c r="M69" s="13"/>
      <c r="N69" s="13"/>
      <c r="O69" s="13"/>
      <c r="P69" s="72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4"/>
    </row>
    <row r="70" ht="12.75" customHeight="1">
      <c r="A70" s="310"/>
      <c r="B70" s="262"/>
      <c r="C70" s="262"/>
      <c r="D70" s="13"/>
      <c r="E70" s="262"/>
      <c r="F70" s="262"/>
      <c r="G70" s="13"/>
      <c r="H70" s="13"/>
      <c r="I70" s="13"/>
      <c r="J70" s="13"/>
      <c r="K70" s="13"/>
      <c r="L70" s="13"/>
      <c r="M70" s="13"/>
      <c r="N70" s="13"/>
      <c r="O70" s="13"/>
      <c r="P70" s="72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4"/>
    </row>
    <row r="71" ht="12.75" customHeight="1">
      <c r="A71" s="310"/>
      <c r="B71" s="262"/>
      <c r="C71" s="262"/>
      <c r="D71" s="13"/>
      <c r="E71" s="262"/>
      <c r="F71" s="262"/>
      <c r="G71" s="13"/>
      <c r="H71" s="13"/>
      <c r="I71" s="13"/>
      <c r="J71" s="13"/>
      <c r="K71" s="13"/>
      <c r="L71" s="13"/>
      <c r="M71" s="13"/>
      <c r="N71" s="13"/>
      <c r="O71" s="13"/>
      <c r="P71" s="72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4"/>
    </row>
    <row r="72" ht="12.75" customHeight="1">
      <c r="A72" s="310"/>
      <c r="B72" s="262"/>
      <c r="C72" s="262"/>
      <c r="D72" s="13"/>
      <c r="E72" s="262"/>
      <c r="F72" s="262"/>
      <c r="G72" s="13"/>
      <c r="H72" s="13"/>
      <c r="I72" s="13"/>
      <c r="J72" s="13"/>
      <c r="K72" s="13"/>
      <c r="L72" s="13"/>
      <c r="M72" s="13"/>
      <c r="N72" s="13"/>
      <c r="O72" s="13"/>
      <c r="P72" s="72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4"/>
    </row>
    <row r="73" ht="12.75" customHeight="1">
      <c r="A73" s="318"/>
      <c r="B73" s="500"/>
      <c r="C73" s="500"/>
      <c r="D73" s="17"/>
      <c r="E73" s="500"/>
      <c r="F73" s="500"/>
      <c r="G73" s="17"/>
      <c r="H73" s="17"/>
      <c r="I73" s="17"/>
      <c r="J73" s="17"/>
      <c r="K73" s="17"/>
      <c r="L73" s="17"/>
      <c r="M73" s="17"/>
      <c r="N73" s="17"/>
      <c r="O73" s="17"/>
      <c r="P73" s="723"/>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8"/>
    </row>
  </sheetData>
  <mergeCells count="66">
    <mergeCell ref="C64:H64"/>
    <mergeCell ref="B61:B62"/>
    <mergeCell ref="B64:B65"/>
    <mergeCell ref="A69:H69"/>
    <mergeCell ref="A28:B28"/>
    <mergeCell ref="A29:B29"/>
    <mergeCell ref="A30:B30"/>
    <mergeCell ref="A31:B31"/>
    <mergeCell ref="A32:B32"/>
    <mergeCell ref="A33:B33"/>
    <mergeCell ref="A34:B34"/>
    <mergeCell ref="A35:B35"/>
    <mergeCell ref="A36:B36"/>
    <mergeCell ref="A37:B37"/>
    <mergeCell ref="A38:B38"/>
    <mergeCell ref="A39:B39"/>
    <mergeCell ref="C1:H1"/>
    <mergeCell ref="A9:B9"/>
    <mergeCell ref="A8:C8"/>
    <mergeCell ref="D8:D9"/>
    <mergeCell ref="E8:E9"/>
    <mergeCell ref="F8:F9"/>
    <mergeCell ref="G8:G9"/>
    <mergeCell ref="H8:H9"/>
    <mergeCell ref="B4:B5"/>
    <mergeCell ref="C4:F5"/>
    <mergeCell ref="A10:B10"/>
    <mergeCell ref="A11:B11"/>
    <mergeCell ref="A12:B12"/>
    <mergeCell ref="A13:B13"/>
    <mergeCell ref="A14:B14"/>
    <mergeCell ref="A15:B15"/>
    <mergeCell ref="A16:B16"/>
    <mergeCell ref="A17:B17"/>
    <mergeCell ref="A18:B18"/>
    <mergeCell ref="A19:B19"/>
    <mergeCell ref="A25:B25"/>
    <mergeCell ref="A26:B26"/>
    <mergeCell ref="A27:B27"/>
    <mergeCell ref="A20:B20"/>
    <mergeCell ref="A21:B21"/>
    <mergeCell ref="A22:B22"/>
    <mergeCell ref="A23:B23"/>
    <mergeCell ref="A24:B24"/>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60:H60"/>
    <mergeCell ref="C61:H62"/>
    <mergeCell ref="A55:B55"/>
    <mergeCell ref="A56:B56"/>
    <mergeCell ref="A57:B57"/>
    <mergeCell ref="A58:B58"/>
    <mergeCell ref="A59:H59"/>
  </mergeCells>
  <conditionalFormatting sqref="A10:H10 C11:H11 A12:H12 A13:B13 C14:H58">
    <cfRule type="cellIs" dxfId="9" priority="1" operator="equal" stopIfTrue="1">
      <formula>0</formula>
    </cfRule>
  </conditionalFormatting>
  <conditionalFormatting sqref="C13:H13">
    <cfRule type="cellIs" dxfId="10" priority="1" operator="equal" stopIfTrue="1">
      <formula>0</formula>
    </cfRule>
    <cfRule type="cellIs" dxfId="11" priority="2" operator="equal" stopIfTrue="1">
      <formula>0</formula>
    </cfRule>
  </conditionalFormatting>
  <pageMargins left="0.708661" right="0.708661" top="0.748031" bottom="0.748031" header="0.314961" footer="0.314961"/>
  <pageSetup firstPageNumber="1" fitToHeight="1" fitToWidth="1" scale="90" useFirstPageNumber="0" orientation="landscape" pageOrder="downThenOver"/>
  <headerFooter>
    <oddFooter>&amp;C&amp;"Helvetica Neue,Regular"&amp;12&amp;K000000&amp;P</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dimension ref="A1:S42"/>
  <sheetViews>
    <sheetView workbookViewId="0" showGridLines="0" defaultGridColor="1"/>
  </sheetViews>
  <sheetFormatPr defaultColWidth="9.16667" defaultRowHeight="12.75" customHeight="1" outlineLevelRow="0" outlineLevelCol="0"/>
  <cols>
    <col min="1" max="1" width="7.85156" style="746" customWidth="1"/>
    <col min="2" max="2" width="9" style="746" customWidth="1"/>
    <col min="3" max="3" width="15.6719" style="746" customWidth="1"/>
    <col min="4" max="6" width="9.17188" style="746" customWidth="1"/>
    <col min="7" max="7" width="13.1719" style="746" customWidth="1"/>
    <col min="8" max="9" width="6.5" style="746" customWidth="1"/>
    <col min="10" max="10" width="13.1719" style="746" customWidth="1"/>
    <col min="11" max="19" width="9.17188" style="746" customWidth="1"/>
    <col min="20" max="16384" width="9.17188" style="746" customWidth="1"/>
  </cols>
  <sheetData>
    <row r="1" ht="37.5" customHeight="1">
      <c r="A1" t="s" s="747">
        <f>IF('Adatlap'!L1="Magyar",'Fordítások'!C649,'Fordítások'!B649)</f>
        <v>443</v>
      </c>
      <c r="B1" s="9"/>
      <c r="C1" s="9"/>
      <c r="D1" s="9"/>
      <c r="E1" s="9"/>
      <c r="F1" s="9"/>
      <c r="G1" s="9"/>
      <c r="H1" s="9"/>
      <c r="I1" s="9"/>
      <c r="J1" s="9"/>
      <c r="K1" s="9"/>
      <c r="L1" s="9"/>
      <c r="M1" s="9"/>
      <c r="N1" s="9"/>
      <c r="O1" s="9"/>
      <c r="P1" s="9"/>
      <c r="Q1" s="9"/>
      <c r="R1" s="9"/>
      <c r="S1" s="10"/>
    </row>
    <row r="2" ht="12.75" customHeight="1">
      <c r="A2" s="28"/>
      <c r="B2" s="13"/>
      <c r="C2" s="13"/>
      <c r="D2" s="13"/>
      <c r="E2" s="13"/>
      <c r="F2" s="13"/>
      <c r="G2" s="13"/>
      <c r="H2" s="13"/>
      <c r="I2" s="13"/>
      <c r="J2" s="13"/>
      <c r="K2" s="13"/>
      <c r="L2" s="13"/>
      <c r="M2" s="13"/>
      <c r="N2" s="13"/>
      <c r="O2" s="13"/>
      <c r="P2" s="13"/>
      <c r="Q2" s="13"/>
      <c r="R2" s="13"/>
      <c r="S2" s="14"/>
    </row>
    <row r="3" ht="75" customHeight="1" hidden="1">
      <c r="A3" s="28"/>
      <c r="B3" s="13"/>
      <c r="C3" t="s" s="748">
        <f>IF('Adatlap'!$L$1="Magyar",'Fordítások'!C310,'Fordítások'!B310)</f>
        <v>25</v>
      </c>
      <c r="D3" s="749"/>
      <c r="E3" s="749"/>
      <c r="F3" s="749"/>
      <c r="G3" s="749"/>
      <c r="H3" s="749"/>
      <c r="I3" s="749"/>
      <c r="J3" s="749"/>
      <c r="K3" s="750"/>
      <c r="L3" s="13"/>
      <c r="M3" s="750"/>
      <c r="N3" s="750"/>
      <c r="O3" s="13"/>
      <c r="P3" s="13"/>
      <c r="Q3" s="13"/>
      <c r="R3" s="13"/>
      <c r="S3" s="14"/>
    </row>
    <row r="4" ht="12.75" customHeight="1" hidden="1">
      <c r="A4" s="28"/>
      <c r="B4" s="13"/>
      <c r="C4" s="13"/>
      <c r="D4" s="13"/>
      <c r="E4" s="13"/>
      <c r="F4" s="13"/>
      <c r="G4" s="13"/>
      <c r="H4" s="13"/>
      <c r="I4" s="13"/>
      <c r="J4" s="13"/>
      <c r="K4" s="13"/>
      <c r="L4" s="13"/>
      <c r="M4" s="13"/>
      <c r="N4" s="13"/>
      <c r="O4" s="13"/>
      <c r="P4" s="13"/>
      <c r="Q4" s="13"/>
      <c r="R4" s="13"/>
      <c r="S4" s="14"/>
    </row>
    <row r="5" ht="15.75" customHeight="1" hidden="1">
      <c r="A5" t="s" s="751">
        <f>IF('Adatlap'!$L$1="Magyar",'Fordítások'!C648,'Fordítások'!B648)</f>
        <v>444</v>
      </c>
      <c r="B5" s="13"/>
      <c r="C5" s="13"/>
      <c r="D5" s="13"/>
      <c r="E5" s="13"/>
      <c r="F5" s="13"/>
      <c r="G5" s="13"/>
      <c r="H5" s="13"/>
      <c r="I5" s="13"/>
      <c r="J5" s="13"/>
      <c r="K5" s="13"/>
      <c r="L5" s="13"/>
      <c r="M5" s="13"/>
      <c r="N5" s="13"/>
      <c r="O5" s="13"/>
      <c r="P5" s="13"/>
      <c r="Q5" s="13"/>
      <c r="R5" s="13"/>
      <c r="S5" s="14"/>
    </row>
    <row r="6" ht="12.75" customHeight="1" hidden="1">
      <c r="A6" s="28"/>
      <c r="B6" s="13"/>
      <c r="C6" s="13"/>
      <c r="D6" s="13"/>
      <c r="E6" s="13"/>
      <c r="F6" s="13"/>
      <c r="G6" s="13"/>
      <c r="H6" s="13"/>
      <c r="I6" s="13"/>
      <c r="J6" s="13"/>
      <c r="K6" s="13"/>
      <c r="L6" s="13"/>
      <c r="M6" s="13"/>
      <c r="N6" s="13"/>
      <c r="O6" s="13"/>
      <c r="P6" s="13"/>
      <c r="Q6" s="13"/>
      <c r="R6" s="13"/>
      <c r="S6" s="14"/>
    </row>
    <row r="7" ht="12.75" customHeight="1" hidden="1">
      <c r="A7" t="s" s="114">
        <f>IF('Adatlap'!$L$1="Magyar",'Fordítások'!C652,'Fordítások'!B652)</f>
        <v>445</v>
      </c>
      <c r="B7" s="13"/>
      <c r="C7" s="13"/>
      <c r="D7" s="13"/>
      <c r="E7" s="13"/>
      <c r="F7" s="13"/>
      <c r="G7" s="13"/>
      <c r="H7" s="13"/>
      <c r="I7" s="13"/>
      <c r="J7" s="13"/>
      <c r="K7" s="13"/>
      <c r="L7" s="13"/>
      <c r="M7" s="13"/>
      <c r="N7" s="13"/>
      <c r="O7" s="13"/>
      <c r="P7" s="13"/>
      <c r="Q7" s="13"/>
      <c r="R7" s="13"/>
      <c r="S7" s="14"/>
    </row>
    <row r="8" ht="12.75" customHeight="1" hidden="1">
      <c r="A8" s="28"/>
      <c r="B8" s="13"/>
      <c r="C8" s="13"/>
      <c r="D8" s="13"/>
      <c r="E8" s="13"/>
      <c r="F8" s="13"/>
      <c r="G8" s="13"/>
      <c r="H8" s="13"/>
      <c r="I8" s="13"/>
      <c r="J8" s="13"/>
      <c r="K8" s="13"/>
      <c r="L8" s="13"/>
      <c r="M8" s="13"/>
      <c r="N8" s="13"/>
      <c r="O8" s="13"/>
      <c r="P8" s="13"/>
      <c r="Q8" s="13"/>
      <c r="R8" s="13"/>
      <c r="S8" s="14"/>
    </row>
    <row r="9" ht="12.75" customHeight="1">
      <c r="A9" s="28"/>
      <c r="B9" t="s" s="752">
        <f>IF(AND(L9=FALSE,L12=FALSE),IF('Adatlap'!$L$1="Magyar","Jelölje be!","Please, check!"),"")</f>
        <v>399</v>
      </c>
      <c r="C9" t="s" s="33">
        <f>IF('Adatlap'!$L$1="Magyar",CONCATENATE('Fordítások'!C206," alakú termék"),CONCATENATE('Fordítások'!B206," product"))</f>
        <v>446</v>
      </c>
      <c r="D9" s="13"/>
      <c r="E9" s="13"/>
      <c r="F9" s="13"/>
      <c r="G9" s="13"/>
      <c r="H9" s="13"/>
      <c r="I9" s="13"/>
      <c r="J9" s="13"/>
      <c r="K9" s="13"/>
      <c r="L9" t="b" s="34">
        <v>0</v>
      </c>
      <c r="M9" t="b" s="34">
        <v>0</v>
      </c>
      <c r="N9" s="13"/>
      <c r="O9" s="13"/>
      <c r="P9" s="13"/>
      <c r="Q9" s="13"/>
      <c r="R9" s="13"/>
      <c r="S9" s="14"/>
    </row>
    <row r="10" ht="12.75" customHeight="1">
      <c r="A10" s="28"/>
      <c r="B10" s="753"/>
      <c r="C10" s="13"/>
      <c r="D10" s="13"/>
      <c r="E10" s="13"/>
      <c r="F10" s="13"/>
      <c r="G10" s="13"/>
      <c r="H10" s="39"/>
      <c r="I10" s="39"/>
      <c r="J10" s="13"/>
      <c r="K10" s="13"/>
      <c r="L10" s="13"/>
      <c r="M10" s="13"/>
      <c r="N10" s="13"/>
      <c r="O10" s="13"/>
      <c r="P10" s="13"/>
      <c r="Q10" s="13"/>
      <c r="R10" s="13"/>
      <c r="S10" s="14"/>
    </row>
    <row r="11" ht="8.1" customHeight="1" hidden="1">
      <c r="A11" s="28"/>
      <c r="B11" s="13"/>
      <c r="C11" s="13"/>
      <c r="D11" s="13"/>
      <c r="E11" s="13"/>
      <c r="F11" s="13"/>
      <c r="G11" s="13"/>
      <c r="H11" s="39"/>
      <c r="I11" s="39"/>
      <c r="J11" s="13"/>
      <c r="K11" s="13"/>
      <c r="L11" s="13"/>
      <c r="M11" s="13"/>
      <c r="N11" s="13"/>
      <c r="O11" s="13"/>
      <c r="P11" s="13"/>
      <c r="Q11" s="13"/>
      <c r="R11" s="13"/>
      <c r="S11" s="14"/>
    </row>
    <row r="12" ht="12.75" customHeight="1">
      <c r="A12" s="28"/>
      <c r="B12" t="s" s="752">
        <f>IF(AND(L9=FALSE,L12=FALSE),IF('Adatlap'!$L$1="Magyar","Jelölje be!","Please, check!"),"")</f>
        <v>399</v>
      </c>
      <c r="C12" t="s" s="33">
        <f>IF('Adatlap'!L1="Magyar",'Fordítások'!C653,'Fordítások'!B653)</f>
        <v>447</v>
      </c>
      <c r="D12" s="13"/>
      <c r="E12" t="s" s="33">
        <f>IF('Adatlap'!L1="Magyar",'Fordítások'!C654,'Fordítások'!B654)</f>
        <v>448</v>
      </c>
      <c r="F12" s="13"/>
      <c r="G12" s="101"/>
      <c r="H12" s="754"/>
      <c r="I12" s="755"/>
      <c r="J12" t="s" s="756">
        <v>449</v>
      </c>
      <c r="K12" s="13"/>
      <c r="L12" t="b" s="34">
        <v>0</v>
      </c>
      <c r="M12" t="b" s="34">
        <v>0</v>
      </c>
      <c r="N12" s="13"/>
      <c r="O12" s="13"/>
      <c r="P12" s="13"/>
      <c r="Q12" s="13"/>
      <c r="R12" s="13"/>
      <c r="S12" s="14"/>
    </row>
    <row r="13" ht="12.75" customHeight="1">
      <c r="A13" s="28"/>
      <c r="B13" s="753"/>
      <c r="C13" s="13"/>
      <c r="D13" s="13"/>
      <c r="E13" s="13"/>
      <c r="F13" s="13"/>
      <c r="G13" s="13"/>
      <c r="H13" s="69"/>
      <c r="I13" s="69"/>
      <c r="J13" s="13"/>
      <c r="K13" s="13"/>
      <c r="L13" s="13"/>
      <c r="M13" s="13"/>
      <c r="N13" s="13"/>
      <c r="O13" s="13"/>
      <c r="P13" s="13"/>
      <c r="Q13" s="13"/>
      <c r="R13" s="13"/>
      <c r="S13" s="14"/>
    </row>
    <row r="14" ht="12.75" customHeight="1" hidden="1">
      <c r="A14" s="28"/>
      <c r="B14" s="13"/>
      <c r="C14" s="13"/>
      <c r="D14" s="13"/>
      <c r="E14" s="13"/>
      <c r="F14" s="13"/>
      <c r="G14" s="13"/>
      <c r="H14" s="13"/>
      <c r="I14" s="13"/>
      <c r="J14" s="13"/>
      <c r="K14" s="13"/>
      <c r="L14" s="13"/>
      <c r="M14" s="13"/>
      <c r="N14" s="13"/>
      <c r="O14" s="13"/>
      <c r="P14" s="13"/>
      <c r="Q14" s="13"/>
      <c r="R14" s="13"/>
      <c r="S14" s="14"/>
    </row>
    <row r="15" ht="12.75" customHeight="1">
      <c r="A15" t="s" s="712">
        <f>IF(L15=FALSE,IF('Adatlap'!$L$1="Magyar","Jelölje be!","Please, check!"),"")</f>
        <v>399</v>
      </c>
      <c r="B15" t="s" s="33">
        <f>IF('Adatlap'!$L$1="Magyar",'Fordítások'!C655,'Fordítások'!B655)</f>
        <v>450</v>
      </c>
      <c r="C15" s="13"/>
      <c r="D15" s="13"/>
      <c r="E15" s="13"/>
      <c r="F15" s="13"/>
      <c r="G15" s="13"/>
      <c r="H15" s="13"/>
      <c r="I15" t="s" s="757">
        <f>IF(L15=TRUE,IF('Adatlap'!L1="Magyar","Válassza ki a megfelelőt!","Please, select!"),"")</f>
      </c>
      <c r="J15" s="492"/>
      <c r="K15" s="13"/>
      <c r="L15" t="b" s="34">
        <v>0</v>
      </c>
      <c r="M15" s="13"/>
      <c r="N15" s="13"/>
      <c r="O15" s="13"/>
      <c r="P15" s="13"/>
      <c r="Q15" s="13"/>
      <c r="R15" s="13"/>
      <c r="S15" s="14"/>
    </row>
    <row r="16" ht="12.75" customHeight="1">
      <c r="A16" s="713"/>
      <c r="B16" s="13"/>
      <c r="C16" s="13"/>
      <c r="D16" s="13"/>
      <c r="E16" s="13"/>
      <c r="F16" s="13"/>
      <c r="G16" s="13"/>
      <c r="H16" s="13"/>
      <c r="I16" s="13"/>
      <c r="J16" s="13"/>
      <c r="K16" s="13"/>
      <c r="L16" s="13"/>
      <c r="M16" s="13"/>
      <c r="N16" s="13"/>
      <c r="O16" s="13"/>
      <c r="P16" s="13"/>
      <c r="Q16" s="13"/>
      <c r="R16" s="13"/>
      <c r="S16" s="14"/>
    </row>
    <row r="17" ht="12.75" customHeight="1" hidden="1">
      <c r="A17" s="28"/>
      <c r="B17" s="156"/>
      <c r="C17" s="13"/>
      <c r="D17" s="13"/>
      <c r="E17" s="13"/>
      <c r="F17" s="13"/>
      <c r="G17" s="13"/>
      <c r="H17" s="13"/>
      <c r="I17" s="13"/>
      <c r="J17" s="13"/>
      <c r="K17" s="13"/>
      <c r="L17" s="13"/>
      <c r="M17" s="13"/>
      <c r="N17" s="13"/>
      <c r="O17" s="13"/>
      <c r="P17" s="13"/>
      <c r="Q17" s="13"/>
      <c r="R17" s="13"/>
      <c r="S17" s="14"/>
    </row>
    <row r="18" ht="12.75" customHeight="1">
      <c r="A18" s="28"/>
      <c r="B18" t="s" s="752">
        <f>IF(AND(L18=FALSE,L21=FALSE),IF('Adatlap'!$L$1="Magyar","Jelölje be!","Please, check!"),"")</f>
        <v>399</v>
      </c>
      <c r="C18" t="s" s="758">
        <f>IF('Adatlap'!$L$1="Magyar",'Fordítások'!C656,'Fordítások'!B656)</f>
        <v>451</v>
      </c>
      <c r="D18" s="494"/>
      <c r="E18" s="494"/>
      <c r="F18" s="494"/>
      <c r="G18" s="494"/>
      <c r="H18" s="494"/>
      <c r="I18" s="494"/>
      <c r="J18" s="494"/>
      <c r="K18" s="13"/>
      <c r="L18" t="b" s="34">
        <v>0</v>
      </c>
      <c r="M18" t="b" s="34">
        <v>0</v>
      </c>
      <c r="N18" s="13"/>
      <c r="O18" s="13"/>
      <c r="P18" s="13"/>
      <c r="Q18" s="13"/>
      <c r="R18" s="13"/>
      <c r="S18" s="14"/>
    </row>
    <row r="19" ht="12.75" customHeight="1">
      <c r="A19" s="28"/>
      <c r="B19" s="753"/>
      <c r="C19" t="s" s="758">
        <f t="shared" si="14" ref="C19:C28">IF('Adatlap'!$L$1="Magyar","A referenciaadag","The reference dosage is")</f>
        <v>452</v>
      </c>
      <c r="D19" t="s" s="491">
        <f>'Termék'!C40</f>
      </c>
      <c r="E19" t="s" s="758">
        <f>IF('Adatlap'!L$1="Magyar","g/1 kg mosnivaló","g/kg of laundry")</f>
        <v>453</v>
      </c>
      <c r="F19" s="494"/>
      <c r="G19" t="s" s="758">
        <f>IF('Adatlap'!$L$1="Magyar",'Fordítások'!C657,'Fordítások'!B657)</f>
        <v>454</v>
      </c>
      <c r="H19" s="494"/>
      <c r="I19" s="494"/>
      <c r="J19" s="494"/>
      <c r="K19" s="13"/>
      <c r="L19" s="13"/>
      <c r="M19" s="13"/>
      <c r="N19" s="13"/>
      <c r="O19" s="13"/>
      <c r="P19" s="13"/>
      <c r="Q19" s="13"/>
      <c r="R19" s="13"/>
      <c r="S19" s="14"/>
    </row>
    <row r="20" ht="12.75" customHeight="1" hidden="1">
      <c r="A20" s="28"/>
      <c r="B20" s="156"/>
      <c r="C20" s="494"/>
      <c r="D20" s="494"/>
      <c r="E20" s="494"/>
      <c r="F20" s="494"/>
      <c r="G20" s="494"/>
      <c r="H20" s="494"/>
      <c r="I20" s="494"/>
      <c r="J20" s="494"/>
      <c r="K20" s="13"/>
      <c r="L20" s="13"/>
      <c r="M20" s="13"/>
      <c r="N20" s="13"/>
      <c r="O20" s="13"/>
      <c r="P20" s="13"/>
      <c r="Q20" s="13"/>
      <c r="R20" s="13"/>
      <c r="S20" s="14"/>
    </row>
    <row r="21" ht="12.75" customHeight="1">
      <c r="A21" s="28"/>
      <c r="B21" t="s" s="752">
        <f>IF(AND(L18=FALSE,L21=FALSE),IF('Adatlap'!$L$1="Magyar","Jelölje be!","Please, check!"),"")</f>
        <v>399</v>
      </c>
      <c r="C21" t="s" s="758">
        <f>IF('Adatlap'!$L$1="Magyar",'Fordítások'!C658,'Fordítások'!B658)</f>
        <v>455</v>
      </c>
      <c r="D21" s="494"/>
      <c r="E21" s="494"/>
      <c r="F21" s="494"/>
      <c r="G21" s="494"/>
      <c r="H21" s="494"/>
      <c r="I21" s="494"/>
      <c r="J21" s="494"/>
      <c r="K21" s="13"/>
      <c r="L21" t="b" s="34">
        <v>0</v>
      </c>
      <c r="M21" t="b" s="34">
        <v>0</v>
      </c>
      <c r="N21" s="13"/>
      <c r="O21" s="13"/>
      <c r="P21" s="13"/>
      <c r="Q21" s="13"/>
      <c r="R21" s="13"/>
      <c r="S21" s="14"/>
    </row>
    <row r="22" ht="12.75" customHeight="1">
      <c r="A22" s="28"/>
      <c r="B22" s="753"/>
      <c r="C22" t="s" s="758">
        <f>C19</f>
        <v>452</v>
      </c>
      <c r="D22" t="s" s="491">
        <f>'Termék'!C40</f>
      </c>
      <c r="E22" t="s" s="758">
        <f>E19</f>
        <v>453</v>
      </c>
      <c r="F22" s="494"/>
      <c r="G22" t="s" s="758">
        <f>IF('Adatlap'!$L$1="Magyar",'Fordítások'!C659,'Fordítások'!B659)</f>
        <v>456</v>
      </c>
      <c r="H22" s="494"/>
      <c r="I22" s="494"/>
      <c r="J22" s="494"/>
      <c r="K22" s="13"/>
      <c r="L22" s="13"/>
      <c r="M22" s="13"/>
      <c r="N22" s="13"/>
      <c r="O22" s="13"/>
      <c r="P22" s="13"/>
      <c r="Q22" s="13"/>
      <c r="R22" s="13"/>
      <c r="S22" s="14"/>
    </row>
    <row r="23" ht="12.75" customHeight="1" hidden="1">
      <c r="A23" s="28"/>
      <c r="B23" s="13"/>
      <c r="C23" s="13"/>
      <c r="D23" s="13"/>
      <c r="E23" s="13"/>
      <c r="F23" s="13"/>
      <c r="G23" s="13"/>
      <c r="H23" s="13"/>
      <c r="I23" s="13"/>
      <c r="J23" s="13"/>
      <c r="K23" s="13"/>
      <c r="L23" s="13"/>
      <c r="M23" s="13"/>
      <c r="N23" s="13"/>
      <c r="O23" s="13"/>
      <c r="P23" s="13"/>
      <c r="Q23" s="13"/>
      <c r="R23" s="13"/>
      <c r="S23" s="14"/>
    </row>
    <row r="24" ht="12.75" customHeight="1">
      <c r="A24" s="28"/>
      <c r="B24" t="s" s="752">
        <f>IF(AND(L21=FALSE,L24=FALSE),IF('Adatlap'!$L$1="Magyar","Jelölje be!","Please, check!"),"")</f>
        <v>399</v>
      </c>
      <c r="C24" t="s" s="758">
        <f>IF('Adatlap'!$L$1="Magyar",'Fordítások'!C698,'Fordítások'!B698)</f>
        <v>457</v>
      </c>
      <c r="D24" s="494"/>
      <c r="E24" s="494"/>
      <c r="F24" s="494"/>
      <c r="G24" s="494"/>
      <c r="H24" s="494"/>
      <c r="I24" s="494"/>
      <c r="J24" s="494"/>
      <c r="K24" s="13"/>
      <c r="L24" t="b" s="34">
        <v>0</v>
      </c>
      <c r="M24" t="b" s="34">
        <v>0</v>
      </c>
      <c r="N24" s="13"/>
      <c r="O24" s="13"/>
      <c r="P24" s="13"/>
      <c r="Q24" s="13"/>
      <c r="R24" s="13"/>
      <c r="S24" s="14"/>
    </row>
    <row r="25" ht="12.75" customHeight="1">
      <c r="A25" s="28"/>
      <c r="B25" s="753"/>
      <c r="C25" t="s" s="758">
        <f>IF('Adatlap'!$L$1="Magyar","A referenciaadag","The reference dosage is")</f>
        <v>452</v>
      </c>
      <c r="D25" t="s" s="491">
        <f>'Termék'!C40</f>
      </c>
      <c r="E25" t="s" s="758">
        <f>IF('Adatlap'!$L$1="Magyar",'Fordítások'!C701,'Fordítások'!B701)</f>
        <v>458</v>
      </c>
      <c r="F25" s="494"/>
      <c r="G25" s="494"/>
      <c r="H25" s="494"/>
      <c r="I25" s="494"/>
      <c r="J25" s="494"/>
      <c r="K25" s="13"/>
      <c r="L25" s="13"/>
      <c r="M25" s="13"/>
      <c r="N25" s="13"/>
      <c r="O25" s="13"/>
      <c r="P25" s="13"/>
      <c r="Q25" s="13"/>
      <c r="R25" s="13"/>
      <c r="S25" s="14"/>
    </row>
    <row r="26" ht="12.75" customHeight="1" hidden="1">
      <c r="A26" s="28"/>
      <c r="B26" s="13"/>
      <c r="C26" s="13"/>
      <c r="D26" s="13"/>
      <c r="E26" s="13"/>
      <c r="F26" s="13"/>
      <c r="G26" s="13"/>
      <c r="H26" s="13"/>
      <c r="I26" s="13"/>
      <c r="J26" s="13"/>
      <c r="K26" s="13"/>
      <c r="L26" s="13"/>
      <c r="M26" s="13"/>
      <c r="N26" s="13"/>
      <c r="O26" s="13"/>
      <c r="P26" s="13"/>
      <c r="Q26" s="13"/>
      <c r="R26" s="13"/>
      <c r="S26" s="14"/>
    </row>
    <row r="27" ht="12.75" customHeight="1">
      <c r="A27" s="28"/>
      <c r="B27" t="s" s="752">
        <f>IF(AND(L24=FALSE,L27=FALSE),IF('Adatlap'!$L$1="Magyar","Jelölje be!","Please, check!"),"")</f>
        <v>399</v>
      </c>
      <c r="C27" t="s" s="758">
        <f>IF('Adatlap'!$L$1="Magyar",'Fordítások'!C699,'Fordítások'!B699)</f>
        <v>459</v>
      </c>
      <c r="D27" s="494"/>
      <c r="E27" s="494"/>
      <c r="F27" s="494"/>
      <c r="G27" s="494"/>
      <c r="H27" s="494"/>
      <c r="I27" s="494"/>
      <c r="J27" s="494"/>
      <c r="K27" s="13"/>
      <c r="L27" t="b" s="34">
        <v>0</v>
      </c>
      <c r="M27" t="b" s="34">
        <v>0</v>
      </c>
      <c r="N27" s="13"/>
      <c r="O27" s="13"/>
      <c r="P27" s="13"/>
      <c r="Q27" s="13"/>
      <c r="R27" s="13"/>
      <c r="S27" s="14"/>
    </row>
    <row r="28" ht="12.75" customHeight="1">
      <c r="A28" s="28"/>
      <c r="B28" s="753"/>
      <c r="C28" t="s" s="758">
        <f t="shared" si="14"/>
        <v>452</v>
      </c>
      <c r="D28" t="s" s="491">
        <f>'Termék'!C40</f>
      </c>
      <c r="E28" t="s" s="758">
        <f>IF('Adatlap'!$L$1="Magyar",'Fordítások'!C702,'Fordítások'!B702)</f>
        <v>460</v>
      </c>
      <c r="F28" s="494"/>
      <c r="G28" s="494"/>
      <c r="H28" s="494"/>
      <c r="I28" s="494"/>
      <c r="J28" s="494"/>
      <c r="K28" s="13"/>
      <c r="L28" s="13"/>
      <c r="M28" s="13"/>
      <c r="N28" s="13"/>
      <c r="O28" s="13"/>
      <c r="P28" s="13"/>
      <c r="Q28" s="13"/>
      <c r="R28" s="13"/>
      <c r="S28" s="14"/>
    </row>
    <row r="29" ht="12.75" customHeight="1" hidden="1">
      <c r="A29" s="28"/>
      <c r="B29" s="13"/>
      <c r="C29" s="13"/>
      <c r="D29" s="13"/>
      <c r="E29" s="13"/>
      <c r="F29" s="13"/>
      <c r="G29" s="13"/>
      <c r="H29" s="13"/>
      <c r="I29" s="13"/>
      <c r="J29" s="13"/>
      <c r="K29" s="13"/>
      <c r="L29" s="13"/>
      <c r="M29" s="13"/>
      <c r="N29" s="13"/>
      <c r="O29" s="13"/>
      <c r="P29" s="13"/>
      <c r="Q29" s="13"/>
      <c r="R29" s="13"/>
      <c r="S29" s="14"/>
    </row>
    <row r="30" ht="12.75" customHeight="1">
      <c r="A30" s="28"/>
      <c r="B30" t="s" s="752">
        <f>IF(AND(L27=FALSE,L30=FALSE),IF('Adatlap'!$L$1="Magyar","Jelölje be!","Please, check!"),"")</f>
        <v>399</v>
      </c>
      <c r="C30" t="s" s="758">
        <f>IF('Adatlap'!$L$1="Magyar",'Fordítások'!C700,'Fordítások'!B700)</f>
        <v>461</v>
      </c>
      <c r="D30" s="494"/>
      <c r="E30" s="494"/>
      <c r="F30" s="494"/>
      <c r="G30" s="494"/>
      <c r="H30" s="494"/>
      <c r="I30" s="494"/>
      <c r="J30" s="494"/>
      <c r="K30" s="13"/>
      <c r="L30" t="b" s="34">
        <v>0</v>
      </c>
      <c r="M30" t="b" s="34">
        <v>0</v>
      </c>
      <c r="N30" s="13"/>
      <c r="O30" s="13"/>
      <c r="P30" s="13"/>
      <c r="Q30" s="13"/>
      <c r="R30" s="13"/>
      <c r="S30" s="14"/>
    </row>
    <row r="31" ht="12.75" customHeight="1">
      <c r="A31" s="28"/>
      <c r="B31" s="753"/>
      <c r="C31" s="494"/>
      <c r="D31" s="175"/>
      <c r="E31" s="494"/>
      <c r="F31" s="494"/>
      <c r="G31" s="494"/>
      <c r="H31" s="494"/>
      <c r="I31" s="494"/>
      <c r="J31" s="494"/>
      <c r="K31" s="13"/>
      <c r="L31" s="13"/>
      <c r="M31" s="13"/>
      <c r="N31" s="13"/>
      <c r="O31" s="13"/>
      <c r="P31" s="13"/>
      <c r="Q31" s="13"/>
      <c r="R31" s="13"/>
      <c r="S31" s="14"/>
    </row>
    <row r="32" ht="12.75" customHeight="1" hidden="1">
      <c r="A32" s="28"/>
      <c r="B32" s="13"/>
      <c r="C32" s="13"/>
      <c r="D32" s="13"/>
      <c r="E32" s="13"/>
      <c r="F32" s="13"/>
      <c r="G32" s="13"/>
      <c r="H32" s="13"/>
      <c r="I32" s="13"/>
      <c r="J32" s="13"/>
      <c r="K32" s="13"/>
      <c r="L32" s="13"/>
      <c r="M32" s="13"/>
      <c r="N32" s="13"/>
      <c r="O32" s="13"/>
      <c r="P32" s="13"/>
      <c r="Q32" s="13"/>
      <c r="R32" s="13"/>
      <c r="S32" s="14"/>
    </row>
    <row r="33" ht="12.75" customHeight="1" hidden="1">
      <c r="A33" s="28"/>
      <c r="B33" s="13"/>
      <c r="C33" s="13"/>
      <c r="D33" s="13"/>
      <c r="E33" s="13"/>
      <c r="F33" s="13"/>
      <c r="G33" s="13"/>
      <c r="H33" s="13"/>
      <c r="I33" s="13"/>
      <c r="J33" s="13"/>
      <c r="K33" s="13"/>
      <c r="L33" s="13"/>
      <c r="M33" s="13"/>
      <c r="N33" s="13"/>
      <c r="O33" s="13"/>
      <c r="P33" s="13"/>
      <c r="Q33" s="13"/>
      <c r="R33" s="13"/>
      <c r="S33" s="14"/>
    </row>
    <row r="34" ht="13.65" customHeight="1">
      <c r="A34" t="s" s="712">
        <f>IF(L34=FALSE,IF('Adatlap'!$L$1="Magyar","Jelölje be!","Please, check!"),"")</f>
        <v>399</v>
      </c>
      <c r="B34" t="s" s="715">
        <f>IF('Adatlap'!L1="Magyar",'Fordítások'!C660,'Fordítások'!B660)</f>
        <v>462</v>
      </c>
      <c r="C34" s="109"/>
      <c r="D34" s="109"/>
      <c r="E34" s="109"/>
      <c r="F34" s="109"/>
      <c r="G34" s="109"/>
      <c r="H34" s="109"/>
      <c r="I34" s="109"/>
      <c r="J34" s="109"/>
      <c r="K34" s="13"/>
      <c r="L34" t="b" s="34">
        <v>0</v>
      </c>
      <c r="M34" s="13"/>
      <c r="N34" s="13"/>
      <c r="O34" s="13"/>
      <c r="P34" s="13"/>
      <c r="Q34" s="13"/>
      <c r="R34" s="13"/>
      <c r="S34" s="14"/>
    </row>
    <row r="35" ht="12.75" customHeight="1">
      <c r="A35" s="713"/>
      <c r="B35" s="109"/>
      <c r="C35" s="109"/>
      <c r="D35" s="109"/>
      <c r="E35" s="109"/>
      <c r="F35" s="109"/>
      <c r="G35" s="109"/>
      <c r="H35" s="109"/>
      <c r="I35" s="109"/>
      <c r="J35" s="109"/>
      <c r="K35" s="13"/>
      <c r="L35" s="13"/>
      <c r="M35" s="13"/>
      <c r="N35" s="13"/>
      <c r="O35" s="13"/>
      <c r="P35" s="13"/>
      <c r="Q35" s="13"/>
      <c r="R35" s="13"/>
      <c r="S35" s="14"/>
    </row>
    <row r="36" ht="12.75" customHeight="1" hidden="1">
      <c r="A36" s="28"/>
      <c r="B36" s="13"/>
      <c r="C36" s="13"/>
      <c r="D36" s="13"/>
      <c r="E36" s="13"/>
      <c r="F36" s="13"/>
      <c r="G36" s="13"/>
      <c r="H36" s="13"/>
      <c r="I36" s="13"/>
      <c r="J36" s="13"/>
      <c r="K36" s="13"/>
      <c r="L36" s="13"/>
      <c r="M36" s="13"/>
      <c r="N36" s="13"/>
      <c r="O36" s="13"/>
      <c r="P36" s="13"/>
      <c r="Q36" s="13"/>
      <c r="R36" s="13"/>
      <c r="S36" s="14"/>
    </row>
    <row r="37" ht="12.75" customHeight="1" hidden="1">
      <c r="A37" t="s" s="759">
        <f>IF(AND(D19="",D22=""),IF('Adatlap'!$L$1="Magyar",'Fordítások'!C661,'Fordítások'!B661),"")</f>
        <v>463</v>
      </c>
      <c r="B37" s="13"/>
      <c r="C37" s="13"/>
      <c r="D37" s="13"/>
      <c r="E37" s="13"/>
      <c r="F37" s="13"/>
      <c r="G37" s="13"/>
      <c r="H37" s="13"/>
      <c r="I37" s="13"/>
      <c r="J37" s="13"/>
      <c r="K37" s="13"/>
      <c r="L37" s="13"/>
      <c r="M37" s="13"/>
      <c r="N37" s="13"/>
      <c r="O37" s="13"/>
      <c r="P37" s="13"/>
      <c r="Q37" s="13"/>
      <c r="R37" s="13"/>
      <c r="S37" s="14"/>
    </row>
    <row r="38" ht="12.75" customHeight="1">
      <c r="A38" s="28"/>
      <c r="B38" s="13"/>
      <c r="C38" s="13"/>
      <c r="D38" s="13"/>
      <c r="E38" s="13"/>
      <c r="F38" s="13"/>
      <c r="G38" s="13"/>
      <c r="H38" s="13"/>
      <c r="I38" s="13"/>
      <c r="J38" s="13"/>
      <c r="K38" s="13"/>
      <c r="L38" s="13"/>
      <c r="M38" s="13"/>
      <c r="N38" s="13"/>
      <c r="O38" s="13"/>
      <c r="P38" s="13"/>
      <c r="Q38" s="13"/>
      <c r="R38" s="13"/>
      <c r="S38" s="14"/>
    </row>
    <row r="39" ht="12.75" customHeight="1">
      <c r="A39" s="28"/>
      <c r="B39" s="13"/>
      <c r="C39" s="13"/>
      <c r="D39" s="13"/>
      <c r="E39" s="13"/>
      <c r="F39" s="13"/>
      <c r="G39" s="13"/>
      <c r="H39" s="13"/>
      <c r="I39" s="13"/>
      <c r="J39" s="13"/>
      <c r="K39" s="13"/>
      <c r="L39" s="13"/>
      <c r="M39" s="13"/>
      <c r="N39" s="13"/>
      <c r="O39" s="13"/>
      <c r="P39" s="13"/>
      <c r="Q39" s="13"/>
      <c r="R39" s="13"/>
      <c r="S39" s="14"/>
    </row>
    <row r="40" ht="12.75" customHeight="1">
      <c r="A40" s="28"/>
      <c r="B40" s="13"/>
      <c r="C40" s="13"/>
      <c r="D40" s="13"/>
      <c r="E40" s="13"/>
      <c r="F40" s="13"/>
      <c r="G40" s="13"/>
      <c r="H40" s="13"/>
      <c r="I40" s="13"/>
      <c r="J40" s="13"/>
      <c r="K40" s="13"/>
      <c r="L40" s="13"/>
      <c r="M40" s="13"/>
      <c r="N40" s="13"/>
      <c r="O40" s="13"/>
      <c r="P40" s="13"/>
      <c r="Q40" s="13"/>
      <c r="R40" s="13"/>
      <c r="S40" s="14"/>
    </row>
    <row r="41" ht="12.75" customHeight="1">
      <c r="A41" s="28"/>
      <c r="B41" s="13"/>
      <c r="C41" s="13"/>
      <c r="D41" s="13"/>
      <c r="E41" s="13"/>
      <c r="F41" s="13"/>
      <c r="G41" s="13"/>
      <c r="H41" s="13"/>
      <c r="I41" s="13"/>
      <c r="J41" s="13"/>
      <c r="K41" s="13"/>
      <c r="L41" s="13"/>
      <c r="M41" s="13"/>
      <c r="N41" s="13"/>
      <c r="O41" s="13"/>
      <c r="P41" s="13"/>
      <c r="Q41" s="13"/>
      <c r="R41" s="13"/>
      <c r="S41" s="14"/>
    </row>
    <row r="42" ht="12.75" customHeight="1">
      <c r="A42" s="130"/>
      <c r="B42" s="17"/>
      <c r="C42" s="17"/>
      <c r="D42" s="17"/>
      <c r="E42" s="17"/>
      <c r="F42" s="17"/>
      <c r="G42" s="17"/>
      <c r="H42" s="17"/>
      <c r="I42" s="17"/>
      <c r="J42" s="17"/>
      <c r="K42" s="17"/>
      <c r="L42" s="17"/>
      <c r="M42" s="17"/>
      <c r="N42" s="17"/>
      <c r="O42" s="17"/>
      <c r="P42" s="17"/>
      <c r="Q42" s="17"/>
      <c r="R42" s="17"/>
      <c r="S42" s="18"/>
    </row>
  </sheetData>
  <mergeCells count="13">
    <mergeCell ref="B21:B22"/>
    <mergeCell ref="B18:B19"/>
    <mergeCell ref="A34:A35"/>
    <mergeCell ref="B34:J35"/>
    <mergeCell ref="C3:J3"/>
    <mergeCell ref="B9:B10"/>
    <mergeCell ref="B12:B13"/>
    <mergeCell ref="H12:I12"/>
    <mergeCell ref="A15:A16"/>
    <mergeCell ref="B24:B25"/>
    <mergeCell ref="B27:B28"/>
    <mergeCell ref="B30:B31"/>
    <mergeCell ref="I15:J15"/>
  </mergeCells>
  <pageMargins left="0.708661" right="0.708661" top="0.748031" bottom="0.748031" header="0.314961" footer="0.314961"/>
  <pageSetup firstPageNumber="1" fitToHeight="1" fitToWidth="1" scale="9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1:CI807"/>
  <sheetViews>
    <sheetView workbookViewId="0" defaultGridColor="0" colorId="13"/>
  </sheetViews>
  <sheetFormatPr defaultColWidth="8.83333" defaultRowHeight="12.75" customHeight="1" outlineLevelRow="0" outlineLevelCol="0"/>
  <cols>
    <col min="1" max="1" width="9.17188" style="377" customWidth="1"/>
    <col min="2" max="2" width="9" style="377" customWidth="1"/>
    <col min="3" max="3" width="15.3516" style="377" customWidth="1"/>
    <col min="4" max="4" width="8.5" style="377" customWidth="1"/>
    <col min="5" max="5" width="8.85156" style="377" customWidth="1"/>
    <col min="6" max="6" width="8.85156" style="416" customWidth="1"/>
    <col min="7" max="8" width="8.85156" style="761" customWidth="1"/>
    <col min="9" max="9" width="8.85156" style="377" customWidth="1"/>
    <col min="10" max="10" width="11.8516" style="377" customWidth="1"/>
    <col min="11" max="11" width="8.67188" style="762" customWidth="1"/>
    <col min="12" max="12" hidden="1" width="8.83333" style="763" customWidth="1"/>
    <col min="13" max="14" width="8.67188" style="764" customWidth="1"/>
    <col min="15" max="15" width="8.67188" style="765" customWidth="1"/>
    <col min="16" max="16" width="8.67188" style="766" customWidth="1"/>
    <col min="17" max="17" width="8.67188" style="765" customWidth="1"/>
    <col min="18" max="18" width="8.67188" style="766" customWidth="1"/>
    <col min="19" max="20" hidden="1" width="8.83333" style="764" customWidth="1"/>
    <col min="21" max="21" width="9.17188" style="763" customWidth="1"/>
    <col min="22" max="69" width="8.67188" style="763" customWidth="1"/>
    <col min="70" max="87" width="8.85156" style="298" customWidth="1"/>
    <col min="88" max="16384" width="8.85156" style="760" customWidth="1"/>
  </cols>
  <sheetData>
    <row r="1" s="767" customFormat="1" ht="90" customHeight="1">
      <c r="C1" t="s" s="21">
        <f>IF('Adatlap'!L1="Magyar",'Fordítások'!C310,'Fordítások'!B310)</f>
        <v>25</v>
      </c>
      <c r="D1" s="22"/>
      <c r="E1" s="22"/>
      <c r="F1" s="22"/>
      <c r="G1" s="22"/>
      <c r="H1" s="22"/>
      <c r="I1" s="22"/>
      <c r="J1" s="22"/>
      <c r="K1" s="26"/>
      <c r="L1" s="26"/>
      <c r="M1" s="768"/>
      <c r="N1" s="768"/>
      <c r="O1" s="768"/>
      <c r="P1" s="768"/>
      <c r="Q1" s="768"/>
      <c r="R1" s="768"/>
      <c r="S1" s="768"/>
      <c r="T1" s="768"/>
    </row>
    <row r="3" s="769" customFormat="1" ht="19.5" customHeight="1">
      <c r="A3" t="s" s="770">
        <f>IF(OR('Adatlap'!$M$3=3,'Adatlap'!$M$3=4),IF('Adatlap'!L1="Magyar",'Fordítások'!C663,'Fordítások'!B663),IF('Adatlap'!L1="Magyar",'Fordítások'!C662,'Fordítások'!B662))</f>
        <v>465</v>
      </c>
      <c r="B3" s="771"/>
      <c r="C3" t="s" s="772">
        <f>IF('Adatlap'!L1="Magyar",'Fordítások'!C360,'Fordítások'!B360)</f>
        <v>466</v>
      </c>
      <c r="D3" s="773"/>
      <c r="E3" s="773"/>
      <c r="F3" s="773"/>
      <c r="G3" s="773"/>
      <c r="H3" s="773"/>
      <c r="I3" s="773"/>
      <c r="J3" s="773"/>
      <c r="M3" s="774"/>
      <c r="N3" s="775"/>
      <c r="O3" s="775"/>
      <c r="P3" s="775"/>
      <c r="Q3" s="775"/>
      <c r="R3" s="775"/>
      <c r="S3" s="775"/>
      <c r="T3" s="775"/>
      <c r="U3" s="776"/>
      <c r="V3" s="776"/>
      <c r="W3" s="776"/>
    </row>
    <row r="5" s="298" customFormat="1" ht="27" customHeight="1">
      <c r="A5" t="s" s="777">
        <f>IF(L5=FALSE,IF('Adatlap'!$L$1="Magyar","Jelölje be!","Please, check!"),"")</f>
        <v>399</v>
      </c>
      <c r="B5" t="s" s="710">
        <f>IF('Adatlap'!$L$1="Magyar",'Fordítások'!C361,'Fordítások'!B361)</f>
        <v>467</v>
      </c>
      <c r="C5" s="96"/>
      <c r="D5" s="96"/>
      <c r="E5" s="96"/>
      <c r="F5" s="96"/>
      <c r="G5" s="96"/>
      <c r="H5" s="96"/>
      <c r="I5" s="96"/>
      <c r="J5" s="96"/>
      <c r="L5" t="b" s="778">
        <v>0</v>
      </c>
      <c r="M5" t="s" s="779">
        <v>468</v>
      </c>
      <c r="N5" s="780"/>
      <c r="O5" s="780"/>
    </row>
    <row r="6" s="298" customFormat="1" ht="12.75" customHeight="1">
      <c r="M6" t="s" s="779">
        <v>469</v>
      </c>
      <c r="N6" t="s" s="781">
        <v>470</v>
      </c>
      <c r="O6" t="s" s="782">
        <v>471</v>
      </c>
      <c r="P6" t="s" s="783">
        <v>472</v>
      </c>
    </row>
    <row r="7" s="298" customFormat="1" ht="12.75" customHeight="1">
      <c r="A7" t="s" s="784">
        <f>IF('Adatlap'!$L$1="Magyar",'Fordítások'!C7,'Fordítások'!B7)</f>
        <v>138</v>
      </c>
      <c r="B7" s="785"/>
      <c r="C7" s="785"/>
      <c r="D7" s="785"/>
      <c r="E7" s="785"/>
      <c r="F7" s="786"/>
      <c r="G7" t="s" s="787">
        <f>IF('Adatlap'!$L$1="Magyar",'Fordítások'!C91,'Fordítások'!B91)</f>
        <v>473</v>
      </c>
      <c r="H7" s="788"/>
      <c r="I7" t="s" s="787">
        <f>IF('Adatlap'!$L$1="Magyar",'Fordítások'!C364,'Fordítások'!B364)</f>
        <v>474</v>
      </c>
      <c r="J7" s="788"/>
      <c r="L7" t="s" s="789">
        <v>475</v>
      </c>
      <c r="M7" s="780"/>
      <c r="N7" s="790"/>
      <c r="O7" s="791"/>
      <c r="P7" t="s" s="792">
        <v>476</v>
      </c>
      <c r="BZ7" s="793"/>
      <c r="CA7" s="793"/>
      <c r="CB7" s="793"/>
      <c r="CC7" s="793"/>
      <c r="CD7" s="793"/>
      <c r="CE7" s="793"/>
      <c r="CF7" s="793"/>
      <c r="CG7" s="793"/>
      <c r="CH7" s="793"/>
      <c r="CI7" s="793"/>
    </row>
    <row r="8" s="298" customFormat="1" ht="12.75" customHeight="1">
      <c r="A8" s="794"/>
      <c r="B8" s="795"/>
      <c r="C8" s="795"/>
      <c r="D8" s="795"/>
      <c r="E8" s="795"/>
      <c r="F8" s="796"/>
      <c r="G8" t="s" s="797">
        <f>IF('Adatlap'!$L$1="Magyar",CONCATENATE("(l/l ",'Fordítások'!C362,")"),CONCATENATE("l6l of ",'Fordítások'!B362,")"))</f>
        <v>477</v>
      </c>
      <c r="H8" s="798"/>
      <c r="I8" t="s" s="797">
        <f>IF('Adatlap'!$L$1="Magyar",CONCATENATE("(l/l ",'Fordítások'!C362,")"),CONCATENATE("l6l of ",'Fordítások'!B362,")"))</f>
        <v>477</v>
      </c>
      <c r="J8" s="798"/>
      <c r="L8" s="799"/>
      <c r="M8" s="780"/>
      <c r="N8" s="790"/>
      <c r="O8" s="800"/>
      <c r="P8" s="800"/>
      <c r="BZ8" s="793"/>
      <c r="CA8" s="793"/>
      <c r="CB8" s="793"/>
      <c r="CC8" s="793"/>
      <c r="CD8" s="793"/>
      <c r="CE8" s="793"/>
      <c r="CF8" s="793"/>
      <c r="CG8" s="793"/>
      <c r="CH8" s="793"/>
      <c r="CI8" s="793"/>
    </row>
    <row r="9" s="377" customFormat="1" ht="12.75" customHeight="1">
      <c r="A9" t="s" s="801">
        <v>478</v>
      </c>
      <c r="B9" s="802"/>
      <c r="C9" s="802"/>
      <c r="D9" s="802"/>
      <c r="E9" s="802"/>
      <c r="F9" s="803"/>
      <c r="G9" t="s" s="804">
        <f>IF(M9=TRUE,IF(ISERROR('Eredmények-1'!E62=TRUE),"",'Eredmények-1'!E62),"")</f>
      </c>
      <c r="H9" s="805"/>
      <c r="I9" s="806">
        <v>2500</v>
      </c>
      <c r="J9" s="807"/>
      <c r="L9" t="s" s="33">
        <f>IF(G9="","",IF(G9&gt;I9,FALSE,TRUE))</f>
      </c>
      <c r="M9" t="b" s="699">
        <f>IF('Termék'!$C$24=A9,TRUE,FALSE)</f>
        <v>0</v>
      </c>
      <c r="N9" t="b" s="808">
        <f>IF('Nyilatkozatok_1'!L17=TRUE,TRUE,FALSE)</f>
        <v>0</v>
      </c>
      <c r="O9" s="497"/>
      <c r="P9" t="b" s="809">
        <f>IF('Nyilatkozatok_LD'!L24=TRUE,TRUE,FALSE)</f>
        <v>0</v>
      </c>
      <c r="Q9" s="810"/>
      <c r="R9" s="497"/>
      <c r="S9" s="497"/>
      <c r="T9" s="497"/>
      <c r="BZ9" s="793"/>
      <c r="CA9" s="793"/>
      <c r="CB9" s="793"/>
      <c r="CC9" s="793"/>
      <c r="CD9" s="793"/>
      <c r="CE9" s="793"/>
      <c r="CF9" s="793"/>
      <c r="CG9" s="793"/>
      <c r="CH9" s="793"/>
      <c r="CI9" s="793"/>
    </row>
    <row r="10" s="298" customFormat="1" ht="12.75" customHeight="1" hidden="1">
      <c r="A10" t="s" s="801">
        <v>479</v>
      </c>
      <c r="B10" s="802"/>
      <c r="C10" s="802"/>
      <c r="D10" s="802"/>
      <c r="E10" s="802"/>
      <c r="F10" s="803"/>
      <c r="G10" t="s" s="338">
        <f>IF(M10=TRUE,IF(ISERROR('Eredmények-1'!E62=TRUE),"",'Eredmények-1'!E62),"")</f>
      </c>
      <c r="H10" s="811"/>
      <c r="I10" s="806">
        <v>18000</v>
      </c>
      <c r="J10" s="807"/>
      <c r="L10" t="s" s="33">
        <f>IF(G10="","",IF(G10&gt;I10,FALSE,TRUE))</f>
      </c>
      <c r="M10" t="b" s="34">
        <f>IF('Termék'!$C$24=A10,TRUE,FALSE)</f>
        <v>0</v>
      </c>
      <c r="N10" t="b" s="812">
        <f>IF('Nyilatkozatok_1'!L19=TRUE,TRUE,FALSE)</f>
        <v>0</v>
      </c>
      <c r="P10" t="b" s="34">
        <f>IF('Nyilatkozatok_LD'!L25=TRUE,TRUE,FALSE)</f>
        <v>0</v>
      </c>
      <c r="BZ10" s="793"/>
      <c r="CA10" s="793"/>
      <c r="CB10" s="793"/>
      <c r="CC10" s="793"/>
      <c r="CD10" s="793"/>
      <c r="CE10" s="793"/>
      <c r="CF10" s="793"/>
      <c r="CG10" s="793"/>
      <c r="CH10" s="793"/>
      <c r="CI10" s="793"/>
    </row>
    <row r="11" s="298" customFormat="1" ht="12.75" customHeight="1" hidden="1">
      <c r="A11" t="s" s="801">
        <v>480</v>
      </c>
      <c r="B11" s="802"/>
      <c r="C11" s="802"/>
      <c r="D11" s="802"/>
      <c r="E11" s="802"/>
      <c r="F11" s="803"/>
      <c r="G11" t="s" s="338">
        <f>IF(M11=TRUE,IF(ISERROR('Eredmények-1'!E62=TRUE),"",'Eredmények-1'!E62),"")</f>
      </c>
      <c r="H11" s="811"/>
      <c r="I11" s="806">
        <v>600000</v>
      </c>
      <c r="J11" s="807"/>
      <c r="L11" t="s" s="33">
        <f>IF(G11="","",IF(G11&gt;I11,FALSE,TRUE))</f>
      </c>
      <c r="M11" t="b" s="34">
        <f>IF('Termék'!$C$24=A11,TRUE,FALSE)</f>
        <v>0</v>
      </c>
      <c r="N11" t="b" s="812">
        <f>IF('Nyilatkozatok_1'!L21=TRUE,TRUE,FALSE)</f>
        <v>0</v>
      </c>
      <c r="P11" t="b" s="34">
        <f>IF('Nyilatkozatok_LD'!L26=TRUE,TRUE,FALSE)</f>
        <v>0</v>
      </c>
    </row>
    <row r="12" s="298" customFormat="1" ht="12.75" customHeight="1" hidden="1">
      <c r="A12" t="s" s="801">
        <v>481</v>
      </c>
      <c r="B12" s="802"/>
      <c r="C12" s="802"/>
      <c r="D12" s="802"/>
      <c r="E12" s="802"/>
      <c r="F12" s="803"/>
      <c r="G12" t="s" s="338">
        <f>IF(M12=TRUE,IF(ISERROR('Eredmények-1'!E62=TRUE),"",'Eredmények-1'!E62),"")</f>
      </c>
      <c r="H12" s="811"/>
      <c r="I12" s="806">
        <v>45000</v>
      </c>
      <c r="J12" s="807"/>
      <c r="L12" t="s" s="33">
        <f>IF(G12="","",IF(G12&gt;I12,FALSE,TRUE))</f>
      </c>
      <c r="M12" t="b" s="34">
        <f>IF('Termék'!$C$24=A12,TRUE,FALSE)</f>
        <v>0</v>
      </c>
      <c r="N12" t="b" s="34">
        <f>IF('Nyilatkozatok_1'!L23=TRUE,TRUE,FALSE)</f>
        <v>0</v>
      </c>
      <c r="O12" s="813"/>
      <c r="P12" s="813"/>
      <c r="Q12" s="813"/>
    </row>
    <row r="13" s="298" customFormat="1" ht="12.75" customHeight="1" hidden="1">
      <c r="A13" t="s" s="801">
        <v>482</v>
      </c>
      <c r="B13" s="802"/>
      <c r="C13" s="802"/>
      <c r="D13" s="802"/>
      <c r="E13" s="802"/>
      <c r="F13" s="803"/>
      <c r="G13" t="s" s="338">
        <f>IF(M13=TRUE,IF(ISERROR('Eredmények-1'!E62=TRUE),"",'Eredmények-1'!E62),"")</f>
      </c>
      <c r="H13" s="811"/>
      <c r="I13" s="806">
        <v>48000</v>
      </c>
      <c r="J13" s="807"/>
      <c r="L13" t="s" s="33">
        <f>IF(G13="","",IF(G13&gt;I13,FALSE,TRUE))</f>
      </c>
      <c r="M13" t="b" s="34">
        <f>IF('Termék'!$C$24=A13,TRUE,FALSE)</f>
        <v>0</v>
      </c>
      <c r="N13" s="800"/>
    </row>
    <row r="14" s="298" customFormat="1" ht="12.75" customHeight="1" hidden="1">
      <c r="A14" t="s" s="801">
        <v>483</v>
      </c>
      <c r="B14" s="802"/>
      <c r="C14" s="802"/>
      <c r="D14" s="802"/>
      <c r="E14" s="802"/>
      <c r="F14" s="803"/>
      <c r="G14" t="s" s="338">
        <f>IF(M14=TRUE,IF(ISERROR('Eredmények-1'!E62=TRUE),"",'Eredmények-1'!E62),"")</f>
      </c>
      <c r="H14" s="811"/>
      <c r="I14" s="806">
        <v>18000</v>
      </c>
      <c r="J14" s="807"/>
      <c r="L14" t="s" s="33">
        <f>IF(G14="","",IF(G14&gt;I14,FALSE,TRUE))</f>
      </c>
      <c r="M14" t="b" s="34">
        <f>IF('Termék'!$C$24=A14,TRUE,FALSE)</f>
        <v>0</v>
      </c>
      <c r="N14" s="800"/>
    </row>
    <row r="15" s="298" customFormat="1" ht="12.75" customHeight="1" hidden="1">
      <c r="A15" t="s" s="801">
        <v>484</v>
      </c>
      <c r="B15" s="802"/>
      <c r="C15" s="802"/>
      <c r="D15" s="802"/>
      <c r="E15" s="802"/>
      <c r="F15" s="803"/>
      <c r="G15" t="s" s="338">
        <f>IF(M15=TRUE,IF(ISERROR('Eredmények-1'!E62=TRUE),"",'Eredmények-1'!E62),"")</f>
      </c>
      <c r="H15" s="811"/>
      <c r="I15" s="806">
        <v>600000</v>
      </c>
      <c r="J15" s="807"/>
      <c r="L15" t="s" s="33">
        <f>IF(G15="","",IF(G15&gt;I15,FALSE,TRUE))</f>
      </c>
      <c r="M15" t="b" s="34">
        <f>IF('Termék'!$C$24=A15,TRUE,FALSE)</f>
        <v>0</v>
      </c>
      <c r="N15" s="800"/>
    </row>
    <row r="16" s="298" customFormat="1" ht="12.75" customHeight="1" hidden="1">
      <c r="A16" t="s" s="801">
        <v>485</v>
      </c>
      <c r="B16" s="802"/>
      <c r="C16" s="802"/>
      <c r="D16" s="802"/>
      <c r="E16" s="802"/>
      <c r="F16" s="803"/>
      <c r="G16" t="s" s="338">
        <f>IF(M16=TRUE,IF(ISERROR('Eredmények-1'!E62=TRUE),"",'Eredmények-1'!E62),"")</f>
      </c>
      <c r="H16" s="811"/>
      <c r="I16" s="806">
        <v>45000</v>
      </c>
      <c r="J16" s="807"/>
      <c r="L16" t="s" s="33">
        <f>IF(G16="","",IF(G16&gt;I16,FALSE,TRUE))</f>
      </c>
      <c r="M16" t="b" s="34">
        <f>IF('Termék'!$C$24=A16,TRUE,FALSE)</f>
        <v>0</v>
      </c>
    </row>
    <row r="17" s="298" customFormat="1" ht="16.5" customHeight="1">
      <c r="P17" t="s" s="814">
        <v>486</v>
      </c>
      <c r="Q17" s="815"/>
      <c r="R17" t="s" s="816">
        <v>487</v>
      </c>
    </row>
    <row r="18" s="298" customFormat="1" ht="26.25" customHeight="1">
      <c r="A18" t="s" s="777">
        <f>IF(L18=FALSE,IF('Adatlap'!$L$1="Magyar","Jelölje be!","Please, check!"),"")</f>
        <v>399</v>
      </c>
      <c r="B18" t="s" s="710">
        <f>IF('Adatlap'!$L1="Magyar",'Fordítások'!C363,'Fordítások'!B363)</f>
        <v>488</v>
      </c>
      <c r="C18" s="96"/>
      <c r="D18" s="96"/>
      <c r="E18" s="96"/>
      <c r="F18" s="96"/>
      <c r="G18" s="96"/>
      <c r="H18" s="96"/>
      <c r="I18" s="96"/>
      <c r="J18" s="96"/>
      <c r="L18" t="b" s="34">
        <v>0</v>
      </c>
      <c r="P18" t="s" s="817">
        <v>489</v>
      </c>
      <c r="Q18" s="818"/>
      <c r="R18" t="s" s="816">
        <v>490</v>
      </c>
    </row>
    <row r="20" s="377" customFormat="1" ht="12.75" customHeight="1">
      <c r="A20" t="s" s="819">
        <f>IF(AND(L22=FALSE,L24=FALSE),IF('Adatlap'!L1="Magyar",'Fordítások'!C365,'Fordítások'!B365),"")</f>
        <v>491</v>
      </c>
      <c r="F20" s="496"/>
      <c r="G20" s="29"/>
      <c r="H20" s="29"/>
      <c r="M20" s="497"/>
      <c r="N20" s="497"/>
      <c r="O20" s="820"/>
      <c r="P20" t="s" s="821">
        <v>492</v>
      </c>
      <c r="Q20" s="822"/>
      <c r="R20" t="s" s="823">
        <v>493</v>
      </c>
      <c r="S20" s="497"/>
      <c r="T20" s="497"/>
    </row>
    <row r="22" s="298" customFormat="1" ht="27" customHeight="1">
      <c r="A22" t="s" s="777">
        <f>IF(AND(L22=FALSE,L24=FALSE),IF('Adatlap'!$L$1="Magyar","Jelölje be!","Please, check!"),"")</f>
        <v>399</v>
      </c>
      <c r="B22" t="s" s="710">
        <f>IF('Adatlap'!L1="Magyar",'Fordítások'!C366,'Fordítások'!B366)</f>
        <v>494</v>
      </c>
      <c r="C22" s="96"/>
      <c r="D22" s="96"/>
      <c r="E22" s="96"/>
      <c r="F22" s="96"/>
      <c r="G22" s="96"/>
      <c r="H22" s="96"/>
      <c r="I22" s="96"/>
      <c r="J22" s="96"/>
      <c r="L22" t="b" s="34">
        <v>0</v>
      </c>
      <c r="N22" t="b" s="34">
        <v>0</v>
      </c>
      <c r="O22" t="s" s="824">
        <v>495</v>
      </c>
      <c r="P22" s="825">
        <f>COUNTIF('Alapanyagok_DID'!E13:E61,'DID List'!A7)</f>
        <v>0</v>
      </c>
      <c r="R22" t="b" s="826">
        <f>OR(AND(P22&gt;0,L22=TRUE),AND(L24=TRUE,P22=0))</f>
        <v>0</v>
      </c>
      <c r="T22" s="827"/>
    </row>
    <row r="23" s="298" customFormat="1" ht="12.75" customHeight="1">
      <c r="B23" t="s" s="698">
        <f>IF(R22=TRUE,IF('Adatlap'!L1="Magyar",'Fordítások'!C688,'Fordítások'!B688),"")</f>
      </c>
      <c r="O23" t="s" s="757">
        <v>496</v>
      </c>
    </row>
    <row r="24" s="298" customFormat="1" ht="27" customHeight="1">
      <c r="A24" t="s" s="777">
        <f>IF(AND(L22=FALSE,L24=FALSE),IF('Adatlap'!$L$1="Magyar","Jelölje be!","Please, check!"),"")</f>
        <v>399</v>
      </c>
      <c r="B24" t="s" s="710">
        <f>IF('Adatlap'!L1="Magyar",'Fordítások'!C367,'Fordítások'!B367)</f>
        <v>497</v>
      </c>
      <c r="C24" s="96"/>
      <c r="D24" s="96"/>
      <c r="E24" s="96"/>
      <c r="F24" s="96"/>
      <c r="G24" s="96"/>
      <c r="H24" s="96"/>
      <c r="I24" s="96"/>
      <c r="J24" s="96"/>
      <c r="L24" t="b" s="34">
        <v>0</v>
      </c>
      <c r="N24" t="b" s="34">
        <v>0</v>
      </c>
      <c r="S24" t="s" s="33">
        <v>498</v>
      </c>
      <c r="T24" t="s" s="33">
        <v>499</v>
      </c>
    </row>
    <row r="26" s="298" customFormat="1" ht="16.5" customHeight="1">
      <c r="B26" t="s" s="289">
        <f>IF('Adatlap'!L1="Magyar",'Fordítások'!C368,'Fordítások'!B368)</f>
        <v>269</v>
      </c>
      <c r="C26" s="286"/>
      <c r="D26" s="286"/>
      <c r="E26" t="s" s="828">
        <f>IF('Adatlap'!L1="Magyar",'Fordítások'!C38,'Fordítások'!B38)</f>
        <v>279</v>
      </c>
      <c r="F26" s="829"/>
      <c r="G26" t="s" s="830">
        <f>IF('Adatlap'!L1="Magyar",'Fordítások'!C369,'Fordítások'!B369)</f>
        <v>500</v>
      </c>
      <c r="H26" s="831"/>
      <c r="I26" t="s" s="832">
        <f>IF('Adatlap'!L1="Magyar",'Fordítások'!C370,'Fordítások'!B370)</f>
        <v>501</v>
      </c>
      <c r="J26" s="833"/>
      <c r="P26" t="s" s="33">
        <v>502</v>
      </c>
      <c r="S26" s="34">
        <f>MATCH("utolsó_sor _1",N1:N100)</f>
        <v>39</v>
      </c>
      <c r="T26" s="34">
        <f>MATCH("utolso_sor_2",N1:N100)</f>
        <v>70</v>
      </c>
    </row>
    <row r="27" s="298" customFormat="1" ht="20.25" customHeight="1">
      <c r="B27" s="286"/>
      <c r="C27" s="286"/>
      <c r="D27" s="286"/>
      <c r="E27" t="s" s="834">
        <f>IF('Adatlap'!L1="Magyar","lebonthatóság","degradability")</f>
        <v>503</v>
      </c>
      <c r="F27" s="835"/>
      <c r="G27" s="836"/>
      <c r="H27" s="836"/>
      <c r="I27" s="837"/>
      <c r="J27" s="837"/>
      <c r="N27" t="b" s="34">
        <v>0</v>
      </c>
    </row>
    <row r="28" s="298" customFormat="1" ht="24.95" customHeight="1">
      <c r="B28" s="838"/>
      <c r="C28" s="839"/>
      <c r="D28" s="840"/>
      <c r="E28" s="841"/>
      <c r="F28" s="842"/>
      <c r="G28" s="843"/>
      <c r="H28" s="328"/>
      <c r="I28" s="844"/>
      <c r="J28" s="696"/>
    </row>
    <row r="29" s="298" customFormat="1" ht="24.95" customHeight="1">
      <c r="B29" s="838"/>
      <c r="C29" s="839"/>
      <c r="D29" s="840"/>
      <c r="E29" s="841"/>
      <c r="F29" s="842"/>
      <c r="G29" s="843"/>
      <c r="H29" s="328"/>
      <c r="I29" s="844"/>
      <c r="J29" s="696"/>
      <c r="N29" t="b" s="34">
        <v>0</v>
      </c>
    </row>
    <row r="30" s="377" customFormat="1" ht="24.95" customHeight="1">
      <c r="A30" s="845"/>
      <c r="B30" s="838"/>
      <c r="C30" s="839"/>
      <c r="D30" s="840"/>
      <c r="E30" s="841"/>
      <c r="F30" s="842"/>
      <c r="G30" s="846"/>
      <c r="H30" s="847"/>
      <c r="I30" s="844"/>
      <c r="J30" s="696"/>
      <c r="M30" s="497"/>
      <c r="N30" s="497"/>
      <c r="O30" s="497"/>
      <c r="P30" s="497"/>
      <c r="Q30" s="497"/>
      <c r="R30" s="497"/>
      <c r="S30" s="497"/>
      <c r="T30" s="497"/>
    </row>
    <row r="31" s="298" customFormat="1" ht="24.95" customHeight="1">
      <c r="A31" s="845"/>
      <c r="B31" s="838"/>
      <c r="C31" s="839"/>
      <c r="D31" s="840"/>
      <c r="E31" s="841"/>
      <c r="F31" s="842"/>
      <c r="G31" s="843"/>
      <c r="H31" s="328"/>
      <c r="I31" s="844"/>
      <c r="J31" s="696"/>
    </row>
    <row r="32" s="298" customFormat="1" ht="24.95" customHeight="1">
      <c r="A32" s="845"/>
      <c r="B32" s="838"/>
      <c r="C32" s="839"/>
      <c r="D32" s="840"/>
      <c r="E32" s="841"/>
      <c r="F32" s="842"/>
      <c r="G32" s="843"/>
      <c r="H32" s="328"/>
      <c r="I32" s="844"/>
      <c r="J32" s="696"/>
    </row>
    <row r="33" s="298" customFormat="1" ht="24.95" customHeight="1">
      <c r="A33" s="845"/>
      <c r="B33" s="838"/>
      <c r="C33" s="839"/>
      <c r="D33" s="840"/>
      <c r="E33" s="841"/>
      <c r="F33" s="842"/>
      <c r="G33" s="843"/>
      <c r="H33" s="328"/>
      <c r="I33" s="844"/>
      <c r="J33" s="696"/>
    </row>
    <row r="34" s="298" customFormat="1" ht="24.95" customHeight="1">
      <c r="A34" s="848"/>
      <c r="B34" s="838"/>
      <c r="C34" s="839"/>
      <c r="D34" s="840"/>
      <c r="E34" s="841"/>
      <c r="F34" s="842"/>
      <c r="G34" s="843"/>
      <c r="H34" s="328"/>
      <c r="I34" s="844"/>
      <c r="J34" s="696"/>
    </row>
    <row r="35" s="298" customFormat="1" ht="24.95" customHeight="1">
      <c r="A35" s="845"/>
      <c r="B35" s="838"/>
      <c r="C35" s="839"/>
      <c r="D35" s="840"/>
      <c r="E35" s="841"/>
      <c r="F35" s="842"/>
      <c r="G35" s="843"/>
      <c r="H35" s="328"/>
      <c r="I35" s="844"/>
      <c r="J35" s="696"/>
    </row>
    <row r="36" s="298" customFormat="1" ht="24.95" customHeight="1">
      <c r="A36" s="845"/>
      <c r="B36" s="838"/>
      <c r="C36" s="839"/>
      <c r="D36" s="840"/>
      <c r="E36" s="841"/>
      <c r="F36" s="842"/>
      <c r="G36" s="843"/>
      <c r="H36" s="328"/>
      <c r="I36" s="844"/>
      <c r="J36" s="696"/>
    </row>
    <row r="37" s="298" customFormat="1" ht="24.95" customHeight="1">
      <c r="A37" s="845"/>
      <c r="B37" s="838"/>
      <c r="C37" s="839"/>
      <c r="D37" s="840"/>
      <c r="E37" s="841"/>
      <c r="F37" s="842"/>
      <c r="G37" s="843"/>
      <c r="H37" s="328"/>
      <c r="I37" s="844"/>
      <c r="J37" s="696"/>
    </row>
    <row r="38" s="298" customFormat="1" ht="24.95" customHeight="1">
      <c r="A38" s="848"/>
      <c r="B38" s="838"/>
      <c r="C38" s="839"/>
      <c r="D38" s="840"/>
      <c r="E38" s="841"/>
      <c r="F38" s="842"/>
      <c r="G38" s="843"/>
      <c r="H38" s="328"/>
      <c r="I38" s="844"/>
      <c r="J38" s="696"/>
    </row>
    <row r="39" s="298" customFormat="1" ht="24.95" customHeight="1">
      <c r="A39" s="845"/>
      <c r="B39" s="849"/>
      <c r="C39" s="849"/>
      <c r="D39" s="849"/>
      <c r="E39" s="464"/>
      <c r="F39" s="464"/>
      <c r="G39" s="734"/>
      <c r="H39" s="734"/>
      <c r="I39" s="286"/>
      <c r="J39" s="286"/>
      <c r="N39" t="s" s="33">
        <v>504</v>
      </c>
    </row>
    <row r="41" s="298" customFormat="1" ht="30.75" customHeight="1">
      <c r="A41" t="s" s="777">
        <f>IF(AND(L41=FALSE,L24=TRUE),IF('Adatlap'!L1="Magyar","Jelölje be!","Please, check!"),"")</f>
      </c>
      <c r="B41" t="s" s="710">
        <f>IF('Adatlap'!L1="Magyar",'Fordítások'!C371,'Fordítások'!B371)</f>
        <v>505</v>
      </c>
      <c r="C41" s="96"/>
      <c r="D41" s="96"/>
      <c r="E41" s="96"/>
      <c r="F41" s="96"/>
      <c r="G41" s="96"/>
      <c r="H41" s="96"/>
      <c r="I41" s="96"/>
      <c r="J41" s="96"/>
      <c r="L41" t="b" s="34">
        <v>0</v>
      </c>
      <c r="R41" s="827"/>
    </row>
    <row r="42" s="298" customFormat="1" ht="22.5" customHeight="1">
      <c r="B42" s="96"/>
      <c r="C42" s="96"/>
      <c r="D42" s="96"/>
      <c r="E42" s="96"/>
      <c r="F42" s="96"/>
      <c r="G42" s="96"/>
      <c r="H42" s="96"/>
      <c r="I42" s="96"/>
      <c r="J42" s="96"/>
    </row>
    <row r="43" s="298" customFormat="1" ht="12.75" customHeight="1">
      <c r="B43" s="96"/>
      <c r="C43" s="96"/>
      <c r="D43" s="96"/>
      <c r="E43" s="96"/>
      <c r="F43" s="850"/>
      <c r="G43" s="850"/>
      <c r="H43" s="850"/>
      <c r="I43" s="96"/>
      <c r="J43" s="96"/>
    </row>
    <row r="44" s="298" customFormat="1" ht="17.25" customHeight="1">
      <c r="A44" t="s" s="851">
        <f>IF(OR('Adatlap'!$M$3=3,'Adatlap'!$M$3=4),IF('Adatlap'!L1="Magyar",'Fordítások'!C664,'Fordítások'!B664),IF('Adatlap'!L1="Magyar",'Fordítások'!C663,'Fordítások'!B663))</f>
        <v>506</v>
      </c>
      <c r="B44" s="150"/>
      <c r="C44" t="s" s="852">
        <f>IF('Adatlap'!L1="Magyar",'Fordítások'!C374,'Fordítások'!B374)</f>
        <v>507</v>
      </c>
      <c r="D44" s="151"/>
      <c r="E44" s="151"/>
      <c r="F44" s="151"/>
      <c r="G44" s="151"/>
      <c r="H44" s="151"/>
      <c r="I44" s="151"/>
      <c r="J44" s="151"/>
      <c r="O44" t="s" s="33">
        <v>341</v>
      </c>
    </row>
    <row r="45" s="298" customFormat="1" ht="12.75" customHeight="1">
      <c r="B45" s="96"/>
      <c r="C45" s="96"/>
      <c r="D45" s="96"/>
      <c r="E45" s="96"/>
      <c r="F45" s="850"/>
      <c r="G45" s="850"/>
      <c r="H45" s="850"/>
      <c r="I45" s="96"/>
      <c r="J45" s="96"/>
      <c r="O45" t="s" s="33">
        <f>IF(AND(_xlfn.COUNTIFS('Alapanyagok'!H13:H61,'Auswahldaten'!A16)&gt;_xlfn.COUNTIFS('Alapanyagok'!AC13:AC61,TRUE),L48=TRUE),IF('Adatlap'!L1="Magyar",'Fordítások'!C377,'Fordítások'!B377),"")</f>
      </c>
    </row>
    <row r="46" s="298" customFormat="1" ht="12.75" customHeight="1">
      <c r="A46" t="s" s="853">
        <f>IF('Adatlap'!L1="Magyar","a)","(a)")</f>
        <v>508</v>
      </c>
      <c r="B46" t="s" s="854">
        <f>IF('Adatlap'!L1="Magyar",'Fordítások'!C375,'Fordítások'!B375)</f>
        <v>509</v>
      </c>
      <c r="C46" s="855"/>
      <c r="D46" s="855"/>
      <c r="E46" s="855"/>
      <c r="F46" s="855"/>
      <c r="G46" s="855"/>
      <c r="H46" s="855"/>
      <c r="I46" s="855"/>
      <c r="J46" s="855"/>
    </row>
    <row r="47" s="298" customFormat="1" ht="12.75" customHeight="1">
      <c r="B47" s="96"/>
      <c r="C47" s="96"/>
      <c r="D47" s="96"/>
      <c r="E47" s="96"/>
      <c r="F47" s="850"/>
      <c r="G47" s="850"/>
      <c r="H47" s="850"/>
      <c r="I47" s="96"/>
      <c r="J47" s="96"/>
    </row>
    <row r="48" s="298" customFormat="1" ht="28.5" customHeight="1">
      <c r="A48" t="s" s="777">
        <f>IF(L48=FALSE,IF('Adatlap'!$L$1="Magyar","Jelölje be!","Please, check!"),"")</f>
        <v>399</v>
      </c>
      <c r="B48" t="s" s="710">
        <f>IF('Adatlap'!L$1="Magyar",'Fordítások'!C376,'Fordítások'!B376)</f>
        <v>510</v>
      </c>
      <c r="C48" s="96"/>
      <c r="D48" s="96"/>
      <c r="E48" s="96"/>
      <c r="F48" s="96"/>
      <c r="G48" s="96"/>
      <c r="H48" s="96"/>
      <c r="I48" s="96"/>
      <c r="J48" s="96"/>
      <c r="L48" t="b" s="778">
        <v>0</v>
      </c>
      <c r="R48" s="827"/>
    </row>
    <row r="49" s="298" customFormat="1" ht="13.65" customHeight="1">
      <c r="B49" t="s" s="782">
        <f>IF(AND(_xlfn.COUNTIFS('Alapanyagok'!H13:H61,'Auswahldaten'!A16)&gt;_xlfn.COUNTIFS('Alapanyagok'!AC13:AC61,TRUE),L48=TRUE),IF('Adatlap'!L1="Magyar",'Fordítások'!C377,'Fordítások'!B377),"")</f>
      </c>
      <c r="C49" s="791"/>
      <c r="D49" s="791"/>
      <c r="E49" s="791"/>
      <c r="F49" s="791"/>
      <c r="G49" s="791"/>
      <c r="H49" s="791"/>
      <c r="I49" s="791"/>
      <c r="J49" s="791"/>
    </row>
    <row r="50" s="298" customFormat="1" ht="24.75" customHeight="1">
      <c r="A50" t="s" s="777">
        <f>IF(L50=FALSE,IF('Adatlap'!$L$1="Magyar","Jelölje be!","Please, check!"),"")</f>
        <v>399</v>
      </c>
      <c r="B50" t="s" s="710">
        <f>IF('Adatlap'!L$1="Magyar",'Fordítások'!C378,'Fordítások'!B378)</f>
        <v>511</v>
      </c>
      <c r="C50" s="96"/>
      <c r="D50" s="96"/>
      <c r="E50" s="96"/>
      <c r="F50" s="96"/>
      <c r="G50" s="96"/>
      <c r="H50" s="96"/>
      <c r="I50" s="96"/>
      <c r="J50" s="96"/>
      <c r="L50" t="b" s="778">
        <v>0</v>
      </c>
      <c r="R50" s="827"/>
    </row>
    <row r="51" s="298" customFormat="1" ht="15.75" customHeight="1">
      <c r="B51" s="96"/>
      <c r="C51" s="96"/>
      <c r="D51" s="96"/>
      <c r="E51" s="96"/>
      <c r="F51" s="96"/>
      <c r="G51" s="96"/>
      <c r="H51" s="96"/>
      <c r="I51" s="96"/>
      <c r="J51" s="96"/>
    </row>
    <row r="53" s="298" customFormat="1" ht="12.75" customHeight="1">
      <c r="A53" t="s" s="819">
        <f>IF(AND(L55=FALSE,L57=FALSE),IF('Adatlap'!L1="Magyar",'Fordítások'!C365,'Fordítások'!B365),"")</f>
        <v>491</v>
      </c>
    </row>
    <row r="55" s="298" customFormat="1" ht="24" customHeight="1">
      <c r="A55" t="s" s="777">
        <f>IF(L55=FALSE,IF('Adatlap'!$L$1="Magyar","Jelölje be!","Please, check!"),"")</f>
        <v>399</v>
      </c>
      <c r="B55" t="s" s="710">
        <f>IF('Adatlap'!L1="Magyar",'Fordítások'!C379,'Fordítások'!B379)</f>
        <v>512</v>
      </c>
      <c r="C55" s="96"/>
      <c r="D55" s="96"/>
      <c r="E55" s="96"/>
      <c r="F55" s="96"/>
      <c r="G55" s="96"/>
      <c r="H55" s="96"/>
      <c r="I55" s="96"/>
      <c r="J55" s="96"/>
      <c r="L55" t="b" s="778">
        <v>0</v>
      </c>
      <c r="N55" t="b" s="778">
        <v>0</v>
      </c>
      <c r="O55" t="b" s="778">
        <v>0</v>
      </c>
      <c r="R55" s="827"/>
    </row>
    <row r="56" s="298" customFormat="1" ht="16.5" customHeight="1">
      <c r="L56" s="856"/>
      <c r="N56" s="856"/>
      <c r="O56" s="856"/>
    </row>
    <row r="57" s="298" customFormat="1" ht="26.25" customHeight="1">
      <c r="A57" t="s" s="777">
        <f>IF(L57=FALSE,IF('Adatlap'!$L$1="Magyar","Jelölje be!","Please, check!"),"")</f>
        <v>399</v>
      </c>
      <c r="B57" t="s" s="715">
        <f>IF('Adatlap'!L1="Magyar",'Fordítások'!C380,'Fordítások'!B380)</f>
        <v>513</v>
      </c>
      <c r="C57" s="109"/>
      <c r="D57" s="109"/>
      <c r="E57" s="109"/>
      <c r="F57" s="109"/>
      <c r="G57" s="109"/>
      <c r="H57" s="109"/>
      <c r="I57" s="109"/>
      <c r="J57" s="109"/>
      <c r="L57" t="b" s="778">
        <v>0</v>
      </c>
      <c r="N57" t="b" s="778">
        <v>0</v>
      </c>
      <c r="O57" t="b" s="778">
        <v>0</v>
      </c>
      <c r="R57" s="827"/>
    </row>
    <row r="59" s="857" customFormat="1" ht="53.25" customHeight="1">
      <c r="B59" t="s" s="381">
        <f>IF('Adatlap'!$L$1="Magyar",'Fordítások'!C381,'Fordítások'!B381)</f>
        <v>514</v>
      </c>
      <c r="C59" s="578"/>
      <c r="D59" s="578"/>
      <c r="E59" t="s" s="381">
        <f>IF('Adatlap'!$L$1="Magyar",'Fordítások'!C382,'Fordítások'!B382)</f>
        <v>515</v>
      </c>
      <c r="F59" s="578"/>
      <c r="G59" s="578"/>
      <c r="H59" t="s" s="326">
        <f>IF('Adatlap'!$L$1="Magyar",'Fordítások'!C383,'Fordítások'!B383)</f>
        <v>303</v>
      </c>
      <c r="I59" s="847"/>
      <c r="J59" s="858"/>
      <c r="M59" s="497"/>
      <c r="N59" s="497"/>
      <c r="O59" s="497"/>
      <c r="P59" s="497"/>
      <c r="Q59" s="497"/>
      <c r="R59" s="497"/>
      <c r="S59" s="497"/>
      <c r="T59" s="497"/>
    </row>
    <row r="60" s="298" customFormat="1" ht="24.95" customHeight="1">
      <c r="B60" s="859"/>
      <c r="C60" s="859"/>
      <c r="D60" s="859"/>
      <c r="E60" s="859"/>
      <c r="F60" s="859"/>
      <c r="G60" s="860"/>
      <c r="H60" s="861"/>
      <c r="I60" s="862"/>
      <c r="J60" s="863"/>
    </row>
    <row r="61" s="298" customFormat="1" ht="24.95" customHeight="1">
      <c r="B61" s="859"/>
      <c r="C61" s="859"/>
      <c r="D61" s="859"/>
      <c r="E61" s="859"/>
      <c r="F61" s="859"/>
      <c r="G61" s="860"/>
      <c r="H61" s="861"/>
      <c r="I61" s="862"/>
      <c r="J61" s="863"/>
    </row>
    <row r="62" s="298" customFormat="1" ht="24.95" customHeight="1">
      <c r="B62" s="859"/>
      <c r="C62" s="859"/>
      <c r="D62" s="859"/>
      <c r="E62" s="859"/>
      <c r="F62" s="859"/>
      <c r="G62" s="860"/>
      <c r="H62" s="861"/>
      <c r="I62" s="862"/>
      <c r="J62" s="863"/>
    </row>
    <row r="63" s="298" customFormat="1" ht="24.95" customHeight="1">
      <c r="B63" s="859"/>
      <c r="C63" s="859"/>
      <c r="D63" s="859"/>
      <c r="E63" s="859"/>
      <c r="F63" s="859"/>
      <c r="G63" s="860"/>
      <c r="H63" s="861"/>
      <c r="I63" s="862"/>
      <c r="J63" s="863"/>
    </row>
    <row r="64" s="298" customFormat="1" ht="24.95" customHeight="1">
      <c r="B64" s="859"/>
      <c r="C64" s="859"/>
      <c r="D64" s="859"/>
      <c r="E64" s="859"/>
      <c r="F64" s="859"/>
      <c r="G64" s="860"/>
      <c r="H64" s="861"/>
      <c r="I64" s="862"/>
      <c r="J64" s="863"/>
    </row>
    <row r="65" s="298" customFormat="1" ht="24.95" customHeight="1">
      <c r="B65" s="859"/>
      <c r="C65" s="859"/>
      <c r="D65" s="859"/>
      <c r="E65" s="859"/>
      <c r="F65" s="859"/>
      <c r="G65" s="860"/>
      <c r="H65" s="861"/>
      <c r="I65" s="862"/>
      <c r="J65" s="863"/>
    </row>
    <row r="66" s="298" customFormat="1" ht="24.95" customHeight="1">
      <c r="B66" s="859"/>
      <c r="C66" s="859"/>
      <c r="D66" s="859"/>
      <c r="E66" s="859"/>
      <c r="F66" s="859"/>
      <c r="G66" s="860"/>
      <c r="H66" s="861"/>
      <c r="I66" s="862"/>
      <c r="J66" s="863"/>
    </row>
    <row r="67" s="298" customFormat="1" ht="24.95" customHeight="1">
      <c r="B67" s="859"/>
      <c r="C67" s="859"/>
      <c r="D67" s="859"/>
      <c r="E67" s="859"/>
      <c r="F67" s="859"/>
      <c r="G67" s="860"/>
      <c r="H67" s="861"/>
      <c r="I67" s="862"/>
      <c r="J67" s="863"/>
    </row>
    <row r="68" s="298" customFormat="1" ht="24.95" customHeight="1">
      <c r="B68" s="859"/>
      <c r="C68" s="859"/>
      <c r="D68" s="859"/>
      <c r="E68" s="859"/>
      <c r="F68" s="859"/>
      <c r="G68" s="860"/>
      <c r="H68" s="861"/>
      <c r="I68" s="862"/>
      <c r="J68" s="863"/>
    </row>
    <row r="69" s="298" customFormat="1" ht="24.95" customHeight="1">
      <c r="B69" s="859"/>
      <c r="C69" s="859"/>
      <c r="D69" s="859"/>
      <c r="E69" s="859"/>
      <c r="F69" s="859"/>
      <c r="G69" s="860"/>
      <c r="H69" s="861"/>
      <c r="I69" s="862"/>
      <c r="J69" s="863"/>
      <c r="Q69" t="s" s="33">
        <v>516</v>
      </c>
    </row>
    <row r="70" s="298" customFormat="1" ht="24.95" customHeight="1">
      <c r="B70" s="859"/>
      <c r="C70" s="859"/>
      <c r="D70" s="859"/>
      <c r="E70" s="859"/>
      <c r="F70" s="859"/>
      <c r="G70" s="860"/>
      <c r="H70" s="861"/>
      <c r="I70" s="862"/>
      <c r="J70" s="863"/>
      <c r="N70" t="s" s="33">
        <v>517</v>
      </c>
      <c r="Q70" s="34">
        <f>MATCH("utolso_sor_2",N55:N87)+54</f>
        <v>70</v>
      </c>
    </row>
    <row r="72" s="298" customFormat="1" ht="27" customHeight="1">
      <c r="A72" t="s" s="777">
        <f>IF(L72=FALSE,IF('Adatlap'!L1="Magyar","Jelölje be!","Please, check!"),"")</f>
        <v>399</v>
      </c>
      <c r="B72" t="s" s="710">
        <f>IF('Adatlap'!L1="Magyar",'Fordítások'!C384,'Fordítások'!B384)</f>
        <v>518</v>
      </c>
      <c r="C72" s="96"/>
      <c r="D72" s="96"/>
      <c r="E72" s="96"/>
      <c r="F72" s="96"/>
      <c r="G72" s="96"/>
      <c r="H72" s="96"/>
      <c r="I72" s="96"/>
      <c r="J72" s="96"/>
      <c r="L72" t="b" s="34">
        <v>0</v>
      </c>
    </row>
    <row r="73" s="298" customFormat="1" ht="22.5" customHeight="1">
      <c r="B73" s="850"/>
      <c r="C73" s="850"/>
      <c r="D73" s="850"/>
      <c r="E73" s="850"/>
      <c r="F73" s="850"/>
      <c r="G73" s="850"/>
      <c r="H73" s="850"/>
      <c r="I73" s="850"/>
      <c r="J73" s="850"/>
    </row>
    <row r="74" s="298" customFormat="1" ht="12.75" customHeight="1">
      <c r="A74" t="s" s="853">
        <f>IF('Adatlap'!L1="Magyar","b)","(b)")</f>
        <v>519</v>
      </c>
      <c r="B74" t="s" s="864">
        <f>IF('Adatlap'!L1="Magyar",'Fordítások'!C385,'Fordítások'!B385)</f>
        <v>520</v>
      </c>
    </row>
    <row r="76" s="298" customFormat="1" ht="28.5" customHeight="1">
      <c r="A76" t="s" s="777">
        <f>IF(L76=FALSE,IF('Adatlap'!$L$1="Magyar","Jelölje be!","Please, check!"),"")</f>
        <v>399</v>
      </c>
      <c r="B76" t="s" s="710">
        <f>IF('Adatlap'!L$1="Magyar",'Fordítások'!C386,'Fordítások'!B386)</f>
        <v>521</v>
      </c>
      <c r="C76" s="96"/>
      <c r="D76" s="96"/>
      <c r="E76" s="96"/>
      <c r="F76" s="96"/>
      <c r="G76" s="96"/>
      <c r="H76" s="96"/>
      <c r="I76" s="96"/>
      <c r="J76" s="96"/>
      <c r="L76" t="b" s="34">
        <v>0</v>
      </c>
    </row>
    <row r="77" s="298" customFormat="1" ht="23.25" customHeight="1">
      <c r="B77" s="865"/>
      <c r="C77" s="865"/>
      <c r="D77" s="865"/>
      <c r="E77" s="865"/>
      <c r="F77" s="865"/>
      <c r="G77" s="865"/>
      <c r="H77" s="865"/>
      <c r="I77" s="865"/>
      <c r="J77" s="865"/>
    </row>
    <row r="78" s="866" customFormat="1" ht="12.75" customHeight="1">
      <c r="A78" t="s" s="867">
        <v>138</v>
      </c>
      <c r="B78" s="868"/>
      <c r="C78" t="s" s="869">
        <v>522</v>
      </c>
      <c r="D78" s="870"/>
      <c r="E78" t="s" s="869">
        <v>330</v>
      </c>
      <c r="F78" s="870"/>
      <c r="G78" t="s" s="869">
        <v>523</v>
      </c>
      <c r="H78" s="870"/>
      <c r="I78" t="s" s="869">
        <v>330</v>
      </c>
      <c r="J78" s="870"/>
      <c r="M78" s="827"/>
      <c r="N78" s="827"/>
      <c r="O78" s="827"/>
      <c r="P78" s="827"/>
      <c r="Q78" s="827"/>
      <c r="R78" s="827"/>
      <c r="S78" s="827"/>
      <c r="T78" s="827"/>
    </row>
    <row r="79" s="871" customFormat="1" ht="25.5" customHeight="1">
      <c r="A79" s="872"/>
      <c r="B79" s="873"/>
      <c r="C79" t="s" s="869">
        <v>524</v>
      </c>
      <c r="D79" s="870"/>
      <c r="E79" t="s" s="869">
        <v>524</v>
      </c>
      <c r="F79" s="870"/>
      <c r="G79" t="s" s="869">
        <v>524</v>
      </c>
      <c r="H79" s="870"/>
      <c r="I79" t="s" s="869">
        <v>524</v>
      </c>
      <c r="J79" s="870"/>
      <c r="M79" s="497"/>
      <c r="N79" s="497"/>
      <c r="O79" s="497"/>
      <c r="P79" s="497"/>
      <c r="Q79" t="s" s="698">
        <v>525</v>
      </c>
      <c r="R79" s="497"/>
      <c r="S79" s="497"/>
      <c r="T79" s="497"/>
    </row>
    <row r="80" s="298" customFormat="1" ht="24.95" customHeight="1">
      <c r="A80" t="s" s="233">
        <v>478</v>
      </c>
      <c r="B80" s="234"/>
      <c r="C80" s="874">
        <v>0</v>
      </c>
      <c r="D80" s="847"/>
      <c r="E80" t="s" s="875">
        <v>526</v>
      </c>
      <c r="F80" s="847"/>
      <c r="G80" s="876">
        <v>0</v>
      </c>
      <c r="H80" s="328"/>
      <c r="I80" t="s" s="875">
        <v>527</v>
      </c>
      <c r="J80" s="847"/>
      <c r="Q80" t="b" s="34">
        <f>IF('Termék'!$C$24='Auswahldaten'!A125,TRUE,FALSE)</f>
        <v>0</v>
      </c>
    </row>
    <row r="81" s="857" customFormat="1" ht="37.5" customHeight="1" hidden="1">
      <c r="A81" t="s" s="233">
        <v>479</v>
      </c>
      <c r="B81" s="234"/>
      <c r="C81" s="846"/>
      <c r="D81" s="847"/>
      <c r="E81" s="877">
        <v>0.2</v>
      </c>
      <c r="F81" s="847"/>
      <c r="G81" s="846"/>
      <c r="H81" s="847"/>
      <c r="I81" s="877">
        <v>0.5</v>
      </c>
      <c r="J81" s="847"/>
      <c r="M81" s="497"/>
      <c r="N81" s="497"/>
      <c r="O81" s="497"/>
      <c r="P81" s="497"/>
      <c r="Q81" t="b" s="699">
        <f>IF('Termék'!$C$24='Auswahldaten'!A126,TRUE,FALSE)</f>
        <v>0</v>
      </c>
      <c r="R81" s="497"/>
      <c r="S81" s="497"/>
      <c r="T81" s="497"/>
    </row>
    <row r="82" s="857" customFormat="1" ht="37.5" customHeight="1" hidden="1">
      <c r="A82" t="s" s="233">
        <v>480</v>
      </c>
      <c r="B82" s="234"/>
      <c r="C82" s="878"/>
      <c r="D82" s="879"/>
      <c r="E82" s="877">
        <v>5</v>
      </c>
      <c r="F82" s="847"/>
      <c r="G82" s="846"/>
      <c r="H82" s="847"/>
      <c r="I82" s="877">
        <v>35</v>
      </c>
      <c r="J82" s="847"/>
      <c r="M82" s="497"/>
      <c r="N82" s="497"/>
      <c r="O82" s="497"/>
      <c r="P82" s="497"/>
      <c r="Q82" t="b" s="699">
        <f>IF('Termék'!$C$24='Auswahldaten'!A127,TRUE,FALSE)</f>
        <v>0</v>
      </c>
      <c r="R82" s="497"/>
      <c r="S82" s="497"/>
      <c r="T82" s="497"/>
    </row>
    <row r="83" s="857" customFormat="1" ht="37.5" customHeight="1" hidden="1">
      <c r="A83" t="s" s="880">
        <v>481</v>
      </c>
      <c r="B83" s="840"/>
      <c r="C83" s="878"/>
      <c r="D83" s="879"/>
      <c r="E83" s="877">
        <v>0.2</v>
      </c>
      <c r="F83" s="847"/>
      <c r="G83" s="846"/>
      <c r="H83" s="847"/>
      <c r="I83" s="877">
        <v>0.5</v>
      </c>
      <c r="J83" s="847"/>
      <c r="M83" s="497"/>
      <c r="N83" s="497"/>
      <c r="O83" s="497"/>
      <c r="P83" s="497"/>
      <c r="Q83" t="b" s="699">
        <f>IF('Termék'!$C$24='Auswahldaten'!A128,TRUE,FALSE)</f>
        <v>0</v>
      </c>
      <c r="R83" s="497"/>
      <c r="S83" s="497"/>
      <c r="T83" s="497"/>
    </row>
    <row r="84" s="857" customFormat="1" ht="37.5" customHeight="1" hidden="1">
      <c r="A84" t="s" s="233">
        <v>482</v>
      </c>
      <c r="B84" s="234"/>
      <c r="C84" s="878"/>
      <c r="D84" s="879"/>
      <c r="E84" s="877">
        <v>2</v>
      </c>
      <c r="F84" s="847"/>
      <c r="G84" s="846"/>
      <c r="H84" s="847"/>
      <c r="I84" s="877">
        <v>20</v>
      </c>
      <c r="J84" s="847"/>
      <c r="M84" s="497"/>
      <c r="N84" s="497"/>
      <c r="O84" s="497"/>
      <c r="P84" s="497"/>
      <c r="Q84" t="b" s="699">
        <f>IF('Termék'!$C$24='Auswahldaten'!A129,TRUE,FALSE)</f>
        <v>0</v>
      </c>
      <c r="R84" s="497"/>
      <c r="S84" s="497"/>
      <c r="T84" s="497"/>
    </row>
    <row r="85" s="857" customFormat="1" ht="37.5" customHeight="1" hidden="1">
      <c r="A85" t="s" s="880">
        <v>483</v>
      </c>
      <c r="B85" s="840"/>
      <c r="C85" s="878"/>
      <c r="D85" s="879"/>
      <c r="E85" s="877">
        <v>0.2</v>
      </c>
      <c r="F85" s="847"/>
      <c r="G85" s="846"/>
      <c r="H85" s="847"/>
      <c r="I85" s="877">
        <v>0.5</v>
      </c>
      <c r="J85" s="847"/>
      <c r="M85" s="497"/>
      <c r="N85" s="497"/>
      <c r="O85" s="497"/>
      <c r="P85" s="497"/>
      <c r="Q85" t="b" s="699">
        <f>IF('Termék'!$C$24='Auswahldaten'!A130,TRUE,FALSE)</f>
        <v>0</v>
      </c>
      <c r="R85" s="497"/>
      <c r="S85" s="497"/>
      <c r="T85" s="497"/>
    </row>
    <row r="86" s="857" customFormat="1" ht="37.5" customHeight="1" hidden="1">
      <c r="A86" t="s" s="233">
        <v>484</v>
      </c>
      <c r="B86" s="234"/>
      <c r="C86" s="846"/>
      <c r="D86" s="847"/>
      <c r="E86" s="877">
        <v>5</v>
      </c>
      <c r="F86" s="847"/>
      <c r="G86" s="846"/>
      <c r="H86" s="847"/>
      <c r="I86" s="877">
        <v>35</v>
      </c>
      <c r="J86" s="847"/>
      <c r="M86" s="497"/>
      <c r="N86" s="497"/>
      <c r="O86" s="497"/>
      <c r="P86" s="497"/>
      <c r="Q86" t="b" s="699">
        <f>IF('Termék'!$C$24='Auswahldaten'!A131,TRUE,FALSE)</f>
        <v>0</v>
      </c>
      <c r="R86" s="497"/>
      <c r="S86" s="497"/>
      <c r="T86" s="497"/>
    </row>
    <row r="87" s="857" customFormat="1" ht="24.95" customHeight="1" hidden="1">
      <c r="A87" t="s" s="233">
        <v>485</v>
      </c>
      <c r="B87" s="234"/>
      <c r="C87" s="846"/>
      <c r="D87" s="847"/>
      <c r="E87" s="877">
        <v>0.2</v>
      </c>
      <c r="F87" s="847"/>
      <c r="G87" s="846"/>
      <c r="H87" s="847"/>
      <c r="I87" s="877">
        <v>0.5</v>
      </c>
      <c r="J87" s="847"/>
      <c r="M87" s="497"/>
      <c r="N87" s="497"/>
      <c r="O87" s="497"/>
      <c r="P87" s="497"/>
      <c r="Q87" t="b" s="699">
        <f>IF('Termék'!$C$24='Auswahldaten'!A132,TRUE,FALSE)</f>
        <v>0</v>
      </c>
      <c r="R87" s="497"/>
      <c r="S87" s="497"/>
      <c r="T87" s="497"/>
    </row>
    <row r="88" s="857" customFormat="1" ht="12.75" customHeight="1">
      <c r="A88" s="881"/>
      <c r="B88" s="882"/>
      <c r="F88" s="511"/>
      <c r="G88" s="513"/>
      <c r="H88" s="513"/>
      <c r="M88" s="497"/>
      <c r="N88" s="497"/>
      <c r="O88" s="497"/>
      <c r="P88" s="497"/>
      <c r="Q88" s="497"/>
      <c r="R88" s="497"/>
      <c r="S88" s="497"/>
      <c r="T88" s="497"/>
    </row>
    <row r="89" s="298" customFormat="1" ht="24" customHeight="1">
      <c r="A89" t="s" s="777">
        <f>IF(L89=FALSE,IF('Adatlap'!$L$1="Magyar","Jelölje be!","Please, check!"),"")</f>
        <v>399</v>
      </c>
      <c r="B89" t="s" s="715">
        <f>IF('Adatlap'!L$1="Magyar",'Fordítások'!C387,'Fordítások'!B387)</f>
        <v>528</v>
      </c>
      <c r="C89" s="109"/>
      <c r="D89" s="109"/>
      <c r="E89" s="109"/>
      <c r="F89" s="109"/>
      <c r="G89" s="109"/>
      <c r="H89" s="109"/>
      <c r="I89" s="109"/>
      <c r="J89" s="109"/>
      <c r="L89" t="b" s="34">
        <v>0</v>
      </c>
    </row>
    <row r="91" s="298" customFormat="1" ht="12.75" customHeight="1">
      <c r="A91" t="s" s="819">
        <f>IF(AND(L93=FALSE,L95=FALSE),IF('Adatlap'!L1="Magyar",'Fordítások'!C365,'Fordítások'!B365),"")</f>
        <v>491</v>
      </c>
    </row>
    <row r="93" s="298" customFormat="1" ht="24" customHeight="1">
      <c r="A93" t="s" s="777">
        <f>IF(L93=FALSE,IF('Adatlap'!$L$1="Magyar","Jelölje be!","Please, check!"),"")</f>
        <v>399</v>
      </c>
      <c r="B93" t="s" s="710">
        <f>IF('Adatlap'!L1="Magyar",'Fordítások'!C388,'Fordítások'!B388)</f>
        <v>529</v>
      </c>
      <c r="C93" s="96"/>
      <c r="D93" s="96"/>
      <c r="E93" s="96"/>
      <c r="F93" s="96"/>
      <c r="G93" s="96"/>
      <c r="H93" s="96"/>
      <c r="I93" s="96"/>
      <c r="J93" s="96"/>
      <c r="L93" t="b" s="34">
        <v>0</v>
      </c>
      <c r="N93" t="b" s="34">
        <v>0</v>
      </c>
    </row>
    <row r="95" s="298" customFormat="1" ht="26.25" customHeight="1">
      <c r="A95" t="s" s="777">
        <f>IF(L95=FALSE,IF('Adatlap'!$L$1="Magyar","Jelölje be!","Please, check!"),"")</f>
        <v>399</v>
      </c>
      <c r="B95" t="s" s="715">
        <f>IF('Adatlap'!L1="Magyar",'Fordítások'!C389,'Fordítások'!B389)</f>
        <v>530</v>
      </c>
      <c r="C95" s="109"/>
      <c r="D95" s="109"/>
      <c r="E95" s="109"/>
      <c r="F95" s="109"/>
      <c r="G95" s="109"/>
      <c r="H95" s="109"/>
      <c r="I95" s="109"/>
      <c r="J95" s="109"/>
      <c r="L95" t="b" s="34">
        <v>0</v>
      </c>
      <c r="N95" t="b" s="34">
        <v>0</v>
      </c>
    </row>
    <row r="97" s="298" customFormat="1" ht="16.5" customHeight="1">
      <c r="B97" t="s" s="205">
        <f>IF('Adatlap'!L1="Magyar",'Fordítások'!C393,'Fordítások'!B393)</f>
        <v>531</v>
      </c>
      <c r="C97" s="883"/>
      <c r="D97" t="s" s="884">
        <f>E26</f>
        <v>532</v>
      </c>
      <c r="E97" t="s" s="884">
        <f>IF('Adatlap'!L1="Magyar",'Fordítások'!C39,'Fordítások'!B39)</f>
        <v>280</v>
      </c>
      <c r="F97" t="s" s="205">
        <f>IF('Adatlap'!L1="Magyar",'Fordítások'!C390,'Fordítások'!B390)</f>
        <v>533</v>
      </c>
      <c r="G97" s="883"/>
      <c r="H97" t="s" s="205">
        <f>IF('Adatlap'!L1="Magyar",'Fordítások'!C391,'Fordítások'!B391)</f>
        <v>534</v>
      </c>
      <c r="I97" s="883"/>
      <c r="J97" t="s" s="885">
        <f>IF('Adatlap'!L1="Magyar",'Fordítások'!C392,'Fordítások'!B392)</f>
        <v>535</v>
      </c>
    </row>
    <row r="98" s="298" customFormat="1" ht="22.5" customHeight="1">
      <c r="B98" s="883"/>
      <c r="C98" s="883"/>
      <c r="D98" t="s" s="886">
        <f>E27</f>
        <v>536</v>
      </c>
      <c r="E98" s="887"/>
      <c r="F98" s="883"/>
      <c r="G98" s="883"/>
      <c r="H98" s="883"/>
      <c r="I98" s="883"/>
      <c r="J98" s="888"/>
    </row>
    <row r="99" s="298" customFormat="1" ht="22.5" customHeight="1">
      <c r="B99" s="805"/>
      <c r="C99" s="805"/>
      <c r="F99" s="889"/>
      <c r="G99" s="730"/>
      <c r="H99" s="890"/>
      <c r="I99" s="891"/>
      <c r="J99" s="811"/>
    </row>
    <row r="100" s="298" customFormat="1" ht="22.5" customHeight="1">
      <c r="B100" s="805"/>
      <c r="C100" s="805"/>
      <c r="F100" s="889"/>
      <c r="G100" s="730"/>
      <c r="H100" s="890"/>
      <c r="I100" s="891"/>
    </row>
    <row r="101" s="298" customFormat="1" ht="22.5" customHeight="1">
      <c r="B101" s="805"/>
      <c r="C101" s="805"/>
      <c r="F101" s="889"/>
      <c r="G101" s="730"/>
      <c r="H101" s="890"/>
      <c r="I101" s="891"/>
    </row>
    <row r="102" s="298" customFormat="1" ht="22.5" customHeight="1">
      <c r="B102" s="805"/>
      <c r="C102" s="805"/>
      <c r="F102" s="889"/>
      <c r="G102" s="730"/>
      <c r="H102" s="890"/>
      <c r="I102" s="891"/>
    </row>
    <row r="103" s="298" customFormat="1" ht="22.5" customHeight="1">
      <c r="B103" s="805"/>
      <c r="C103" s="805"/>
      <c r="F103" s="889"/>
      <c r="G103" s="730"/>
      <c r="H103" s="890"/>
      <c r="I103" s="891"/>
    </row>
    <row r="104" s="298" customFormat="1" ht="22.5" customHeight="1">
      <c r="B104" s="805"/>
      <c r="C104" s="805"/>
      <c r="F104" s="889"/>
      <c r="G104" s="730"/>
      <c r="H104" s="890"/>
      <c r="I104" s="891"/>
    </row>
    <row r="105" s="298" customFormat="1" ht="22.5" customHeight="1">
      <c r="B105" s="805"/>
      <c r="C105" s="805"/>
      <c r="F105" s="889"/>
      <c r="G105" s="730"/>
      <c r="H105" s="890"/>
      <c r="I105" s="891"/>
    </row>
    <row r="106" s="298" customFormat="1" ht="22.5" customHeight="1">
      <c r="B106" s="805"/>
      <c r="C106" s="805"/>
      <c r="F106" s="889"/>
      <c r="G106" s="730"/>
      <c r="H106" s="890"/>
      <c r="I106" s="891"/>
    </row>
    <row r="107" s="298" customFormat="1" ht="22.5" customHeight="1">
      <c r="B107" s="805"/>
      <c r="C107" s="805"/>
      <c r="F107" s="889"/>
      <c r="G107" s="730"/>
      <c r="H107" s="890"/>
      <c r="I107" s="891"/>
    </row>
    <row r="108" s="298" customFormat="1" ht="22.5" customHeight="1">
      <c r="B108" s="805"/>
      <c r="C108" s="805"/>
      <c r="F108" s="889"/>
      <c r="G108" s="730"/>
      <c r="H108" s="890"/>
      <c r="I108" s="891"/>
    </row>
    <row r="109" s="298" customFormat="1" ht="22.5" customHeight="1">
      <c r="B109" s="805"/>
      <c r="C109" s="805"/>
      <c r="F109" s="889"/>
      <c r="G109" s="730"/>
      <c r="H109" s="890"/>
      <c r="I109" s="891"/>
    </row>
    <row r="110" s="298" customFormat="1" ht="22.5" customHeight="1">
      <c r="B110" s="805"/>
      <c r="C110" s="805"/>
      <c r="F110" s="889"/>
      <c r="G110" s="730"/>
      <c r="H110" s="890"/>
      <c r="I110" s="891"/>
    </row>
    <row r="111" s="298" customFormat="1" ht="22.5" customHeight="1">
      <c r="B111" s="805"/>
      <c r="C111" s="805"/>
      <c r="F111" s="889"/>
      <c r="G111" s="730"/>
      <c r="H111" s="890"/>
      <c r="I111" s="891"/>
    </row>
    <row r="113" s="298" customFormat="1" ht="25.5" customHeight="1">
      <c r="A113" t="s" s="777">
        <f>IF(L113=FALSE,IF('Adatlap'!$L$1="Magyar","Jelölje be!","Please, check!"),"")</f>
        <v>399</v>
      </c>
      <c r="B113" t="s" s="758">
        <f>IF('Adatlap'!L1="Magyar",'Fordítások'!C394,'Fordítások'!B394)</f>
        <v>537</v>
      </c>
      <c r="L113" t="b" s="34">
        <v>0</v>
      </c>
    </row>
    <row r="115" s="298" customFormat="1" ht="41.25" customHeight="1">
      <c r="A115" t="s" s="892">
        <f>IF(OR('Adatlap'!$M$3=3,'Adatlap'!$M$3=4),IF('Adatlap'!L1="Magyar",'Fordítások'!C665,'Fordítások'!B665),IF('Adatlap'!L1="Magyar",'Fordítások'!C664,'Fordítások'!B664))</f>
        <v>538</v>
      </c>
      <c r="B115" s="893"/>
      <c r="C115" t="s" s="894">
        <f>IF('Adatlap'!L1="Magyar",'Fordítások'!C395,'Fordítások'!B395)</f>
        <v>539</v>
      </c>
      <c r="D115" s="895"/>
      <c r="E115" s="895"/>
      <c r="F115" s="895"/>
      <c r="G115" s="895"/>
      <c r="H115" s="895"/>
      <c r="I115" s="895"/>
      <c r="J115" s="895"/>
    </row>
    <row r="116" s="298" customFormat="1" ht="12.75" customHeight="1">
      <c r="A116" t="s" s="896">
        <f>IF('Termék'!C37='Alapanyagok'!AI63,"",IF('Adatlap'!L1="Magyar","Ellenőrizze a Termék munkalap C37 mezőjének és az Alapanyagok munkalap P oszlopának a kitöltését!","Please, check Worksheet Termék C37 and Worksheet Alapanyagok column P!"))</f>
        <v>540</v>
      </c>
      <c r="B116" s="492"/>
      <c r="C116" s="492"/>
      <c r="D116" s="492"/>
      <c r="E116" s="492"/>
      <c r="F116" s="492"/>
      <c r="G116" s="492"/>
      <c r="H116" s="492"/>
      <c r="I116" s="492"/>
      <c r="J116" s="492"/>
    </row>
    <row r="117" s="298" customFormat="1" ht="26.25" customHeight="1">
      <c r="A117" t="s" s="777">
        <f>IF(AND(L117=FALSE,L119=FALSE),IF('Adatlap'!$L$1="Magyar","Jelölje be!","Please, check!"),"")</f>
        <v>399</v>
      </c>
      <c r="B117" t="s" s="715">
        <f>IF('Adatlap'!L1="Magyar",'Fordítások'!C396,'Fordítások'!B396)</f>
        <v>541</v>
      </c>
      <c r="C117" s="109"/>
      <c r="D117" s="109"/>
      <c r="E117" s="109"/>
      <c r="F117" s="109"/>
      <c r="G117" s="109"/>
      <c r="H117" s="109"/>
      <c r="I117" s="109"/>
      <c r="J117" s="109"/>
      <c r="L117" t="b" s="34">
        <v>0</v>
      </c>
      <c r="N117" t="b" s="34">
        <v>0</v>
      </c>
    </row>
    <row r="119" s="298" customFormat="1" ht="27" customHeight="1">
      <c r="A119" t="s" s="777">
        <f>IF(AND(L117=FALSE,L119=FALSE),IF('Adatlap'!$L$1="Magyar","Jelölje be!","Please, check!"),"")</f>
        <v>399</v>
      </c>
      <c r="B119" t="s" s="715">
        <f>IF('Adatlap'!L1="Magyar",'Fordítások'!C397,'Fordítások'!B397)</f>
        <v>542</v>
      </c>
      <c r="C119" s="109"/>
      <c r="D119" s="109"/>
      <c r="E119" s="109"/>
      <c r="F119" s="109"/>
      <c r="G119" s="109"/>
      <c r="H119" s="109"/>
      <c r="I119" s="109"/>
      <c r="J119" s="109"/>
      <c r="L119" t="b" s="34">
        <v>0</v>
      </c>
      <c r="N119" t="b" s="34">
        <v>0</v>
      </c>
    </row>
    <row r="121" s="298" customFormat="1" ht="27.75" customHeight="1">
      <c r="B121" t="s" s="897">
        <f>IF(M121=FALSE,IF('Adatlap'!$L$1="Magyar","Jelölje be!","Please, check!"),"")</f>
        <v>399</v>
      </c>
      <c r="C121" t="s" s="715">
        <f>IF('Adatlap'!L1="Magyar",'Fordítások'!C398,'Fordítások'!B398)</f>
        <v>543</v>
      </c>
      <c r="D121" s="109"/>
      <c r="E121" s="109"/>
      <c r="F121" s="109"/>
      <c r="G121" s="109"/>
      <c r="H121" s="109"/>
      <c r="I121" s="109"/>
      <c r="J121" s="109"/>
      <c r="L121" t="b" s="34">
        <v>0</v>
      </c>
      <c r="N121" t="b" s="34">
        <v>0</v>
      </c>
    </row>
    <row r="122" s="298" customFormat="1" ht="12.75" customHeight="1">
      <c r="C122" s="708"/>
      <c r="D122" s="708"/>
      <c r="E122" s="708"/>
      <c r="I122" s="708"/>
      <c r="J122" s="708"/>
    </row>
    <row r="123" s="298" customFormat="1" ht="25.5" customHeight="1">
      <c r="B123" t="s" s="897">
        <f>IF(M123=FALSE,IF('Adatlap'!$L$1="Magyar","Jelölje be!","Please, check!"),"")</f>
        <v>399</v>
      </c>
      <c r="C123" t="s" s="715">
        <f>IF('Adatlap'!L1="Magyar",'Fordítások'!C399,'Fordítások'!B399)</f>
        <v>544</v>
      </c>
      <c r="D123" s="109"/>
      <c r="E123" s="109"/>
      <c r="F123" s="109"/>
      <c r="G123" s="109"/>
      <c r="H123" s="109"/>
      <c r="I123" s="109"/>
      <c r="J123" s="109"/>
      <c r="L123" t="b" s="34">
        <v>0</v>
      </c>
      <c r="N123" t="b" s="34">
        <v>0</v>
      </c>
    </row>
    <row r="125" s="761" customFormat="1" ht="28.5" customHeight="1">
      <c r="B125" t="s" s="205">
        <f>IF('Adatlap'!L1="Magyar",'Fordítások'!C402,'Fordítások'!B402)</f>
        <v>545</v>
      </c>
      <c r="C125" s="883"/>
      <c r="D125" s="883"/>
      <c r="E125" t="s" s="898">
        <v>546</v>
      </c>
      <c r="F125" t="s" s="885">
        <v>547</v>
      </c>
      <c r="G125" t="s" s="885">
        <v>548</v>
      </c>
      <c r="H125" t="s" s="205">
        <f>IF('Adatlap'!L1="Magyar",'Fordítások'!C69,'Fordítások'!B69)</f>
        <v>549</v>
      </c>
      <c r="I125" s="883"/>
      <c r="M125" s="492"/>
      <c r="N125" s="492"/>
      <c r="O125" s="492"/>
      <c r="P125" s="492"/>
      <c r="Q125" s="492"/>
      <c r="R125" s="492"/>
      <c r="S125" s="492"/>
      <c r="T125" s="492"/>
    </row>
    <row r="126" s="298" customFormat="1" ht="20.25" customHeight="1">
      <c r="B126" s="859"/>
      <c r="C126" s="859"/>
      <c r="D126" s="859"/>
      <c r="E126" s="811"/>
      <c r="F126" s="811"/>
      <c r="G126" s="811"/>
      <c r="H126" s="860"/>
      <c r="I126" s="859"/>
      <c r="N126" s="899"/>
    </row>
    <row r="127" s="298" customFormat="1" ht="20.25" customHeight="1">
      <c r="B127" s="859"/>
      <c r="C127" s="859"/>
      <c r="D127" s="859"/>
      <c r="E127" s="811"/>
      <c r="F127" s="811"/>
      <c r="G127" s="811"/>
      <c r="H127" s="860"/>
      <c r="I127" s="859"/>
    </row>
    <row r="128" s="298" customFormat="1" ht="20.25" customHeight="1">
      <c r="B128" s="859"/>
      <c r="C128" s="859"/>
      <c r="D128" s="859"/>
      <c r="E128" s="811"/>
      <c r="F128" s="811"/>
      <c r="G128" s="811"/>
      <c r="H128" s="860"/>
      <c r="I128" s="859"/>
    </row>
    <row r="129" s="298" customFormat="1" ht="20.25" customHeight="1">
      <c r="B129" s="859"/>
      <c r="C129" s="859"/>
      <c r="D129" s="859"/>
      <c r="E129" s="811"/>
      <c r="F129" s="811"/>
      <c r="G129" s="811"/>
      <c r="H129" s="860"/>
      <c r="I129" s="859"/>
    </row>
    <row r="130" s="298" customFormat="1" ht="20.25" customHeight="1">
      <c r="B130" s="859"/>
      <c r="C130" s="859"/>
      <c r="D130" s="859"/>
      <c r="E130" s="811"/>
      <c r="F130" s="811"/>
      <c r="G130" s="811"/>
      <c r="H130" s="860"/>
      <c r="I130" s="859"/>
    </row>
    <row r="131" s="298" customFormat="1" ht="20.25" customHeight="1">
      <c r="B131" s="859"/>
      <c r="C131" s="859"/>
      <c r="D131" s="859"/>
      <c r="E131" s="811"/>
      <c r="F131" s="811"/>
      <c r="G131" s="811"/>
      <c r="H131" s="860"/>
      <c r="I131" s="859"/>
    </row>
    <row r="133" s="298" customFormat="1" ht="26.25" customHeight="1">
      <c r="B133" t="s" s="897">
        <f>IF(AND(L133=FALSE,L123=TRUE),IF('Adatlap'!$L$1="Magyar","Jelölje be!","Please, check!"),"")</f>
      </c>
      <c r="C133" t="s" s="758">
        <f>IF('Adatlap'!L1="Magyar",'Fordítások'!C401,'Fordítások'!B401)</f>
        <v>550</v>
      </c>
      <c r="L133" t="b" s="34">
        <v>0</v>
      </c>
      <c r="O133" t="s" s="33">
        <v>551</v>
      </c>
    </row>
    <row r="134" s="298" customFormat="1" ht="12.75" customHeight="1">
      <c r="O134" t="s" s="33">
        <v>552</v>
      </c>
    </row>
    <row r="135" s="298" customFormat="1" ht="28.5" customHeight="1">
      <c r="A135" t="s" s="777">
        <f>IF(L135=FALSE,IF('Adatlap'!$L$1="Magyar","Jelölje be!","Please, check!"),"")</f>
        <v>399</v>
      </c>
      <c r="B135" t="s" s="900">
        <f>IF('Adatlap'!L1="Magyar",'Fordítások'!C400,'Fordítások'!B400)</f>
        <v>553</v>
      </c>
      <c r="C135" s="153"/>
      <c r="D135" s="153"/>
      <c r="E135" s="153"/>
      <c r="F135" s="153"/>
      <c r="G135" s="153"/>
      <c r="H135" s="153"/>
      <c r="I135" s="153"/>
      <c r="J135" s="153"/>
      <c r="L135" t="b" s="34">
        <v>0</v>
      </c>
      <c r="N135" t="b" s="34">
        <v>0</v>
      </c>
    </row>
    <row r="136" s="298" customFormat="1" ht="24.75" customHeight="1">
      <c r="B136" s="153"/>
      <c r="C136" s="153"/>
      <c r="D136" s="153"/>
      <c r="E136" s="153"/>
      <c r="F136" s="153"/>
      <c r="G136" s="153"/>
      <c r="H136" s="153"/>
      <c r="I136" s="153"/>
      <c r="J136" s="153"/>
    </row>
    <row r="138" s="298" customFormat="1" ht="25.5" customHeight="1">
      <c r="B138" t="s" s="205">
        <f>B125</f>
        <v>554</v>
      </c>
      <c r="C138" s="883"/>
      <c r="D138" s="883"/>
      <c r="E138" t="s" s="885">
        <f>IF('Adatlap'!L1="Magyar",'Fordítások'!C403,'Fordítások'!B403)</f>
        <v>555</v>
      </c>
      <c r="F138" s="888"/>
      <c r="G138" t="s" s="205">
        <f>H125</f>
        <v>556</v>
      </c>
      <c r="H138" s="883"/>
    </row>
    <row r="139" s="298" customFormat="1" ht="19.5" customHeight="1">
      <c r="B139" s="805"/>
      <c r="C139" s="805"/>
      <c r="D139" s="805"/>
      <c r="E139" s="805"/>
      <c r="F139" s="805"/>
      <c r="G139" s="811"/>
      <c r="H139" s="811"/>
    </row>
    <row r="140" s="298" customFormat="1" ht="19.5" customHeight="1">
      <c r="B140" s="805"/>
      <c r="C140" s="805"/>
      <c r="D140" s="805"/>
      <c r="E140" s="805"/>
      <c r="F140" s="805"/>
      <c r="G140" s="811"/>
      <c r="H140" s="811"/>
    </row>
    <row r="141" s="298" customFormat="1" ht="19.5" customHeight="1">
      <c r="B141" s="805"/>
      <c r="C141" s="805"/>
      <c r="D141" s="805"/>
      <c r="E141" s="805"/>
      <c r="F141" s="805"/>
      <c r="G141" s="811"/>
      <c r="H141" s="811"/>
    </row>
    <row r="142" s="298" customFormat="1" ht="19.5" customHeight="1">
      <c r="B142" s="805"/>
      <c r="C142" s="805"/>
      <c r="D142" s="805"/>
      <c r="E142" s="805"/>
      <c r="F142" s="805"/>
      <c r="G142" s="811"/>
      <c r="H142" s="811"/>
    </row>
    <row r="143" s="298" customFormat="1" ht="19.5" customHeight="1">
      <c r="B143" s="805"/>
      <c r="C143" s="805"/>
      <c r="D143" s="805"/>
      <c r="E143" s="805"/>
      <c r="F143" s="805"/>
      <c r="G143" s="811"/>
      <c r="H143" s="811"/>
    </row>
    <row r="145" s="298" customFormat="1" ht="27" customHeight="1">
      <c r="B145" t="s" s="897">
        <f>IF(AND(L145=FALSE,L135=TRUE),IF('Adatlap'!$L$1="Magyar","Jelölje be!","Please, check!"),"")</f>
      </c>
      <c r="C145" t="s" s="758">
        <f>IF('Adatlap'!L1="Magyar",'Fordítások'!C401,'Fordítások'!B401)</f>
        <v>550</v>
      </c>
      <c r="O145" t="s" s="33">
        <v>551</v>
      </c>
    </row>
    <row r="146" s="298" customFormat="1" ht="12.75" customHeight="1">
      <c r="O146" t="s" s="33">
        <v>552</v>
      </c>
    </row>
    <row r="147" s="298" customFormat="1" ht="19.5" customHeight="1">
      <c r="A147" t="s" s="901">
        <f>IF(OR('Adatlap'!$M$3=3,'Adatlap'!$M$3=4),IF('Adatlap'!L1="Magyar",'Fordítások'!C666,'Fordítások'!B666),IF('Adatlap'!L1="Magyar",'Fordítások'!C665,'Fordítások'!B665))</f>
        <v>557</v>
      </c>
      <c r="B147" s="902"/>
      <c r="C147" t="s" s="903">
        <f>IF('Adatlap'!$L$1="Magyar",'Fordítások'!C404,'Fordítások'!B404)</f>
        <v>558</v>
      </c>
      <c r="D147" s="904"/>
      <c r="E147" s="904"/>
      <c r="F147" s="904"/>
      <c r="G147" s="904"/>
      <c r="H147" s="904"/>
      <c r="I147" s="904"/>
      <c r="J147" s="904"/>
    </row>
    <row r="149" s="298" customFormat="1" ht="12.75" customHeight="1">
      <c r="A149" t="s" s="853">
        <f>A46</f>
        <v>559</v>
      </c>
      <c r="B149" t="s" s="905">
        <f>IF('Adatlap'!$L$1="Magyar",'Fordítások'!C405,'Fordítások'!B405)</f>
        <v>560</v>
      </c>
      <c r="C149" s="906"/>
      <c r="D149" s="906"/>
      <c r="E149" s="906"/>
      <c r="F149" s="906"/>
      <c r="G149" s="906"/>
      <c r="H149" s="906"/>
      <c r="I149" s="906"/>
      <c r="J149" s="906"/>
    </row>
    <row r="150" s="298" customFormat="1" ht="12.75" customHeight="1">
      <c r="A150" s="907"/>
      <c r="B150" s="906"/>
      <c r="C150" s="906"/>
      <c r="D150" s="906"/>
      <c r="E150" s="906"/>
      <c r="F150" s="908"/>
      <c r="G150" s="909"/>
      <c r="H150" s="909"/>
      <c r="I150" s="906"/>
      <c r="J150" s="906"/>
    </row>
    <row r="151" s="298" customFormat="1" ht="12.75" customHeight="1">
      <c r="A151" s="907"/>
      <c r="B151" t="s" s="910">
        <f>IF('Adatlap'!$L$1="Magyar",'Fordítások'!C406,'Fordítások'!B406)</f>
        <v>561</v>
      </c>
      <c r="C151" s="911"/>
      <c r="D151" s="911"/>
      <c r="E151" s="911"/>
      <c r="F151" s="911"/>
      <c r="G151" s="911"/>
      <c r="H151" s="911"/>
      <c r="I151" s="911"/>
      <c r="J151" s="911"/>
    </row>
    <row r="153" s="298" customFormat="1" ht="24.75" customHeight="1">
      <c r="A153" t="s" s="777">
        <f>IF(L153=FALSE,IF('Adatlap'!$L$1="Magyar","Jelölje be!","Please, check!"),"")</f>
        <v>399</v>
      </c>
      <c r="B153" t="s" s="715">
        <f>IF('Adatlap'!$L$1="Magyar",'Fordítások'!C407,'Fordítások'!B407)</f>
        <v>562</v>
      </c>
      <c r="C153" s="109"/>
      <c r="D153" s="109"/>
      <c r="E153" s="109"/>
      <c r="F153" s="109"/>
      <c r="G153" s="109"/>
      <c r="H153" s="109"/>
      <c r="I153" s="109"/>
      <c r="J153" s="109"/>
      <c r="L153" t="b" s="34">
        <v>0</v>
      </c>
    </row>
    <row r="154" s="298" customFormat="1" ht="18" customHeight="1">
      <c r="A154" t="s" s="912">
        <v>563</v>
      </c>
      <c r="B154" t="s" s="33">
        <f>IF('Adatlap'!$L$1="Magyar",'Fordítások'!C409,'Fordítások'!B409)</f>
        <v>564</v>
      </c>
    </row>
    <row r="155" s="298" customFormat="1" ht="12.75" customHeight="1">
      <c r="A155" t="s" s="912">
        <v>563</v>
      </c>
      <c r="B155" t="s" s="913">
        <f>IF('Adatlap'!$L$1="Magyar",'Fordítások'!C410,'Fordítások'!B410)</f>
        <v>565</v>
      </c>
      <c r="C155" s="708"/>
      <c r="D155" s="708"/>
      <c r="E155" s="708"/>
      <c r="F155" s="708"/>
      <c r="G155" s="708"/>
      <c r="H155" s="708"/>
      <c r="I155" s="708"/>
      <c r="J155" s="708"/>
    </row>
    <row r="156" s="298" customFormat="1" ht="12.75" customHeight="1">
      <c r="A156" t="s" s="912">
        <v>563</v>
      </c>
      <c r="B156" t="s" s="913">
        <f>IF('Adatlap'!$L$1="Magyar",'Fordítások'!C411,'Fordítások'!B411)</f>
        <v>566</v>
      </c>
      <c r="C156" s="708"/>
      <c r="D156" s="708"/>
      <c r="E156" s="708"/>
      <c r="F156" s="708"/>
      <c r="G156" s="708"/>
      <c r="H156" s="708"/>
      <c r="I156" s="708"/>
      <c r="J156" s="708"/>
    </row>
    <row r="157" s="298" customFormat="1" ht="12.75" customHeight="1">
      <c r="A157" t="s" s="912">
        <v>563</v>
      </c>
      <c r="B157" t="s" s="913">
        <f>IF('Adatlap'!$L$1="Magyar",'Fordítások'!C412,'Fordítások'!B412)</f>
        <v>567</v>
      </c>
      <c r="C157" s="708"/>
      <c r="D157" s="708"/>
      <c r="E157" s="708"/>
      <c r="F157" s="708"/>
      <c r="G157" s="708"/>
      <c r="H157" s="708"/>
      <c r="I157" s="708"/>
      <c r="J157" s="708"/>
    </row>
    <row r="158" s="298" customFormat="1" ht="12.75" customHeight="1">
      <c r="A158" t="s" s="912">
        <v>563</v>
      </c>
      <c r="B158" t="s" s="913">
        <f>IF('Adatlap'!$L$1="Magyar",'Fordítások'!C413,'Fordítások'!B413)</f>
        <v>568</v>
      </c>
      <c r="C158" s="708"/>
      <c r="D158" s="708"/>
      <c r="E158" s="708"/>
      <c r="F158" s="708"/>
      <c r="G158" s="708"/>
      <c r="H158" s="708"/>
      <c r="I158" s="708"/>
      <c r="J158" s="708"/>
    </row>
    <row r="159" s="298" customFormat="1" ht="51" customHeight="1">
      <c r="A159" t="s" s="914">
        <v>563</v>
      </c>
      <c r="B159" t="s" s="710">
        <f>IF('Adatlap'!$L$1="Magyar",'Fordítások'!C414,'Fordítások'!B414)</f>
        <v>569</v>
      </c>
      <c r="C159" s="96"/>
      <c r="D159" s="96"/>
      <c r="E159" s="96"/>
      <c r="F159" s="96"/>
      <c r="G159" s="96"/>
      <c r="H159" s="96"/>
      <c r="I159" s="96"/>
      <c r="J159" s="96"/>
    </row>
    <row r="160" s="298" customFormat="1" ht="12.75" customHeight="1">
      <c r="A160" t="s" s="912">
        <v>563</v>
      </c>
      <c r="B160" t="s" s="33">
        <f>IF('Adatlap'!$L$1="Magyar",'Fordítások'!C704,'Fordítások'!B704)</f>
        <v>570</v>
      </c>
      <c r="F160" s="13"/>
      <c r="G160" s="13"/>
      <c r="H160" s="13"/>
    </row>
    <row r="161" s="298" customFormat="1" ht="12.75" customHeight="1">
      <c r="A161" t="s" s="912">
        <v>563</v>
      </c>
      <c r="B161" t="s" s="33">
        <f>IF('Adatlap'!$L$1="Magyar",'Fordítások'!C415,'Fordítások'!B415)</f>
        <v>571</v>
      </c>
      <c r="F161" s="13"/>
      <c r="G161" s="13"/>
      <c r="H161" s="13"/>
    </row>
    <row r="162" s="298" customFormat="1" ht="12.75" customHeight="1">
      <c r="A162" t="s" s="912">
        <v>563</v>
      </c>
      <c r="B162" t="s" s="33">
        <f>IF('Adatlap'!$L$1="Magyar",'Fordítások'!C416,'Fordítások'!B416)</f>
        <v>572</v>
      </c>
      <c r="F162" s="13"/>
      <c r="G162" s="13"/>
      <c r="H162" s="13"/>
    </row>
    <row r="163" s="298" customFormat="1" ht="12.75" customHeight="1">
      <c r="A163" t="s" s="912">
        <v>563</v>
      </c>
      <c r="B163" t="s" s="33">
        <f>IF('Adatlap'!$L$1="Magyar",'Fordítások'!C417,'Fordítások'!B417)</f>
        <v>573</v>
      </c>
      <c r="F163" s="13"/>
      <c r="G163" s="13"/>
      <c r="H163" s="13"/>
    </row>
    <row r="164" s="298" customFormat="1" ht="12.75" customHeight="1">
      <c r="A164" t="s" s="912">
        <v>563</v>
      </c>
      <c r="B164" t="s" s="33">
        <f>IF('Adatlap'!$L$1="Magyar",'Fordítások'!C418,'Fordítások'!B418)</f>
        <v>574</v>
      </c>
      <c r="F164" s="13"/>
      <c r="G164" s="13"/>
      <c r="H164" s="13"/>
    </row>
    <row r="165" s="298" customFormat="1" ht="12.75" customHeight="1">
      <c r="A165" t="s" s="912">
        <v>563</v>
      </c>
      <c r="B165" t="s" s="33">
        <f>IF('Adatlap'!$L$1="Magyar",'Fordítások'!C419,'Fordítások'!B419)</f>
        <v>575</v>
      </c>
      <c r="F165" s="13"/>
      <c r="G165" s="13"/>
      <c r="H165" s="13"/>
    </row>
    <row r="166" s="298" customFormat="1" ht="12.75" customHeight="1">
      <c r="A166" t="s" s="912">
        <v>563</v>
      </c>
      <c r="B166" t="s" s="33">
        <f>IF('Adatlap'!$L$1="Magyar",'Fordítások'!C420,'Fordítások'!B420)</f>
        <v>576</v>
      </c>
      <c r="F166" s="13"/>
      <c r="G166" s="13"/>
      <c r="H166" s="13"/>
    </row>
    <row r="167" s="298" customFormat="1" ht="12.75" customHeight="1">
      <c r="A167" t="s" s="912">
        <v>563</v>
      </c>
      <c r="B167" t="s" s="33">
        <f>IF('Adatlap'!$L$1="Magyar",'Fordítások'!C421,'Fordítások'!B421)</f>
        <v>577</v>
      </c>
      <c r="F167" s="13"/>
      <c r="G167" s="13"/>
      <c r="H167" s="13"/>
    </row>
    <row r="168" s="298" customFormat="1" ht="12.75" customHeight="1">
      <c r="A168" t="s" s="912">
        <v>563</v>
      </c>
      <c r="B168" t="s" s="33">
        <f>IF('Adatlap'!$L$1="Magyar",'Fordítások'!C422,'Fordítások'!B422)</f>
        <v>578</v>
      </c>
      <c r="F168" s="13"/>
      <c r="G168" s="13"/>
      <c r="H168" s="13"/>
    </row>
    <row r="169" s="298" customFormat="1" ht="12.75" customHeight="1">
      <c r="A169" t="s" s="912">
        <v>563</v>
      </c>
      <c r="B169" t="s" s="33">
        <f>IF('Adatlap'!$L$1="Magyar",'Fordítások'!C423,'Fordítások'!B423)</f>
        <v>579</v>
      </c>
      <c r="F169" s="13"/>
      <c r="G169" s="13"/>
      <c r="H169" s="13"/>
    </row>
    <row r="170" s="298" customFormat="1" ht="12.75" customHeight="1">
      <c r="A170" t="s" s="912">
        <v>563</v>
      </c>
      <c r="B170" t="s" s="33">
        <f>IF('Adatlap'!$L$1="Magyar",'Fordítások'!C424,'Fordítások'!B424)</f>
        <v>580</v>
      </c>
      <c r="F170" s="13"/>
      <c r="G170" s="13"/>
      <c r="H170" s="13"/>
    </row>
    <row r="171" s="298" customFormat="1" ht="12.75" customHeight="1" hidden="1">
      <c r="A171" t="s" s="912">
        <v>563</v>
      </c>
      <c r="B171" t="s" s="33">
        <f>IF('Adatlap'!$L$1="Magyar",'Fordítások'!C703,'Fordítások'!B703)</f>
        <v>581</v>
      </c>
      <c r="F171" s="13"/>
      <c r="G171" s="13"/>
      <c r="H171" s="13"/>
    </row>
    <row r="172" s="298" customFormat="1" ht="12.75" customHeight="1">
      <c r="A172" t="s" s="912">
        <v>563</v>
      </c>
      <c r="B172" t="s" s="33">
        <f>IF('Adatlap'!$L$1="Magyar",'Fordítások'!C425,'Fordítások'!B425)</f>
        <v>582</v>
      </c>
      <c r="F172" s="13"/>
      <c r="G172" s="13"/>
      <c r="H172" s="13"/>
    </row>
    <row r="173" s="298" customFormat="1" ht="12.75" customHeight="1">
      <c r="A173" t="s" s="912">
        <v>563</v>
      </c>
      <c r="B173" t="s" s="33">
        <f>IF('Adatlap'!$L$1="Magyar",'Fordítások'!C426,'Fordítások'!B426)</f>
        <v>583</v>
      </c>
      <c r="F173" s="13"/>
      <c r="G173" s="13"/>
      <c r="H173" s="13"/>
    </row>
    <row r="174" s="298" customFormat="1" ht="12.75" customHeight="1" hidden="1">
      <c r="A174" t="s" s="912">
        <v>563</v>
      </c>
      <c r="B174" t="s" s="33">
        <f>IF('Adatlap'!$L$1="Magyar",'Fordítások'!C427,'Fordítások'!B427)</f>
        <v>584</v>
      </c>
      <c r="F174" s="13"/>
      <c r="G174" s="13"/>
      <c r="H174" s="13"/>
    </row>
    <row r="175" s="298" customFormat="1" ht="25.5" customHeight="1" hidden="1">
      <c r="A175" t="s" s="914">
        <v>563</v>
      </c>
      <c r="B175" t="s" s="915">
        <f>IF('Adatlap'!$L$1="Magyar",'Fordítások'!C428,'Fordítások'!B428)</f>
        <v>585</v>
      </c>
    </row>
    <row r="176" s="298" customFormat="1" ht="30" customHeight="1">
      <c r="A176" t="s" s="777">
        <f>IF(L176=FALSE,IF('Adatlap'!$L$1="Magyar","Jelölje be!","Please, check!"),"")</f>
        <v>399</v>
      </c>
      <c r="B176" t="s" s="715">
        <f>IF('Adatlap'!$L$1="Magyar",'Fordítások'!C408,'Fordítások'!B408)</f>
        <v>586</v>
      </c>
      <c r="C176" s="109"/>
      <c r="D176" s="109"/>
      <c r="E176" s="109"/>
      <c r="F176" s="109"/>
      <c r="G176" s="109"/>
      <c r="H176" s="109"/>
      <c r="I176" s="109"/>
      <c r="J176" s="109"/>
      <c r="L176" t="b" s="34">
        <v>0</v>
      </c>
    </row>
    <row r="178" s="298" customFormat="1" ht="12.75" customHeight="1">
      <c r="B178" t="s" s="916">
        <f>IF('Adatlap'!$L$1="Magyar",CONCATENATE("ii. ",'Fordítások'!C429,"ok"),CONCATENATE("(ii) ",'Fordítások'!B429,"s"))</f>
        <v>587</v>
      </c>
    </row>
    <row r="180" s="298" customFormat="1" ht="24.95" customHeight="1">
      <c r="A180" t="s" s="777">
        <f>IF(L180=FALSE,IF('Adatlap'!$L$1="Magyar","Jelölje be!","Please, check!"),"")</f>
        <v>399</v>
      </c>
      <c r="B180" t="s" s="715">
        <f>IF('Adatlap'!$L$1="Magyar",'Fordítások'!C435,'Fordítások'!B435)</f>
        <v>588</v>
      </c>
      <c r="C180" s="109"/>
      <c r="D180" s="109"/>
      <c r="E180" s="109"/>
      <c r="F180" s="109"/>
      <c r="G180" s="109"/>
      <c r="H180" s="109"/>
      <c r="I180" s="109"/>
      <c r="J180" s="109"/>
      <c r="L180" t="b" s="34">
        <v>0</v>
      </c>
    </row>
    <row r="182" s="857" customFormat="1" ht="45.75" customHeight="1">
      <c r="B182" t="s" s="434">
        <f>IF('Adatlap'!$L$1="Magyar",'Fordítások'!C429,'Fordítások'!B429)</f>
        <v>589</v>
      </c>
      <c r="C182" s="346"/>
      <c r="D182" s="346"/>
      <c r="E182" s="346"/>
      <c r="F182" s="917"/>
      <c r="G182" t="s" s="885">
        <f>IF('Adatlap'!$L$1="Magyar",CONCATENATE('Fordítások'!C434,", ",'Fordítások'!C433),CONCATENATE('Fordítások'!B434," ",'Fordítások'!B433))</f>
        <v>590</v>
      </c>
      <c r="H182" s="888"/>
      <c r="I182" t="s" s="885">
        <f>IF('Adatlap'!$L$1="Magyar",CONCATENATE('Fordítások'!C89," ",'Fordítások'!C433),CONCATENATE('Fordítások'!B89," ",'Fordítások'!B433))</f>
        <v>591</v>
      </c>
      <c r="J182" s="888"/>
      <c r="M182" s="497"/>
      <c r="N182" s="497"/>
      <c r="O182" s="497"/>
      <c r="P182" s="497"/>
      <c r="Q182" s="497"/>
      <c r="R182" s="497"/>
      <c r="S182" s="497"/>
      <c r="T182" s="497"/>
    </row>
    <row r="183" s="298" customFormat="1" ht="13.65" customHeight="1">
      <c r="B183" t="s" s="918">
        <f>IF('Adatlap'!$L$1="Magyar",'Fordítások'!C430,'Fordítások'!B430)</f>
        <v>592</v>
      </c>
      <c r="C183" s="919"/>
      <c r="D183" s="919"/>
      <c r="E183" s="919"/>
      <c r="F183" s="919"/>
      <c r="G183" s="920"/>
      <c r="H183" s="921"/>
      <c r="I183" t="s" s="381">
        <v>593</v>
      </c>
      <c r="J183" s="922"/>
    </row>
    <row r="184" s="298" customFormat="1" ht="12.75" customHeight="1">
      <c r="B184" t="s" s="918">
        <f>IF('Adatlap'!$L$1="Magyar",'Fordítások'!C431,'Fordítások'!B431)</f>
        <v>594</v>
      </c>
      <c r="C184" s="919"/>
      <c r="D184" s="919"/>
      <c r="E184" s="919"/>
      <c r="F184" s="919"/>
      <c r="G184" s="920"/>
      <c r="H184" s="921"/>
      <c r="I184" s="922">
        <v>0.005</v>
      </c>
      <c r="J184" s="922"/>
    </row>
    <row r="185" s="298" customFormat="1" ht="12.75" customHeight="1">
      <c r="B185" t="s" s="918">
        <f>IF('Adatlap'!$L$1="Magyar",'Fordítások'!C432,'Fordítások'!B432)</f>
        <v>595</v>
      </c>
      <c r="C185" s="919"/>
      <c r="D185" s="919"/>
      <c r="E185" s="919"/>
      <c r="G185" s="920"/>
      <c r="H185" s="921"/>
      <c r="I185" s="922">
        <v>0.0015</v>
      </c>
      <c r="J185" s="922"/>
    </row>
    <row r="187" s="298" customFormat="1" ht="24.95" customHeight="1">
      <c r="A187" t="s" s="777">
        <f>IF(L187=FALSE,IF('Adatlap'!$L$1="Magyar","Jelölje be!","Please, check!"),"")</f>
        <v>399</v>
      </c>
      <c r="B187" t="s" s="710">
        <f>IF('Adatlap'!$L$1="Magyar",'Fordítások'!C436,'Fordítások'!B436)</f>
        <v>596</v>
      </c>
      <c r="C187" s="96"/>
      <c r="D187" s="96"/>
      <c r="E187" s="96"/>
      <c r="F187" s="96"/>
      <c r="G187" s="96"/>
      <c r="H187" s="96"/>
      <c r="I187" s="96"/>
      <c r="J187" s="96"/>
      <c r="L187" t="b" s="34">
        <v>0</v>
      </c>
    </row>
    <row r="189" s="298" customFormat="1" ht="27.75" customHeight="1">
      <c r="A189" t="s" s="777">
        <f>IF(L189=FALSE,IF('Adatlap'!$L$1="Magyar","Jelölje be!","Please, check!"),"")</f>
        <v>399</v>
      </c>
      <c r="B189" t="s" s="923">
        <v>597</v>
      </c>
      <c r="C189" s="865"/>
      <c r="D189" s="865"/>
      <c r="E189" s="865"/>
      <c r="F189" s="865"/>
      <c r="G189" s="865"/>
      <c r="H189" s="865"/>
      <c r="I189" s="865"/>
      <c r="J189" s="865"/>
      <c r="L189" t="b" s="34">
        <v>0</v>
      </c>
      <c r="N189" t="s" s="33">
        <v>598</v>
      </c>
      <c r="O189" s="827"/>
    </row>
    <row r="190" s="377" customFormat="1" ht="12.75" customHeight="1" hidden="1">
      <c r="F190" s="516"/>
      <c r="G190" s="518"/>
      <c r="H190" s="518"/>
      <c r="M190" s="497"/>
      <c r="N190" s="497"/>
      <c r="O190" s="497"/>
      <c r="P190" s="497"/>
      <c r="Q190" s="497"/>
      <c r="R190" s="497"/>
      <c r="S190" s="497"/>
      <c r="T190" s="497"/>
    </row>
    <row r="191" s="377" customFormat="1" ht="33" customHeight="1" hidden="1">
      <c r="B191" t="s" s="924">
        <v>138</v>
      </c>
      <c r="C191" s="925"/>
      <c r="D191" s="925"/>
      <c r="E191" s="925"/>
      <c r="F191" t="s" s="885">
        <v>599</v>
      </c>
      <c r="G191" s="888"/>
      <c r="H191" t="s" s="885">
        <v>600</v>
      </c>
      <c r="I191" s="888"/>
      <c r="J191" s="888"/>
      <c r="M191" s="497"/>
      <c r="N191" s="497"/>
      <c r="O191" s="497"/>
      <c r="P191" s="497"/>
      <c r="Q191" s="497"/>
      <c r="R191" s="497"/>
      <c r="S191" s="497"/>
      <c r="T191" s="497"/>
    </row>
    <row r="192" s="377" customFormat="1" ht="12.75" customHeight="1" hidden="1">
      <c r="B192" t="s" s="918">
        <v>601</v>
      </c>
      <c r="F192" s="926"/>
      <c r="H192" t="s" s="804">
        <v>602</v>
      </c>
      <c r="I192" s="805"/>
      <c r="J192" s="805"/>
      <c r="M192" s="497"/>
      <c r="N192" s="497"/>
      <c r="O192" s="497"/>
      <c r="P192" s="497"/>
      <c r="Q192" s="497"/>
      <c r="R192" s="497"/>
      <c r="S192" s="497"/>
      <c r="T192" s="497"/>
    </row>
    <row r="193" s="377" customFormat="1" ht="12.75" customHeight="1" hidden="1">
      <c r="B193" t="s" s="918">
        <v>479</v>
      </c>
      <c r="F193" s="926"/>
      <c r="H193" t="s" s="804">
        <v>603</v>
      </c>
      <c r="I193" s="805"/>
      <c r="J193" s="805"/>
      <c r="M193" s="497"/>
      <c r="N193" s="497"/>
      <c r="O193" s="497"/>
      <c r="P193" s="497"/>
      <c r="Q193" s="497"/>
      <c r="R193" s="497"/>
      <c r="S193" s="497"/>
      <c r="T193" s="497"/>
    </row>
    <row r="194" s="377" customFormat="1" ht="12.75" customHeight="1" hidden="1">
      <c r="B194" t="s" s="918">
        <v>480</v>
      </c>
      <c r="F194" s="927"/>
      <c r="G194" s="805"/>
      <c r="H194" t="s" s="918">
        <v>604</v>
      </c>
      <c r="I194" s="919"/>
      <c r="J194" s="919"/>
      <c r="M194" s="497"/>
      <c r="N194" s="497"/>
      <c r="O194" s="497"/>
      <c r="P194" s="497"/>
      <c r="Q194" s="497"/>
      <c r="R194" s="497"/>
      <c r="S194" s="497"/>
      <c r="T194" s="497"/>
    </row>
    <row r="195" s="377" customFormat="1" ht="12.75" customHeight="1" hidden="1">
      <c r="B195" t="s" s="918">
        <v>481</v>
      </c>
      <c r="F195" s="927"/>
      <c r="G195" s="805"/>
      <c r="H195" t="s" s="918">
        <v>605</v>
      </c>
      <c r="I195" s="919"/>
      <c r="J195" s="919"/>
      <c r="M195" s="497"/>
      <c r="N195" s="497"/>
      <c r="O195" s="497"/>
      <c r="P195" s="497"/>
      <c r="Q195" s="497"/>
      <c r="R195" s="497"/>
      <c r="S195" s="497"/>
      <c r="T195" s="497"/>
    </row>
    <row r="196" s="377" customFormat="1" ht="12.75" customHeight="1" hidden="1">
      <c r="B196" t="s" s="918">
        <v>482</v>
      </c>
      <c r="F196" s="927"/>
      <c r="G196" s="805"/>
      <c r="H196" t="s" s="918">
        <v>606</v>
      </c>
      <c r="I196" s="919"/>
      <c r="J196" s="919"/>
      <c r="M196" s="497"/>
      <c r="N196" s="497"/>
      <c r="O196" s="497"/>
      <c r="P196" s="497"/>
      <c r="Q196" s="497"/>
      <c r="R196" s="497"/>
      <c r="S196" s="497"/>
      <c r="T196" s="497"/>
    </row>
    <row r="197" s="377" customFormat="1" ht="12.75" customHeight="1" hidden="1">
      <c r="B197" t="s" s="918">
        <v>483</v>
      </c>
      <c r="F197" s="927"/>
      <c r="G197" s="805"/>
      <c r="H197" t="s" s="918">
        <v>607</v>
      </c>
      <c r="I197" s="919"/>
      <c r="J197" s="919"/>
      <c r="M197" s="497"/>
      <c r="N197" s="497"/>
      <c r="O197" s="497"/>
      <c r="P197" s="497"/>
      <c r="Q197" s="497"/>
      <c r="R197" s="497"/>
      <c r="S197" s="497"/>
      <c r="T197" s="497"/>
    </row>
    <row r="198" s="377" customFormat="1" ht="12.75" customHeight="1" hidden="1">
      <c r="B198" t="s" s="918">
        <v>484</v>
      </c>
      <c r="F198" s="927"/>
      <c r="G198" s="805"/>
      <c r="H198" t="s" s="918">
        <v>604</v>
      </c>
      <c r="I198" s="919"/>
      <c r="J198" s="919"/>
      <c r="M198" s="497"/>
      <c r="N198" s="497"/>
      <c r="O198" s="497"/>
      <c r="P198" s="497"/>
      <c r="Q198" s="497"/>
      <c r="R198" s="497"/>
      <c r="S198" s="497"/>
      <c r="T198" s="497"/>
    </row>
    <row r="199" s="377" customFormat="1" ht="12.75" customHeight="1" hidden="1">
      <c r="B199" t="s" s="918">
        <v>485</v>
      </c>
      <c r="F199" s="927"/>
      <c r="G199" s="805"/>
      <c r="H199" t="s" s="918">
        <v>605</v>
      </c>
      <c r="I199" s="919"/>
      <c r="J199" s="919"/>
      <c r="M199" s="497"/>
      <c r="N199" s="497"/>
      <c r="O199" s="497"/>
      <c r="P199" s="497"/>
      <c r="Q199" s="497"/>
      <c r="R199" s="497"/>
      <c r="S199" s="497"/>
      <c r="T199" s="497"/>
    </row>
    <row r="201" s="298" customFormat="1" ht="24.95" customHeight="1">
      <c r="B201" t="s" s="897">
        <f>IF(L189=FALSE,IF('Adatlap'!$L$1="Magyar","Jelölje be!","Please, check!"),"")</f>
        <v>399</v>
      </c>
      <c r="C201" t="s" s="758">
        <f>IF('Adatlap'!L1="Magyar",'Fordítások'!C442,'Fordítások'!B442)</f>
        <v>608</v>
      </c>
      <c r="L201" t="b" s="34">
        <v>0</v>
      </c>
      <c r="O201" s="827"/>
    </row>
    <row r="203" s="298" customFormat="1" ht="29.25" customHeight="1">
      <c r="A203" t="s" s="777">
        <f>IF(L203=FALSE,IF('Adatlap'!$L$1="Magyar","Jelölje be!","Please, check!"),"")</f>
        <v>399</v>
      </c>
      <c r="B203" t="s" s="710">
        <v>609</v>
      </c>
      <c r="C203" s="96"/>
      <c r="D203" s="96"/>
      <c r="E203" s="96"/>
      <c r="F203" s="96"/>
      <c r="G203" s="96"/>
      <c r="H203" s="96"/>
      <c r="I203" s="96"/>
      <c r="J203" s="96"/>
      <c r="L203" t="b" s="34">
        <v>0</v>
      </c>
    </row>
    <row r="204" s="298" customFormat="1" ht="8.45" customHeight="1">
      <c r="B204" s="96"/>
      <c r="C204" s="96"/>
      <c r="D204" s="96"/>
      <c r="E204" s="96"/>
      <c r="F204" s="96"/>
      <c r="G204" s="96"/>
      <c r="H204" s="96"/>
      <c r="I204" s="96"/>
      <c r="J204" s="96"/>
    </row>
    <row r="205" s="298" customFormat="1" ht="24.95" customHeight="1" hidden="1">
      <c r="A205" s="928"/>
      <c r="B205" t="s" s="929">
        <f>IF(L205=FALSE,IF('Adatlap'!$L$1="Magyar","Jelölje be!","Please, check!"),"")</f>
        <v>399</v>
      </c>
      <c r="C205" t="s" s="710">
        <f>B187</f>
        <v>610</v>
      </c>
      <c r="D205" s="96"/>
      <c r="E205" s="96"/>
      <c r="F205" s="96"/>
      <c r="G205" s="96"/>
      <c r="H205" s="96"/>
      <c r="I205" s="96"/>
      <c r="J205" s="96"/>
      <c r="L205" t="b" s="34">
        <v>0</v>
      </c>
    </row>
    <row r="207" s="298" customFormat="1" ht="38.25" customHeight="1">
      <c r="A207" t="s" s="777">
        <f>IF(L207=FALSE,IF('Adatlap'!$L$1="Magyar","Jelölje be!","Please, check!"),"")</f>
        <v>399</v>
      </c>
      <c r="B207" t="s" s="715">
        <v>611</v>
      </c>
      <c r="C207" s="109"/>
      <c r="D207" s="109"/>
      <c r="E207" s="109"/>
      <c r="F207" s="109"/>
      <c r="G207" s="109"/>
      <c r="H207" s="109"/>
      <c r="I207" s="109"/>
      <c r="J207" s="109"/>
      <c r="L207" t="b" s="34">
        <v>0</v>
      </c>
      <c r="O207" s="827"/>
    </row>
    <row r="209" s="298" customFormat="1" ht="25.5" customHeight="1">
      <c r="B209" t="s" s="523">
        <f>B191</f>
        <v>171</v>
      </c>
      <c r="C209" s="521"/>
      <c r="D209" s="521"/>
      <c r="E209" s="521"/>
      <c r="F209" t="s" s="885">
        <f>IF('Adatlap'!$L$1="Magyar",'Fordítások'!C445,'Fordítások'!B445)</f>
        <v>612</v>
      </c>
      <c r="G209" s="888"/>
      <c r="H209" t="s" s="885">
        <f>IF('Adatlap'!$L$1="Magyar",CONCATENATE('Fordítások'!C204," (illékony szerves vegyületek)"),CONCATENATE('Fordítások'!B204," of VOC content"))</f>
        <v>613</v>
      </c>
      <c r="I209" s="888"/>
      <c r="J209" s="888"/>
      <c r="P209" s="930"/>
    </row>
    <row r="210" s="298" customFormat="1" ht="12.75" customHeight="1">
      <c r="B210" t="s" s="596">
        <f>A9</f>
        <v>614</v>
      </c>
      <c r="C210" s="597"/>
      <c r="D210" s="597"/>
      <c r="E210" s="598"/>
      <c r="F210" t="s" s="931">
        <f>IF('Termék'!C$24=B210,'Eredmények-1'!J$62,"")</f>
      </c>
      <c r="G210" s="932"/>
      <c r="H210" t="s" s="933">
        <f>IF('Adatlap'!$L$1="Magyar",CONCATENATE('Auswahldaten'!E113," g/1 l használatra készt termék"),CONCATENATE('Auswahldaten'!E113," g/ l of RTU product"))</f>
        <v>615</v>
      </c>
      <c r="I210" s="934"/>
      <c r="J210" s="935"/>
      <c r="P210" s="930"/>
    </row>
    <row r="211" s="298" customFormat="1" ht="12.75" customHeight="1">
      <c r="B211" t="s" s="596">
        <f>A10</f>
        <v>616</v>
      </c>
      <c r="C211" s="597"/>
      <c r="D211" s="597"/>
      <c r="E211" s="598"/>
      <c r="F211" t="s" s="931">
        <f>IF('Termék'!C$24=B211,'Eredmények-1'!J$62,"")</f>
      </c>
      <c r="G211" s="932"/>
      <c r="H211" t="s" s="933">
        <f>IF('Adatlap'!$L$1="Magyar",CONCATENATE('Auswahldaten'!E114," ",'Fordítások'!C290),CONCATENATE('Auswahldaten'!E114," g/ l of cleaning solution"))</f>
        <v>617</v>
      </c>
      <c r="I211" s="934"/>
      <c r="J211" s="935"/>
      <c r="P211" s="930"/>
    </row>
    <row r="212" s="298" customFormat="1" ht="12.75" customHeight="1">
      <c r="B212" t="s" s="596">
        <f>A11</f>
        <v>618</v>
      </c>
      <c r="C212" s="597"/>
      <c r="D212" s="597"/>
      <c r="E212" s="598"/>
      <c r="F212" t="s" s="931">
        <f>IF('Termék'!C$24=B212,'Eredmények-1'!J$62,"")</f>
      </c>
      <c r="G212" s="932"/>
      <c r="H212" t="s" s="933">
        <f>IF('Adatlap'!$L$1="Magyar",CONCATENATE('Auswahldaten'!E115," g/1 l használatra készt termék"),CONCATENATE('Auswahldaten'!E115," g/ l of RTU product"))</f>
        <v>619</v>
      </c>
      <c r="I212" s="934"/>
      <c r="J212" s="935"/>
      <c r="P212" s="930"/>
    </row>
    <row r="213" s="298" customFormat="1" ht="12.75" customHeight="1">
      <c r="B213" t="s" s="596">
        <f>A12</f>
        <v>620</v>
      </c>
      <c r="C213" s="597"/>
      <c r="D213" s="597"/>
      <c r="E213" s="598"/>
      <c r="F213" t="s" s="931">
        <f>IF('Termék'!C$24=B213,'Eredmények-1'!J$62,"")</f>
      </c>
      <c r="G213" s="932"/>
      <c r="H213" t="s" s="933">
        <f>IF('Adatlap'!$L$1="Magyar",CONCATENATE('Auswahldaten'!E116," ",'Fordítások'!C290),CONCATENATE('Auswahldaten'!E116," g/ l of cleaning solution"))</f>
        <v>621</v>
      </c>
      <c r="I213" s="934"/>
      <c r="J213" s="935"/>
      <c r="P213" s="930"/>
    </row>
    <row r="214" s="298" customFormat="1" ht="12.75" customHeight="1">
      <c r="B214" t="s" s="596">
        <f>A13</f>
        <v>622</v>
      </c>
      <c r="C214" s="597"/>
      <c r="D214" s="597"/>
      <c r="E214" s="598"/>
      <c r="F214" t="s" s="931">
        <f>IF('Termék'!C$24=B214,'Eredmények-1'!J$62,"")</f>
      </c>
      <c r="G214" s="932"/>
      <c r="H214" t="s" s="933">
        <f>IF('Adatlap'!$L$1="Magyar",CONCATENATE('Auswahldaten'!E117," g/1 l használatra készt termék"),CONCATENATE('Auswahldaten'!E117," g/ l of RTU product"))</f>
        <v>623</v>
      </c>
      <c r="I214" s="934"/>
      <c r="J214" s="935"/>
      <c r="P214" s="930"/>
    </row>
    <row r="215" s="298" customFormat="1" ht="12.75" customHeight="1">
      <c r="B215" t="s" s="596">
        <f>A14</f>
        <v>624</v>
      </c>
      <c r="C215" s="597"/>
      <c r="D215" s="597"/>
      <c r="E215" s="598"/>
      <c r="F215" t="s" s="931">
        <f>IF('Termék'!C$24=B215,'Eredmények-1'!J$62,"")</f>
      </c>
      <c r="G215" s="932"/>
      <c r="H215" t="s" s="933">
        <f>IF('Adatlap'!$L$1="Magyar",CONCATENATE('Auswahldaten'!E118," ",'Fordítások'!C290),CONCATENATE('Auswahldaten'!E118," g/ l of cleaning solution"))</f>
        <v>625</v>
      </c>
      <c r="I215" s="934"/>
      <c r="J215" s="935"/>
      <c r="P215" s="930"/>
    </row>
    <row r="216" s="298" customFormat="1" ht="12.75" customHeight="1">
      <c r="B216" t="s" s="596">
        <f>A15</f>
        <v>626</v>
      </c>
      <c r="C216" s="597"/>
      <c r="D216" s="597"/>
      <c r="E216" s="598"/>
      <c r="F216" t="s" s="931">
        <f>IF('Termék'!C$24=B216,'Eredmények-1'!J$62,"")</f>
      </c>
      <c r="G216" s="932"/>
      <c r="H216" t="s" s="933">
        <f>IF('Adatlap'!$L$1="Magyar",CONCATENATE('Auswahldaten'!E119," g/1 l használatra készt termék"),CONCATENATE('Auswahldaten'!E119," g/ l of RTU product"))</f>
        <v>619</v>
      </c>
      <c r="I216" s="934"/>
      <c r="J216" s="935"/>
      <c r="P216" s="930"/>
    </row>
    <row r="217" s="298" customFormat="1" ht="12.75" customHeight="1">
      <c r="B217" t="s" s="596">
        <f>A16</f>
        <v>627</v>
      </c>
      <c r="C217" s="597"/>
      <c r="D217" s="597"/>
      <c r="E217" s="598"/>
      <c r="F217" t="s" s="931">
        <f>IF('Termék'!C$274=B217,'Eredmények-1'!J$62,"")</f>
      </c>
      <c r="G217" s="932"/>
      <c r="H217" t="s" s="933">
        <f>IF('Adatlap'!$L$1="Magyar",CONCATENATE('Auswahldaten'!E120," ",'Fordítások'!C290),CONCATENATE('Auswahldaten'!E120," g/ l of cleaning solution"))</f>
        <v>621</v>
      </c>
      <c r="I217" s="934"/>
      <c r="J217" s="935"/>
    </row>
    <row r="219" s="298" customFormat="1" ht="24.95" customHeight="1">
      <c r="B219" t="s" s="897">
        <v>628</v>
      </c>
      <c r="C219" t="s" s="758">
        <v>596</v>
      </c>
      <c r="L219" t="b" s="34">
        <v>0</v>
      </c>
      <c r="O219" s="827"/>
    </row>
    <row r="220" s="936" customFormat="1" ht="12.75" customHeight="1">
      <c r="B220" s="937"/>
      <c r="C220" s="494"/>
      <c r="F220" s="496"/>
      <c r="G220" s="29"/>
      <c r="H220" s="29"/>
      <c r="M220" s="497"/>
      <c r="N220" s="497"/>
      <c r="O220" s="497"/>
      <c r="P220" s="497"/>
      <c r="Q220" s="497"/>
      <c r="R220" s="497"/>
      <c r="S220" s="497"/>
      <c r="T220" s="497"/>
    </row>
    <row r="221" s="936" customFormat="1" ht="15.75" customHeight="1">
      <c r="A221" t="s" s="853">
        <f>A74</f>
        <v>629</v>
      </c>
      <c r="B221" t="s" s="864">
        <f>IF('Adatlap'!L1="Magyar",'Fordítások'!C446,'Fordítások'!B446)</f>
        <v>630</v>
      </c>
      <c r="C221" s="197"/>
      <c r="F221" s="496"/>
      <c r="G221" s="29"/>
      <c r="H221" s="29"/>
      <c r="M221" s="497"/>
      <c r="N221" s="497"/>
      <c r="O221" s="497"/>
      <c r="P221" s="497"/>
      <c r="Q221" s="497"/>
      <c r="R221" s="497"/>
      <c r="S221" s="497"/>
      <c r="T221" s="497"/>
    </row>
    <row r="222" s="936" customFormat="1" ht="12.75" customHeight="1">
      <c r="B222" s="937"/>
      <c r="C222" s="494"/>
      <c r="F222" s="496"/>
      <c r="G222" s="29"/>
      <c r="H222" s="29"/>
      <c r="M222" s="497"/>
      <c r="N222" s="497"/>
      <c r="O222" s="497"/>
      <c r="P222" s="497"/>
      <c r="Q222" s="497"/>
      <c r="R222" s="497"/>
      <c r="S222" s="497"/>
      <c r="T222" s="497"/>
    </row>
    <row r="223" s="936" customFormat="1" ht="12.75" customHeight="1">
      <c r="B223" t="s" s="916">
        <f>IF('Adatlap'!L1="Magyar",'Fordítások'!C447,'Fordítások'!B447)</f>
        <v>631</v>
      </c>
      <c r="C223" s="494"/>
      <c r="F223" s="496"/>
      <c r="G223" s="29"/>
      <c r="H223" s="29"/>
      <c r="M223" s="497"/>
      <c r="N223" s="497"/>
      <c r="O223" s="497"/>
      <c r="P223" s="497"/>
      <c r="Q223" s="497"/>
      <c r="R223" s="497"/>
      <c r="S223" s="497"/>
      <c r="T223" s="497"/>
    </row>
    <row r="225" s="298" customFormat="1" ht="24.95" customHeight="1">
      <c r="A225" t="s" s="777">
        <f>IF(L225=FALSE,IF('Adatlap'!$L$1="Magyar","Jelölje be!","Please, check!"),"")</f>
        <v>399</v>
      </c>
      <c r="B225" t="s" s="715">
        <f>IF('Adatlap'!$L$1="Magyar",'Fordítások'!C448,'Fordítások'!B448)</f>
        <v>632</v>
      </c>
      <c r="C225" s="109"/>
      <c r="D225" s="109"/>
      <c r="E225" s="109"/>
      <c r="F225" s="109"/>
      <c r="G225" s="109"/>
      <c r="H225" s="109"/>
      <c r="I225" s="109"/>
      <c r="J225" s="109"/>
      <c r="L225" t="b" s="34">
        <v>0</v>
      </c>
    </row>
    <row r="226" s="298" customFormat="1" ht="24.95" customHeight="1">
      <c r="A226" s="928"/>
      <c r="B226" s="109"/>
      <c r="C226" s="109"/>
      <c r="D226" s="109"/>
      <c r="E226" s="109"/>
      <c r="F226" s="109"/>
      <c r="G226" s="109"/>
      <c r="H226" s="109"/>
      <c r="I226" s="109"/>
      <c r="J226" s="109"/>
    </row>
    <row r="227" s="298" customFormat="1" ht="9.75" customHeight="1">
      <c r="A227" s="928"/>
      <c r="B227" s="109"/>
      <c r="C227" s="109"/>
      <c r="D227" s="109"/>
      <c r="E227" s="109"/>
      <c r="F227" s="30"/>
      <c r="G227" s="30"/>
      <c r="H227" s="30"/>
      <c r="I227" s="109"/>
      <c r="J227" s="109"/>
    </row>
    <row r="228" s="298" customFormat="1" ht="35.25" customHeight="1">
      <c r="B228" t="s" s="938">
        <f>IF('Adatlap'!L$1="Magyar",'Fordítások'!C501,'Fordítások'!B501)</f>
        <v>633</v>
      </c>
      <c r="C228" s="939"/>
      <c r="D228" s="939"/>
      <c r="E228" s="939"/>
      <c r="F228" s="939"/>
      <c r="G228" s="939"/>
      <c r="H228" s="939"/>
      <c r="I228" s="939"/>
      <c r="J228" s="939"/>
    </row>
    <row r="229" s="298" customFormat="1" ht="12.75" customHeight="1">
      <c r="B229" t="s" s="940">
        <f>IF('Adatlap'!L$1="Magyar",'Fordítások'!C449,'Fordítások'!B449)</f>
        <v>634</v>
      </c>
      <c r="C229" s="941"/>
      <c r="D229" s="941"/>
      <c r="E229" s="941"/>
      <c r="F229" s="941"/>
      <c r="G229" s="941"/>
      <c r="H229" s="941"/>
      <c r="I229" s="941"/>
      <c r="J229" s="942"/>
    </row>
    <row r="230" s="298" customFormat="1" ht="12.75" customHeight="1">
      <c r="B230" t="s" s="943">
        <f>IF('Adatlap'!L$1="Magyar",'Fordítások'!C450,'Fordítások'!B450)</f>
        <v>635</v>
      </c>
      <c r="C230" s="944"/>
      <c r="D230" s="944"/>
      <c r="E230" s="944"/>
      <c r="F230" t="s" s="943">
        <f>IF('Adatlap'!L$1="Magyar",'Fordítások'!C480,'Fordítások'!B480)</f>
        <v>636</v>
      </c>
      <c r="G230" s="944"/>
      <c r="H230" s="944"/>
      <c r="I230" s="944"/>
      <c r="J230" s="944"/>
    </row>
    <row r="231" s="298" customFormat="1" ht="12.75" customHeight="1">
      <c r="B231" t="s" s="945">
        <f>IF('Adatlap'!L$1="Magyar",'Fordítások'!C451,'Fordítások'!B451)</f>
        <v>637</v>
      </c>
      <c r="C231" s="946"/>
      <c r="D231" s="946"/>
      <c r="E231" s="946"/>
      <c r="F231" t="s" s="945">
        <f>IF('Adatlap'!L$1="Magyar",'Fordítások'!C481,'Fordítások'!B481)</f>
        <v>638</v>
      </c>
      <c r="G231" s="946"/>
      <c r="H231" s="946"/>
      <c r="I231" s="946"/>
      <c r="J231" s="946"/>
    </row>
    <row r="232" s="298" customFormat="1" ht="12.75" customHeight="1">
      <c r="B232" t="s" s="945">
        <f>IF('Adatlap'!L$1="Magyar",'Fordítások'!C452,'Fordítások'!B452)</f>
        <v>639</v>
      </c>
      <c r="C232" s="946"/>
      <c r="D232" s="946"/>
      <c r="E232" s="946"/>
      <c r="F232" t="s" s="945">
        <f>IF('Adatlap'!L$1="Magyar",'Fordítások'!C482,'Fordítások'!B482)</f>
        <v>640</v>
      </c>
      <c r="G232" s="946"/>
      <c r="H232" s="946"/>
      <c r="I232" s="946"/>
      <c r="J232" s="946"/>
    </row>
    <row r="233" s="298" customFormat="1" ht="12.75" customHeight="1">
      <c r="B233" t="s" s="945">
        <f>IF('Adatlap'!L$1="Magyar",'Fordítások'!C453,'Fordítások'!B453)</f>
        <v>641</v>
      </c>
      <c r="C233" s="946"/>
      <c r="D233" s="946"/>
      <c r="E233" s="946"/>
      <c r="F233" t="s" s="945">
        <f>IF('Adatlap'!L$1="Magyar",'Fordítások'!C483,'Fordítások'!B483)</f>
        <v>642</v>
      </c>
      <c r="G233" s="946"/>
      <c r="H233" s="946"/>
      <c r="I233" s="946"/>
      <c r="J233" s="946"/>
    </row>
    <row r="234" s="298" customFormat="1" ht="12.75" customHeight="1">
      <c r="B234" t="s" s="945">
        <f>IF('Adatlap'!L$1="Magyar",'Fordítások'!C454,'Fordítások'!B454)</f>
        <v>643</v>
      </c>
      <c r="C234" s="946"/>
      <c r="D234" s="946"/>
      <c r="E234" s="946"/>
      <c r="F234" t="s" s="945">
        <f>IF('Adatlap'!L$1="Magyar",'Fordítások'!C484,'Fordítások'!B484)</f>
        <v>644</v>
      </c>
      <c r="G234" s="946"/>
      <c r="H234" s="946"/>
      <c r="I234" s="946"/>
      <c r="J234" s="946"/>
    </row>
    <row r="235" s="298" customFormat="1" ht="12.75" customHeight="1">
      <c r="B235" t="s" s="940">
        <f>IF('Adatlap'!L$1="Magyar",'Fordítások'!C455,'Fordítások'!B455)</f>
        <v>645</v>
      </c>
      <c r="C235" s="941"/>
      <c r="D235" s="941"/>
      <c r="E235" s="941"/>
      <c r="F235" s="941"/>
      <c r="G235" s="941"/>
      <c r="H235" s="941"/>
      <c r="I235" s="941"/>
      <c r="J235" s="942"/>
    </row>
    <row r="236" s="298" customFormat="1" ht="12.75" customHeight="1">
      <c r="B236" t="s" s="943">
        <f>IF('Adatlap'!L$1="Magyar",'Fordítások'!C456,'Fordítások'!B456)</f>
        <v>646</v>
      </c>
      <c r="C236" s="944"/>
      <c r="D236" s="944"/>
      <c r="E236" s="944"/>
      <c r="F236" t="s" s="943">
        <f>IF('Adatlap'!L$1="Magyar",'Fordítások'!C485,'Fordítások'!B485)</f>
        <v>647</v>
      </c>
      <c r="G236" s="944"/>
      <c r="H236" s="944"/>
      <c r="I236" s="944"/>
      <c r="J236" s="944"/>
    </row>
    <row r="237" s="298" customFormat="1" ht="12.75" customHeight="1">
      <c r="B237" t="s" s="945">
        <f>IF('Adatlap'!L$1="Magyar",'Fordítások'!C457,'Fordítások'!B457)</f>
        <v>648</v>
      </c>
      <c r="C237" s="946"/>
      <c r="D237" s="946"/>
      <c r="E237" s="946"/>
      <c r="F237" t="s" s="945">
        <f>IF('Adatlap'!L$1="Magyar",'Fordítások'!C486,'Fordítások'!B486)</f>
        <v>649</v>
      </c>
      <c r="G237" s="946"/>
      <c r="H237" s="946"/>
      <c r="I237" s="946"/>
      <c r="J237" s="946"/>
    </row>
    <row r="238" s="298" customFormat="1" ht="25.5" customHeight="1">
      <c r="B238" t="s" s="945">
        <f>IF('Adatlap'!L$1="Magyar",'Fordítások'!C458,'Fordítások'!B458)</f>
        <v>650</v>
      </c>
      <c r="C238" s="946"/>
      <c r="D238" s="946"/>
      <c r="E238" s="946"/>
      <c r="F238" t="s" s="945">
        <f>IF('Adatlap'!L$1="Magyar",'Fordítások'!C487,'Fordítások'!B487)</f>
        <v>651</v>
      </c>
      <c r="G238" s="946"/>
      <c r="H238" s="946"/>
      <c r="I238" s="946"/>
      <c r="J238" s="946"/>
    </row>
    <row r="239" s="298" customFormat="1" ht="12.75" customHeight="1">
      <c r="B239" t="s" s="940">
        <f>IF('Adatlap'!L$1="Magyar",'Fordítások'!C459,'Fordítások'!B459)</f>
        <v>652</v>
      </c>
      <c r="C239" s="941"/>
      <c r="D239" s="941"/>
      <c r="E239" s="941"/>
      <c r="F239" s="941"/>
      <c r="G239" s="941"/>
      <c r="H239" s="941"/>
      <c r="I239" s="941"/>
      <c r="J239" s="942"/>
    </row>
    <row r="240" s="298" customFormat="1" ht="12.75" customHeight="1">
      <c r="B240" t="s" s="943">
        <f>IF('Adatlap'!L$1="Magyar",'Fordítások'!C460,'Fordítások'!B460)</f>
        <v>653</v>
      </c>
      <c r="C240" s="944"/>
      <c r="D240" s="944"/>
      <c r="E240" s="944"/>
      <c r="F240" t="s" s="943">
        <f>IF('Adatlap'!L$1="Magyar",'Fordítások'!C488,'Fordítások'!B488)</f>
        <v>654</v>
      </c>
      <c r="G240" s="944"/>
      <c r="H240" s="944"/>
      <c r="I240" s="944"/>
      <c r="J240" s="944"/>
    </row>
    <row r="241" s="298" customFormat="1" ht="12.75" customHeight="1">
      <c r="B241" t="s" s="945">
        <f>IF('Adatlap'!L$1="Magyar",'Fordítások'!C461,'Fordítások'!B461)</f>
        <v>655</v>
      </c>
      <c r="C241" s="946"/>
      <c r="D241" s="946"/>
      <c r="E241" s="946"/>
      <c r="F241" t="s" s="945">
        <f>IF('Adatlap'!L$1="Magyar",'Fordítások'!C489,'Fordítások'!B489)</f>
        <v>655</v>
      </c>
      <c r="G241" s="946"/>
      <c r="H241" s="946"/>
      <c r="I241" s="946"/>
      <c r="J241" s="946"/>
    </row>
    <row r="242" s="298" customFormat="1" ht="24.95" customHeight="1">
      <c r="B242" t="s" s="945">
        <f>IF('Adatlap'!L$1="Magyar",'Fordítások'!C462,'Fordítások'!B462)</f>
        <v>656</v>
      </c>
      <c r="C242" s="946"/>
      <c r="D242" s="946"/>
      <c r="E242" s="946"/>
      <c r="F242" t="s" s="945">
        <f>IF('Adatlap'!L$1="Magyar",'Fordítások'!C490,'Fordítások'!B490)</f>
        <v>656</v>
      </c>
      <c r="G242" s="946"/>
      <c r="H242" s="946"/>
      <c r="I242" s="946"/>
      <c r="J242" s="946"/>
    </row>
    <row r="243" s="298" customFormat="1" ht="12.75" customHeight="1">
      <c r="B243" t="s" s="940">
        <f>IF('Adatlap'!L$1="Magyar",'Fordítások'!C463,'Fordítások'!B463)</f>
        <v>657</v>
      </c>
      <c r="C243" s="941"/>
      <c r="D243" s="941"/>
      <c r="E243" s="941"/>
      <c r="F243" s="941"/>
      <c r="G243" s="941"/>
      <c r="H243" s="941"/>
      <c r="I243" s="941"/>
      <c r="J243" s="942"/>
    </row>
    <row r="244" s="298" customFormat="1" ht="12.75" customHeight="1">
      <c r="B244" t="s" s="943">
        <f>IF('Adatlap'!L$1="Magyar",'Fordítások'!C464,'Fordítások'!B464)</f>
        <v>658</v>
      </c>
      <c r="C244" s="944"/>
      <c r="D244" s="944"/>
      <c r="E244" s="944"/>
      <c r="F244" t="s" s="943">
        <f>IF('Adatlap'!L$1="Magyar",'Fordítások'!C491,'Fordítások'!B491)</f>
        <v>647</v>
      </c>
      <c r="G244" s="944"/>
      <c r="H244" s="944"/>
      <c r="I244" s="944"/>
      <c r="J244" s="944"/>
    </row>
    <row r="245" s="298" customFormat="1" ht="12.75" customHeight="1">
      <c r="B245" t="s" s="947">
        <f>IF('Adatlap'!L$1="Magyar",'Fordítások'!C465,'Fordítások'!B465)</f>
        <v>659</v>
      </c>
      <c r="C245" s="948"/>
      <c r="D245" s="948"/>
      <c r="E245" s="948"/>
      <c r="F245" t="s" s="947">
        <f>IF('Adatlap'!L$1="Magyar",'Fordítások'!C492,'Fordítások'!B492)</f>
        <v>660</v>
      </c>
      <c r="G245" s="948"/>
      <c r="H245" s="948"/>
      <c r="I245" s="948"/>
      <c r="J245" s="948"/>
    </row>
    <row r="246" s="298" customFormat="1" ht="12.75" customHeight="1">
      <c r="B246" t="s" s="947">
        <f>IF('Adatlap'!L$1="Magyar",'Fordítások'!C466,'Fordítások'!B466)</f>
        <v>661</v>
      </c>
      <c r="C246" s="948"/>
      <c r="D246" s="948"/>
      <c r="E246" s="948"/>
      <c r="F246" t="s" s="947">
        <f>IF('Adatlap'!L$1="Magyar",'Fordítások'!C493,'Fordítások'!B493)</f>
        <v>662</v>
      </c>
      <c r="G246" s="948"/>
      <c r="H246" s="948"/>
      <c r="I246" s="948"/>
      <c r="J246" s="948"/>
    </row>
    <row r="247" s="298" customFormat="1" ht="12.75" customHeight="1">
      <c r="B247" t="s" s="947">
        <f>IF('Adatlap'!L$1="Magyar",'Fordítások'!C467,'Fordítások'!B467)</f>
        <v>663</v>
      </c>
      <c r="C247" s="948"/>
      <c r="D247" s="948"/>
      <c r="E247" s="948"/>
      <c r="F247" s="948"/>
      <c r="G247" s="948"/>
      <c r="H247" s="948"/>
      <c r="I247" s="948"/>
      <c r="J247" s="948"/>
    </row>
    <row r="248" s="298" customFormat="1" ht="12.75" customHeight="1">
      <c r="B248" t="s" s="947">
        <f>IF('Adatlap'!L$1="Magyar",'Fordítások'!C468,'Fordítások'!B468)</f>
        <v>664</v>
      </c>
      <c r="C248" s="948"/>
      <c r="D248" s="948"/>
      <c r="E248" s="948"/>
      <c r="F248" t="s" s="947">
        <f>IF('Adatlap'!L$1="Magyar",'Fordítások'!C494,'Fordítások'!B494)</f>
        <v>665</v>
      </c>
      <c r="G248" s="948"/>
      <c r="H248" s="948"/>
      <c r="I248" s="948"/>
      <c r="J248" s="948"/>
    </row>
    <row r="249" s="298" customFormat="1" ht="12.75" customHeight="1">
      <c r="B249" t="s" s="947">
        <f>IF('Adatlap'!L$1="Magyar",'Fordítások'!C469,'Fordítások'!B469)</f>
        <v>666</v>
      </c>
      <c r="C249" s="948"/>
      <c r="D249" s="948"/>
      <c r="E249" s="948"/>
      <c r="F249" t="s" s="947">
        <f>IF('Adatlap'!L$1="Magyar",'Fordítások'!C495,'Fordítások'!B495)</f>
        <v>667</v>
      </c>
      <c r="G249" s="948"/>
      <c r="H249" s="948"/>
      <c r="I249" s="948"/>
      <c r="J249" s="948"/>
    </row>
    <row r="250" s="298" customFormat="1" ht="24.95" customHeight="1">
      <c r="B250" t="s" s="947">
        <f>IF('Adatlap'!L$1="Magyar",'Fordítások'!C470,'Fordítások'!B470)</f>
        <v>668</v>
      </c>
      <c r="C250" s="948"/>
      <c r="D250" s="948"/>
      <c r="E250" s="948"/>
      <c r="F250" t="s" s="947">
        <f>IF('Adatlap'!L$1="Magyar",'Fordítások'!C496,'Fordítások'!B496)</f>
        <v>669</v>
      </c>
      <c r="G250" s="948"/>
      <c r="H250" s="948"/>
      <c r="I250" s="948"/>
      <c r="J250" s="948"/>
    </row>
    <row r="251" s="298" customFormat="1" ht="24.95" customHeight="1">
      <c r="B251" t="s" s="947">
        <f>IF('Adatlap'!L$1="Magyar",'Fordítások'!C471,'Fordítások'!B471)</f>
        <v>670</v>
      </c>
      <c r="C251" s="948"/>
      <c r="D251" s="948"/>
      <c r="E251" s="948"/>
      <c r="F251" t="s" s="947">
        <f>IF('Adatlap'!L$1="Magyar",'Fordítások'!C497,'Fordítások'!B497)</f>
        <v>671</v>
      </c>
      <c r="G251" s="948"/>
      <c r="H251" s="948"/>
      <c r="I251" s="948"/>
      <c r="J251" s="948"/>
    </row>
    <row r="252" s="298" customFormat="1" ht="24.95" customHeight="1">
      <c r="B252" t="s" s="947">
        <f>IF('Adatlap'!L$1="Magyar",'Fordítások'!C472,'Fordítások'!B472)</f>
        <v>672</v>
      </c>
      <c r="C252" s="948"/>
      <c r="D252" s="948"/>
      <c r="E252" s="948"/>
      <c r="F252" s="946"/>
      <c r="G252" s="946"/>
      <c r="H252" s="946"/>
      <c r="I252" s="946"/>
      <c r="J252" s="946"/>
    </row>
    <row r="253" s="298" customFormat="1" ht="12.75" customHeight="1">
      <c r="B253" t="s" s="940">
        <f>IF('Adatlap'!L$1="Magyar",'Fordítások'!C473,'Fordítások'!B473)</f>
        <v>673</v>
      </c>
      <c r="C253" s="941"/>
      <c r="D253" s="941"/>
      <c r="E253" s="941"/>
      <c r="F253" s="941"/>
      <c r="G253" s="941"/>
      <c r="H253" s="941"/>
      <c r="I253" s="941"/>
      <c r="J253" s="942"/>
    </row>
    <row r="254" s="298" customFormat="1" ht="12.75" customHeight="1">
      <c r="B254" t="s" s="943">
        <f>IF('Adatlap'!L$1="Magyar",'Fordítások'!C474,'Fordítások'!B474)</f>
        <v>635</v>
      </c>
      <c r="C254" s="944"/>
      <c r="D254" s="944"/>
      <c r="E254" s="944"/>
      <c r="F254" t="s" s="943">
        <f>IF('Adatlap'!L$1="Magyar",'Fordítások'!C498,'Fordítások'!B498)</f>
        <v>674</v>
      </c>
      <c r="G254" s="944"/>
      <c r="H254" s="944"/>
      <c r="I254" s="944"/>
      <c r="J254" s="944"/>
    </row>
    <row r="255" s="298" customFormat="1" ht="12.75" customHeight="1">
      <c r="B255" t="s" s="945">
        <f>IF('Adatlap'!L$1="Magyar",'Fordítások'!C475,'Fordítások'!B475)</f>
        <v>675</v>
      </c>
      <c r="C255" s="946"/>
      <c r="D255" s="946"/>
      <c r="E255" s="946"/>
      <c r="F255" t="s" s="945">
        <f>IF('Adatlap'!L$1="Magyar",'Fordítások'!C499,'Fordítások'!B499)</f>
        <v>676</v>
      </c>
      <c r="G255" s="946"/>
      <c r="H255" s="946"/>
      <c r="I255" s="946"/>
      <c r="J255" s="946"/>
    </row>
    <row r="256" s="298" customFormat="1" ht="24.95" customHeight="1">
      <c r="B256" t="s" s="945">
        <f>IF('Adatlap'!L$1="Magyar",'Fordítások'!C476,'Fordítások'!B476)</f>
        <v>677</v>
      </c>
      <c r="C256" s="946"/>
      <c r="D256" s="946"/>
      <c r="E256" s="946"/>
      <c r="F256" t="s" s="945">
        <f>IF('Adatlap'!L$1="Magyar",'Fordítások'!C500,'Fordítások'!B500)</f>
        <v>678</v>
      </c>
      <c r="G256" s="946"/>
      <c r="H256" s="946"/>
      <c r="I256" s="946"/>
      <c r="J256" s="946"/>
    </row>
    <row r="257" s="298" customFormat="1" ht="12.75" customHeight="1">
      <c r="B257" t="s" s="945">
        <f>IF('Adatlap'!L$1="Magyar",'Fordítások'!C477,'Fordítások'!B477)</f>
        <v>679</v>
      </c>
      <c r="C257" s="946"/>
      <c r="D257" s="946"/>
      <c r="E257" s="946"/>
      <c r="F257" s="946"/>
      <c r="G257" s="946"/>
      <c r="H257" s="946"/>
      <c r="I257" s="946"/>
      <c r="J257" s="946"/>
    </row>
    <row r="258" s="298" customFormat="1" ht="12.75" customHeight="1">
      <c r="B258" t="s" s="940">
        <f>IF('Adatlap'!L$1="Magyar",'Fordítások'!C478,'Fordítások'!B478)</f>
        <v>680</v>
      </c>
      <c r="C258" s="941"/>
      <c r="D258" s="941"/>
      <c r="E258" s="941"/>
      <c r="F258" s="941"/>
      <c r="G258" s="941"/>
      <c r="H258" s="941"/>
      <c r="I258" s="941"/>
      <c r="J258" s="942"/>
    </row>
    <row r="259" s="298" customFormat="1" ht="12.75" customHeight="1">
      <c r="B259" t="s" s="945">
        <f>IF('Adatlap'!L$1="Magyar",'Fordítások'!C479,'Fordítások'!B479)</f>
        <v>681</v>
      </c>
      <c r="C259" s="946"/>
      <c r="D259" s="946"/>
      <c r="E259" s="946"/>
      <c r="F259" s="946"/>
      <c r="G259" s="946"/>
      <c r="H259" s="946"/>
      <c r="I259" s="946"/>
      <c r="J259" s="946"/>
    </row>
    <row r="260" s="298" customFormat="1" ht="12.75" customHeight="1">
      <c r="E260" s="949"/>
      <c r="F260" s="949"/>
      <c r="G260" s="950"/>
    </row>
    <row r="261" s="298" customFormat="1" ht="12.75" customHeight="1">
      <c r="B261" t="s" s="916">
        <f>IF('Adatlap'!L$1="Magyar",'Fordítások'!C502,'Fordítások'!B502)</f>
        <v>682</v>
      </c>
      <c r="E261" s="951"/>
      <c r="F261" s="951"/>
      <c r="G261" s="952"/>
    </row>
    <row r="262" s="298" customFormat="1" ht="12.75" customHeight="1">
      <c r="B262" s="953"/>
      <c r="E262" s="951"/>
      <c r="F262" s="951"/>
      <c r="G262" s="952"/>
    </row>
    <row r="263" s="298" customFormat="1" ht="24.95" customHeight="1">
      <c r="A263" t="s" s="777">
        <f>IF(L263=FALSE,IF('Adatlap'!$L$1="Magyar","Jelölje be!","Please, check!"),"")</f>
        <v>399</v>
      </c>
      <c r="B263" t="s" s="710">
        <f>IF('Adatlap'!$L$1="Magyar",'Fordítások'!C503,'Fordítások'!B503)</f>
        <v>683</v>
      </c>
      <c r="C263" s="96"/>
      <c r="D263" s="96"/>
      <c r="E263" s="96"/>
      <c r="F263" s="96"/>
      <c r="G263" s="96"/>
      <c r="H263" s="96"/>
      <c r="I263" s="96"/>
      <c r="J263" s="96"/>
      <c r="L263" t="b" s="34">
        <v>0</v>
      </c>
    </row>
    <row r="264" s="298" customFormat="1" ht="42" customHeight="1">
      <c r="A264" s="928"/>
      <c r="B264" s="96"/>
      <c r="C264" s="96"/>
      <c r="D264" s="96"/>
      <c r="E264" s="96"/>
      <c r="F264" s="96"/>
      <c r="G264" s="96"/>
      <c r="H264" s="96"/>
      <c r="I264" s="96"/>
      <c r="J264" s="96"/>
    </row>
    <row r="265" s="298" customFormat="1" ht="12.75" customHeight="1">
      <c r="B265" s="953"/>
      <c r="E265" s="951"/>
      <c r="F265" s="951"/>
      <c r="G265" s="952"/>
    </row>
    <row r="266" s="298" customFormat="1" ht="24.95" customHeight="1">
      <c r="B266" t="s" s="897">
        <f>IF(L266=FALSE,IF('Adatlap'!$L$1="Magyar","Jelölje be!","Please, check!"),"")</f>
        <v>399</v>
      </c>
      <c r="C266" t="s" s="710">
        <f>IF('Adatlap'!$L$1="Magyar",'Fordítások'!C504,'Fordítások'!B504)</f>
        <v>684</v>
      </c>
      <c r="D266" s="96"/>
      <c r="E266" s="96"/>
      <c r="F266" s="96"/>
      <c r="G266" s="96"/>
      <c r="H266" s="96"/>
      <c r="I266" s="96"/>
      <c r="J266" s="96"/>
      <c r="K266" s="850"/>
      <c r="L266" t="b" s="34">
        <v>0</v>
      </c>
    </row>
    <row r="267" s="298" customFormat="1" ht="62.25" customHeight="1">
      <c r="C267" s="96"/>
      <c r="D267" s="96"/>
      <c r="E267" s="96"/>
      <c r="F267" s="96"/>
      <c r="G267" s="96"/>
      <c r="H267" s="96"/>
      <c r="I267" s="96"/>
      <c r="J267" s="96"/>
      <c r="K267" s="850"/>
    </row>
    <row r="268" s="298" customFormat="1" ht="24.95" customHeight="1">
      <c r="A268" t="s" s="777">
        <f>IF(AND(SUM('Alapanyagok'!AJ63:AN63)&gt;0,L268=FALSE),IF('Adatlap'!$L$1="Magyar","Jelölje be!","Please, check!"),"")</f>
      </c>
      <c r="B268" t="s" s="710">
        <f>IF('Adatlap'!$L$1="Magyar",'Fordítások'!C505,'Fordítások'!B505)</f>
        <v>685</v>
      </c>
      <c r="C268" s="96"/>
      <c r="D268" s="96"/>
      <c r="E268" s="96"/>
      <c r="F268" s="96"/>
      <c r="G268" s="96"/>
      <c r="H268" s="96"/>
      <c r="I268" s="96"/>
      <c r="J268" s="96"/>
      <c r="L268" t="b" s="34">
        <v>0</v>
      </c>
      <c r="O268" t="s" s="33">
        <v>686</v>
      </c>
    </row>
    <row r="269" s="298" customFormat="1" ht="12.75" customHeight="1">
      <c r="A269" s="928"/>
      <c r="B269" s="96"/>
      <c r="C269" s="96"/>
      <c r="D269" s="96"/>
      <c r="E269" s="96"/>
      <c r="F269" s="96"/>
      <c r="G269" s="96"/>
      <c r="H269" s="96"/>
      <c r="I269" s="96"/>
      <c r="J269" s="96"/>
    </row>
    <row r="271" s="298" customFormat="1" ht="24.95" customHeight="1">
      <c r="A271" t="s" s="777">
        <f>IF(AND(L271=FALSE,L268=TRUE),IF('Adatlap'!$L$1="Magyar","Jelölje be!","Please, check!"),"")</f>
      </c>
      <c r="B271" t="s" s="710">
        <f>IF('Adatlap'!$L$1="Magyar",'Fordítások'!C506,'Fordítások'!B506)</f>
        <v>687</v>
      </c>
      <c r="C271" s="96"/>
      <c r="D271" s="96"/>
      <c r="E271" s="96"/>
      <c r="F271" s="96"/>
      <c r="G271" s="96"/>
      <c r="H271" s="96"/>
      <c r="I271" s="96"/>
      <c r="J271" s="96"/>
      <c r="L271" t="b" s="34">
        <v>0</v>
      </c>
      <c r="O271" t="s" s="33">
        <v>688</v>
      </c>
    </row>
    <row r="273" s="298" customFormat="1" ht="39" customHeight="1">
      <c r="A273" t="s" s="954">
        <f>IF('Adatlap'!$L$1="Magyar",'Fordítások'!C42,'Fordítások'!B42)</f>
        <v>689</v>
      </c>
      <c r="B273" s="955"/>
      <c r="C273" t="s" s="956">
        <f>IF('Adatlap'!$L$1="Magyar",'Fordítások'!C21,'Fordítások'!B21)</f>
        <v>141</v>
      </c>
      <c r="D273" s="955"/>
      <c r="E273" s="955"/>
      <c r="F273" s="955"/>
      <c r="G273" t="s" s="954">
        <f>IF('Adatlap'!$L$1="Magyar","Az anyag neve","Name of the substance")</f>
        <v>690</v>
      </c>
      <c r="H273" s="955"/>
      <c r="I273" t="s" s="956">
        <f>IF('Adatlap'!$L$1="Magyar","Koncentráció a késztermékben (% m/m)","Concentration in the final product (% weight by weight)")</f>
        <v>691</v>
      </c>
      <c r="J273" s="957"/>
    </row>
    <row r="274" s="298" customFormat="1" ht="13.65" customHeight="1">
      <c r="A274" t="s" s="958">
        <f>IF('Adatlap'!$L$1="Magyar","Felületaktív anyagok","Surfactants")</f>
        <v>692</v>
      </c>
      <c r="B274" s="959"/>
      <c r="C274" t="s" s="958">
        <f>B255</f>
        <v>693</v>
      </c>
      <c r="D274" s="960"/>
      <c r="E274" s="960"/>
      <c r="F274" s="959"/>
      <c r="G274" s="961"/>
      <c r="H274" s="961"/>
      <c r="I274" s="962">
        <f>VLOOKUP(G274,'Alapanyagok'!$B$13:$I$61,8)</f>
      </c>
      <c r="J274" s="962"/>
      <c r="O274" t="s" s="33">
        <v>694</v>
      </c>
    </row>
    <row r="275" s="298" customFormat="1" ht="12.75" customHeight="1">
      <c r="A275" s="963"/>
      <c r="B275" s="964"/>
      <c r="C275" s="965"/>
      <c r="D275" s="965"/>
      <c r="E275" s="965"/>
      <c r="F275" s="965"/>
      <c r="G275" s="961"/>
      <c r="H275" s="961"/>
      <c r="I275" s="962">
        <f>VLOOKUP(G275,'Alapanyagok'!$B$13:$I$61,8)</f>
      </c>
      <c r="J275" s="962"/>
      <c r="O275" s="34">
        <f>'Alapanyagok'!AR63</f>
        <v>0</v>
      </c>
    </row>
    <row r="276" s="298" customFormat="1" ht="12.75" customHeight="1">
      <c r="A276" s="963"/>
      <c r="B276" s="964"/>
      <c r="C276" s="966"/>
      <c r="D276" s="966"/>
      <c r="E276" s="966"/>
      <c r="F276" s="966"/>
      <c r="G276" s="961"/>
      <c r="H276" s="961"/>
      <c r="I276" s="962">
        <f>VLOOKUP(G276,'Alapanyagok'!$B$13:$I$61,8)</f>
      </c>
      <c r="J276" s="962"/>
    </row>
    <row r="277" s="298" customFormat="1" ht="13.65" customHeight="1">
      <c r="A277" s="963"/>
      <c r="B277" s="964"/>
      <c r="C277" t="s" s="958">
        <f>F255</f>
        <v>695</v>
      </c>
      <c r="D277" s="960"/>
      <c r="E277" s="960"/>
      <c r="F277" s="959"/>
      <c r="G277" s="961"/>
      <c r="H277" s="961"/>
      <c r="I277" s="962">
        <f>VLOOKUP(G277,'Alapanyagok'!$B$13:$I$61,8)</f>
      </c>
      <c r="J277" s="962"/>
    </row>
    <row r="278" s="298" customFormat="1" ht="12.75" customHeight="1">
      <c r="A278" s="967"/>
      <c r="B278" s="967"/>
      <c r="C278" s="968"/>
      <c r="D278" s="969"/>
      <c r="E278" s="969"/>
      <c r="F278" s="970"/>
      <c r="G278" s="961"/>
      <c r="H278" s="961"/>
      <c r="I278" s="962">
        <f>VLOOKUP(G278,'Alapanyagok'!$B$13:$I$61,8)</f>
      </c>
      <c r="J278" s="962"/>
      <c r="O278" t="s" s="33">
        <v>696</v>
      </c>
    </row>
    <row r="279" s="298" customFormat="1" ht="12.75" customHeight="1">
      <c r="A279" s="971"/>
      <c r="B279" s="971"/>
      <c r="C279" s="972"/>
      <c r="D279" s="973"/>
      <c r="E279" s="973"/>
      <c r="F279" s="974"/>
      <c r="G279" s="961"/>
      <c r="H279" s="961"/>
      <c r="I279" s="962">
        <f>VLOOKUP(G279,'Alapanyagok'!$B$13:$I$61,8)</f>
      </c>
      <c r="J279" s="962"/>
      <c r="O279" s="34">
        <f>COUNTA(G274:H291)</f>
        <v>0</v>
      </c>
    </row>
    <row r="280" s="298" customFormat="1" ht="13.65" customHeight="1">
      <c r="A280" t="s" s="975">
        <f>IF('Adatlap'!$L$1="Magyar","Szubtilizin","Subtilisin")</f>
        <v>697</v>
      </c>
      <c r="B280" s="976"/>
      <c r="C280" t="s" s="958">
        <f>C274</f>
        <v>693</v>
      </c>
      <c r="D280" s="960"/>
      <c r="E280" s="960"/>
      <c r="F280" s="959"/>
      <c r="G280" s="961"/>
      <c r="H280" s="961"/>
      <c r="I280" s="962">
        <f>VLOOKUP(G280,'Alapanyagok'!$B$13:$I$61,8)</f>
      </c>
      <c r="J280" s="962"/>
    </row>
    <row r="281" s="298" customFormat="1" ht="12.75" customHeight="1">
      <c r="A281" s="977"/>
      <c r="B281" s="977"/>
      <c r="C281" s="968"/>
      <c r="D281" s="969"/>
      <c r="E281" s="969"/>
      <c r="F281" s="970"/>
      <c r="G281" s="961"/>
      <c r="H281" s="961"/>
      <c r="I281" s="962">
        <f>VLOOKUP(G281,'Alapanyagok'!$B$13:$I$61,8)</f>
      </c>
      <c r="J281" s="962"/>
    </row>
    <row r="282" s="298" customFormat="1" ht="12.75" customHeight="1">
      <c r="A282" s="977"/>
      <c r="B282" s="977"/>
      <c r="C282" s="972"/>
      <c r="D282" s="973"/>
      <c r="E282" s="973"/>
      <c r="F282" s="974"/>
      <c r="G282" s="961"/>
      <c r="H282" s="961"/>
      <c r="I282" s="962">
        <f>VLOOKUP(G282,'Alapanyagok'!$B$13:$I$61,8)</f>
      </c>
      <c r="J282" s="962"/>
    </row>
    <row r="283" s="298" customFormat="1" ht="13.65" customHeight="1">
      <c r="A283" s="977"/>
      <c r="B283" s="977"/>
      <c r="C283" t="s" s="958">
        <f>C277</f>
        <v>695</v>
      </c>
      <c r="D283" s="960"/>
      <c r="E283" s="960"/>
      <c r="F283" s="959"/>
      <c r="G283" s="961"/>
      <c r="H283" s="961"/>
      <c r="I283" s="962">
        <f>VLOOKUP(G283,'Alapanyagok'!$B$13:$I$61,8)</f>
      </c>
      <c r="J283" s="962"/>
    </row>
    <row r="284" s="298" customFormat="1" ht="12.75" customHeight="1">
      <c r="A284" s="977"/>
      <c r="B284" s="977"/>
      <c r="C284" s="968"/>
      <c r="D284" s="969"/>
      <c r="E284" s="969"/>
      <c r="F284" s="970"/>
      <c r="G284" s="961"/>
      <c r="H284" s="961"/>
      <c r="I284" s="962">
        <f>VLOOKUP(G284,'Alapanyagok'!$B$13:$I$61,8)</f>
      </c>
      <c r="J284" s="962"/>
    </row>
    <row r="285" s="298" customFormat="1" ht="12.75" customHeight="1">
      <c r="A285" s="971"/>
      <c r="B285" s="971"/>
      <c r="C285" s="972"/>
      <c r="D285" s="973"/>
      <c r="E285" s="973"/>
      <c r="F285" s="974"/>
      <c r="G285" s="961"/>
      <c r="H285" s="961"/>
      <c r="I285" s="962">
        <f>VLOOKUP(G285,'Alapanyagok'!$B$13:$I$61,8)</f>
      </c>
      <c r="J285" s="962"/>
    </row>
    <row r="286" s="298" customFormat="1" ht="13.65" customHeight="1">
      <c r="A286" t="s" s="958">
        <f>IF('Adatlap'!$L$1="Magyar","Enzimek (**)","Enzymes (**)")</f>
        <v>698</v>
      </c>
      <c r="B286" s="959"/>
      <c r="C286" t="s" s="958">
        <f>B241</f>
        <v>699</v>
      </c>
      <c r="D286" s="960"/>
      <c r="E286" s="960"/>
      <c r="F286" s="959"/>
      <c r="G286" s="978"/>
      <c r="H286" s="979"/>
      <c r="I286" s="962">
        <f>VLOOKUP(G286,'Alapanyagok'!$B$13:$I$61,8)</f>
      </c>
      <c r="J286" s="962"/>
    </row>
    <row r="287" s="298" customFormat="1" ht="12.75" customHeight="1">
      <c r="A287" s="968"/>
      <c r="B287" s="970"/>
      <c r="C287" s="980"/>
      <c r="D287" s="981"/>
      <c r="E287" s="981"/>
      <c r="F287" s="982"/>
      <c r="G287" s="978"/>
      <c r="H287" s="979"/>
      <c r="I287" s="962">
        <f>VLOOKUP(G287,'Alapanyagok'!$B$13:$I$61,8)</f>
      </c>
      <c r="J287" s="962"/>
    </row>
    <row r="288" s="298" customFormat="1" ht="12.75" customHeight="1">
      <c r="A288" s="968"/>
      <c r="B288" s="970"/>
      <c r="C288" s="983"/>
      <c r="D288" s="984"/>
      <c r="E288" s="984"/>
      <c r="F288" s="985"/>
      <c r="G288" s="978"/>
      <c r="H288" s="979"/>
      <c r="I288" s="962">
        <f>VLOOKUP(G288,'Alapanyagok'!$B$13:$I$61,8)</f>
      </c>
      <c r="J288" s="962"/>
    </row>
    <row r="289" s="298" customFormat="1" ht="13.65" customHeight="1">
      <c r="A289" s="968"/>
      <c r="B289" s="970"/>
      <c r="C289" t="s" s="986">
        <f>B242</f>
        <v>700</v>
      </c>
      <c r="D289" s="987"/>
      <c r="E289" s="987"/>
      <c r="F289" s="988"/>
      <c r="G289" s="989"/>
      <c r="H289" s="989"/>
      <c r="I289" s="962">
        <f>VLOOKUP(G289,'Alapanyagok'!$B$13:$I$61,8)</f>
      </c>
      <c r="J289" s="962"/>
    </row>
    <row r="290" s="298" customFormat="1" ht="12.75" customHeight="1">
      <c r="A290" s="972"/>
      <c r="B290" s="974"/>
      <c r="C290" s="990"/>
      <c r="D290" s="991"/>
      <c r="E290" s="991"/>
      <c r="F290" s="992"/>
      <c r="G290" s="989"/>
      <c r="H290" s="989"/>
      <c r="I290" s="962">
        <f>VLOOKUP(G290,'Alapanyagok'!$B$13:$I$61,8)</f>
      </c>
      <c r="J290" s="962"/>
    </row>
    <row r="291" s="298" customFormat="1" ht="48.75" customHeight="1">
      <c r="A291" t="s" s="993">
        <f>IF('Adatlap'!$L$1="Magyar",'Fordítások'!C507,'Fordítások'!B507)</f>
        <v>701</v>
      </c>
      <c r="B291" s="994"/>
      <c r="C291" t="s" s="995">
        <f>F246</f>
        <v>702</v>
      </c>
      <c r="D291" s="996"/>
      <c r="E291" s="996"/>
      <c r="F291" s="996"/>
      <c r="G291" s="811"/>
      <c r="H291" s="811"/>
      <c r="I291" s="962">
        <f>VLOOKUP(G291,'Alapanyagok'!$B$13:$I$61,8)</f>
      </c>
      <c r="J291" s="962"/>
    </row>
    <row r="292" s="857" customFormat="1" ht="36" customHeight="1">
      <c r="A292" s="997">
        <f>N292&amp;CHAR(10)&amp;N293</f>
      </c>
      <c r="B292" s="744"/>
      <c r="C292" s="744"/>
      <c r="D292" s="744"/>
      <c r="E292" s="744"/>
      <c r="F292" s="744"/>
      <c r="G292" s="744"/>
      <c r="H292" s="744"/>
      <c r="I292" s="744"/>
      <c r="J292" s="744"/>
      <c r="L292" t="b" s="34">
        <v>0</v>
      </c>
      <c r="M292" s="497"/>
      <c r="N292" t="s" s="698">
        <f>IF('Adatlap'!$L$1="Magyar",'Fordítások'!C508,'Fordítások'!B508)</f>
        <v>703</v>
      </c>
      <c r="O292" s="497"/>
      <c r="P292" s="497"/>
      <c r="Q292" s="497"/>
      <c r="R292" s="497"/>
      <c r="S292" s="497"/>
      <c r="T292" s="497"/>
    </row>
    <row r="293" s="857" customFormat="1" ht="50.25" customHeight="1">
      <c r="C293" t="s" s="900">
        <f>IF('Adatlap'!$L$1="Magyar",'Fordítások'!C510,'Fordítások'!B510)</f>
        <v>704</v>
      </c>
      <c r="D293" s="153"/>
      <c r="E293" s="153"/>
      <c r="F293" s="153"/>
      <c r="G293" s="153"/>
      <c r="H293" s="153"/>
      <c r="I293" s="153"/>
      <c r="J293" s="153"/>
      <c r="M293" s="497"/>
      <c r="N293" t="s" s="698">
        <f>IF('Adatlap'!$L$1="Magyar",'Fordítások'!C509,'Fordítások'!B509)</f>
        <v>705</v>
      </c>
      <c r="O293" s="497"/>
      <c r="P293" s="497"/>
      <c r="Q293" s="497"/>
      <c r="R293" s="497"/>
      <c r="S293" s="497"/>
      <c r="T293" s="497"/>
    </row>
    <row r="294" s="298" customFormat="1" ht="26.25" customHeight="1">
      <c r="A294" t="s" s="853">
        <f>IF('Adatlap'!L1="Magyar","c)","(c)")</f>
        <v>706</v>
      </c>
      <c r="B294" t="s" s="998">
        <f>IF('Adatlap'!$L$1="Magyar",'Fordítások'!C511,'Fordítások'!B511)</f>
        <v>707</v>
      </c>
      <c r="C294" s="999"/>
      <c r="D294" s="999"/>
      <c r="E294" s="999"/>
      <c r="F294" s="999"/>
      <c r="G294" s="999"/>
      <c r="H294" s="999"/>
      <c r="I294" s="999"/>
      <c r="J294" s="999"/>
    </row>
    <row r="296" s="298" customFormat="1" ht="24.95" customHeight="1">
      <c r="A296" t="s" s="777">
        <f>IF(L296=FALSE,IF('Adatlap'!$L$1="Magyar","Jelölje be!","Please, check!"),"")</f>
        <v>399</v>
      </c>
      <c r="B296" t="s" s="715">
        <f>IF('Adatlap'!$L$1="Magyar",'Fordítások'!C512,'Fordítások'!B512)</f>
        <v>708</v>
      </c>
      <c r="C296" s="109"/>
      <c r="D296" s="109"/>
      <c r="E296" s="109"/>
      <c r="F296" s="109"/>
      <c r="G296" s="109"/>
      <c r="H296" s="109"/>
      <c r="I296" s="109"/>
      <c r="J296" s="109"/>
      <c r="L296" t="b" s="34">
        <v>0</v>
      </c>
    </row>
    <row r="297" s="298" customFormat="1" ht="12.75" customHeight="1">
      <c r="B297" s="109"/>
      <c r="C297" s="109"/>
      <c r="D297" s="109"/>
      <c r="E297" s="109"/>
      <c r="F297" s="109"/>
      <c r="G297" s="109"/>
      <c r="H297" s="109"/>
      <c r="I297" s="109"/>
      <c r="J297" s="109"/>
    </row>
    <row r="299" s="298" customFormat="1" ht="24.95" customHeight="1">
      <c r="A299" t="s" s="777">
        <f>IF(L299=FALSE,IF('Adatlap'!$L$1="Magyar","Jelölje be!","Please, check!"),"")</f>
        <v>399</v>
      </c>
      <c r="B299" t="s" s="715">
        <f>IF('Adatlap'!$L$1="Magyar",'Fordítások'!C513,'Fordítások'!B513)</f>
        <v>709</v>
      </c>
      <c r="C299" s="109"/>
      <c r="D299" s="109"/>
      <c r="E299" s="109"/>
      <c r="F299" s="109"/>
      <c r="G299" s="109"/>
      <c r="H299" s="109"/>
      <c r="I299" s="109"/>
      <c r="J299" s="109"/>
      <c r="L299" t="b" s="34">
        <v>0</v>
      </c>
    </row>
    <row r="301" s="298" customFormat="1" ht="24.95" customHeight="1">
      <c r="A301" t="s" s="777">
        <f>IF(L301=FALSE,IF('Adatlap'!$L$1="Magyar","Jelölje be!","Please, check!"),"")</f>
        <v>399</v>
      </c>
      <c r="B301" t="s" s="715">
        <f>IF('Adatlap'!$L$1="Magyar",'Fordítások'!C514,'Fordítások'!B514)</f>
        <v>710</v>
      </c>
      <c r="C301" s="109"/>
      <c r="D301" s="109"/>
      <c r="E301" s="109"/>
      <c r="F301" s="109"/>
      <c r="G301" s="109"/>
      <c r="H301" s="109"/>
      <c r="I301" s="109"/>
      <c r="J301" s="109"/>
      <c r="L301" t="b" s="34">
        <v>0</v>
      </c>
    </row>
    <row r="303" s="298" customFormat="1" ht="13.65" customHeight="1">
      <c r="A303" t="s" s="853">
        <f>IF('Adatlap'!L1="Magyar","d)","(d)")</f>
        <v>711</v>
      </c>
      <c r="B303" t="s" s="864">
        <f>IF('Adatlap'!$L$1="Magyar",CONCATENATE('Fordítások'!C63,"ok"),'Fordítások'!B63)</f>
        <v>191</v>
      </c>
      <c r="D303" t="s" s="1000">
        <f>IF('Összetétel'!P13='Alapanyagok'!AO12,"",IF('Adatlap'!L1="Magyar",'Fordítások'!C520,'Fordítások'!B520))</f>
      </c>
      <c r="E303" s="1001"/>
      <c r="F303" s="1001"/>
      <c r="G303" s="1001"/>
      <c r="H303" s="1001"/>
      <c r="I303" s="1001"/>
      <c r="J303" s="1001"/>
    </row>
    <row r="304" s="298" customFormat="1" ht="12.75" customHeight="1">
      <c r="D304" s="1001"/>
      <c r="E304" s="1001"/>
      <c r="F304" s="1001"/>
      <c r="G304" s="1001"/>
      <c r="H304" s="1001"/>
      <c r="I304" s="1001"/>
      <c r="J304" s="1001"/>
    </row>
    <row r="305" s="298" customFormat="1" ht="38.25" customHeight="1">
      <c r="A305" t="s" s="777">
        <f>IF(AND(L305=FALSE,'Termék'!C36='Auswahldaten'!A13,'Alapanyagok'!AO12=0),IF('Adatlap'!$L$1="Magyar","Jelölje be!","Please, check!"),"")</f>
      </c>
      <c r="B305" t="s" s="710">
        <v>609</v>
      </c>
      <c r="C305" s="96"/>
      <c r="D305" s="96"/>
      <c r="E305" s="96"/>
      <c r="F305" s="96"/>
      <c r="G305" s="96"/>
      <c r="H305" s="96"/>
      <c r="I305" s="96"/>
      <c r="J305" s="96"/>
      <c r="L305" t="b" s="34">
        <v>0</v>
      </c>
    </row>
    <row r="306" s="298" customFormat="1" ht="24.95" customHeight="1">
      <c r="B306" t="s" s="1002">
        <v>712</v>
      </c>
      <c r="C306" s="714"/>
      <c r="D306" s="714"/>
      <c r="E306" s="714"/>
      <c r="F306" s="714"/>
      <c r="G306" s="714"/>
      <c r="H306" s="714"/>
      <c r="I306" s="714"/>
      <c r="J306" s="714"/>
    </row>
    <row r="307" s="298" customFormat="1" ht="47.1" customHeight="1">
      <c r="A307" t="s" s="777">
        <f>IF(AND(L307=FALSE,OR('Termék'!C36='Auswahldaten'!A12,'Alapanyagok'!AO12&gt;0)),IF('Adatlap'!$L$1="Magyar","Jelölje be!","Please, check!"),"")</f>
      </c>
      <c r="B307" t="s" s="710">
        <v>713</v>
      </c>
      <c r="C307" s="96"/>
      <c r="D307" s="96"/>
      <c r="E307" s="96"/>
      <c r="F307" s="96"/>
      <c r="G307" s="96"/>
      <c r="H307" s="96"/>
      <c r="I307" s="96"/>
      <c r="J307" s="96"/>
      <c r="L307" t="b" s="34">
        <v>0</v>
      </c>
    </row>
    <row r="309" s="298" customFormat="1" ht="24.95" customHeight="1">
      <c r="B309" t="s" s="897">
        <f>IF(AND(L309=FALSE,L307=TRUE),IF('Adatlap'!$L$1="Magyar","Jelölje be!","Please, check!"),"")</f>
      </c>
      <c r="C309" t="s" s="758">
        <f>IF('Adatlap'!L$1="Magyar",CONCATENATE('Fordítások'!C436," és az illatanyagok IFRA tanúsítványát."),CONCATENATE('Fordítások'!B436," and IFRA certificate of the frangrances."))</f>
        <v>714</v>
      </c>
      <c r="L309" t="b" s="34">
        <v>0</v>
      </c>
    </row>
    <row r="311" s="298" customFormat="1" ht="12.75" customHeight="1">
      <c r="A311" t="s" s="853">
        <f>IF('Adatlap'!L1="Magyar","e)","(e)")</f>
        <v>715</v>
      </c>
      <c r="B311" t="s" s="864">
        <f>IF('Adatlap'!$L$1="Magyar",CONCATENATE('Fordítások'!C65,"ek"),'Fordítások'!B65)</f>
        <v>192</v>
      </c>
      <c r="D311" t="s" s="1000">
        <f>IF('Összetétel'!P15='Alapanyagok'!AO16,"",IF('Adatlap'!L1="Magyar",'Fordítások'!C520,'Fordítások'!B520))</f>
      </c>
      <c r="E311" s="1001"/>
      <c r="F311" s="1001"/>
      <c r="G311" s="1001"/>
      <c r="H311" s="1001"/>
      <c r="I311" s="1001"/>
      <c r="J311" s="1001"/>
    </row>
    <row r="312" s="298" customFormat="1" ht="12.75" customHeight="1">
      <c r="A312" s="907"/>
      <c r="B312" s="155"/>
      <c r="D312" s="1001"/>
      <c r="E312" s="1001"/>
      <c r="F312" s="1001"/>
      <c r="G312" s="1001"/>
      <c r="H312" s="1001"/>
      <c r="I312" s="1001"/>
      <c r="J312" s="1001"/>
    </row>
    <row r="313" s="298" customFormat="1" ht="24.75" customHeight="1">
      <c r="A313" t="s" s="777">
        <f>IF(AND(L313=FALSE,L315=FALSE),IF('Adatlap'!$L$1="Magyar","Jelölje be!","Please, check!"),"")</f>
        <v>399</v>
      </c>
      <c r="B313" t="s" s="710">
        <f>IF('Adatlap'!$L$1="Magyar",CONCATENATE('Fordítások'!C519,"tartósítószert."),CONCATENATE('Fordítások'!B519,"preservatives."))</f>
        <v>716</v>
      </c>
      <c r="C313" s="96"/>
      <c r="D313" s="96"/>
      <c r="E313" s="96"/>
      <c r="F313" s="96"/>
      <c r="G313" s="96"/>
      <c r="H313" s="96"/>
      <c r="I313" s="96"/>
      <c r="J313" s="96"/>
      <c r="L313" t="b" s="34">
        <v>0</v>
      </c>
    </row>
    <row r="314" s="298" customFormat="1" ht="12.75" customHeight="1">
      <c r="B314" s="497"/>
    </row>
    <row r="315" s="298" customFormat="1" ht="26.25" customHeight="1">
      <c r="A315" t="s" s="777">
        <f>IF(AND(L313=FALSE,L315=FALSE),IF('Adatlap'!$L$1="Magyar","Jelölje be!","Please, check!"),"")</f>
        <v>399</v>
      </c>
      <c r="B315" t="s" s="710">
        <f>IF('Adatlap'!$L$1="Magyar",'Fordítások'!C515,'Fordítások'!B515)</f>
        <v>717</v>
      </c>
      <c r="C315" s="96"/>
      <c r="D315" s="96"/>
      <c r="E315" s="96"/>
      <c r="F315" s="96"/>
      <c r="G315" s="96"/>
      <c r="H315" s="96"/>
      <c r="I315" s="96"/>
      <c r="J315" s="96"/>
      <c r="L315" t="b" s="34">
        <v>0</v>
      </c>
    </row>
    <row r="317" s="377" customFormat="1" ht="26.25" customHeight="1">
      <c r="B317" t="s" s="897">
        <f>IF(AND(L317=FALSE,L315=TRUE),IF('Adatlap'!$L$1="Magyar","Jelölje be!","Please, check!"),"")</f>
      </c>
      <c r="C317" t="s" s="715">
        <f>IF('Adatlap'!$L$1="Magyar",'Fordítások'!C518,'Fordítások'!B518)</f>
        <v>718</v>
      </c>
      <c r="D317" s="109"/>
      <c r="E317" s="109"/>
      <c r="F317" s="109"/>
      <c r="G317" s="109"/>
      <c r="H317" s="109"/>
      <c r="I317" s="109"/>
      <c r="J317" s="109"/>
      <c r="L317" t="b" s="34">
        <v>0</v>
      </c>
      <c r="M317" s="497"/>
      <c r="N317" s="497"/>
      <c r="O317" s="497"/>
      <c r="P317" s="497"/>
      <c r="Q317" s="497"/>
      <c r="R317" s="497"/>
      <c r="S317" s="497"/>
      <c r="T317" s="497"/>
    </row>
    <row r="318" s="377" customFormat="1" ht="12.75" customHeight="1">
      <c r="B318" s="1003"/>
      <c r="C318" s="1003"/>
      <c r="D318" s="1003"/>
      <c r="E318" s="1003"/>
      <c r="F318" s="1004"/>
      <c r="G318" s="1005"/>
      <c r="H318" s="1005"/>
      <c r="I318" s="1003"/>
      <c r="J318" s="1003"/>
      <c r="M318" s="497"/>
      <c r="N318" s="497"/>
      <c r="O318" s="497"/>
      <c r="P318" s="497"/>
      <c r="Q318" s="497"/>
      <c r="R318" s="497"/>
      <c r="S318" s="497"/>
      <c r="T318" s="497"/>
    </row>
    <row r="319" s="377" customFormat="1" ht="15.95" customHeight="1">
      <c r="C319" t="s" s="1006">
        <v>719</v>
      </c>
      <c r="D319" s="39"/>
      <c r="E319" t="s" s="1007">
        <v>720</v>
      </c>
      <c r="F319" s="1008"/>
      <c r="G319" t="s" s="121">
        <v>721</v>
      </c>
      <c r="H319" s="518"/>
      <c r="I319" t="s" s="1007">
        <v>722</v>
      </c>
      <c r="J319" s="156"/>
      <c r="M319" s="497"/>
      <c r="N319" s="497"/>
      <c r="O319" s="497"/>
      <c r="P319" s="497"/>
      <c r="Q319" s="497"/>
      <c r="R319" s="497"/>
      <c r="S319" s="497"/>
      <c r="T319" s="497"/>
    </row>
    <row r="320" s="377" customFormat="1" ht="12.75" customHeight="1">
      <c r="F320" s="496"/>
      <c r="G320" s="29"/>
      <c r="H320" s="513"/>
      <c r="M320" s="497"/>
      <c r="N320" s="497"/>
      <c r="O320" s="497"/>
      <c r="P320" s="497"/>
      <c r="Q320" s="497"/>
      <c r="R320" s="497"/>
      <c r="S320" s="497"/>
      <c r="T320" s="497"/>
    </row>
    <row r="321" s="377" customFormat="1" ht="12.75" customHeight="1">
      <c r="F321" s="496"/>
      <c r="G321" s="29"/>
      <c r="H321" s="29"/>
      <c r="M321" s="497"/>
      <c r="N321" s="497"/>
      <c r="O321" s="497"/>
      <c r="P321" s="497"/>
      <c r="Q321" s="497"/>
      <c r="R321" s="497"/>
      <c r="S321" s="497"/>
      <c r="T321" s="497"/>
    </row>
    <row r="322" s="298" customFormat="1" ht="26.25" customHeight="1">
      <c r="A322" t="s" s="777">
        <f>IF(L322=FALSE,IF('Adatlap'!$L$1="Magyar","Jelölje be!","Please, check!"),"")</f>
        <v>399</v>
      </c>
      <c r="B322" t="s" s="710">
        <f>IF('Adatlap'!$L$1="Magyar",'Fordítások'!C521,'Fordítások'!B521)</f>
        <v>723</v>
      </c>
      <c r="C322" s="96"/>
      <c r="D322" s="96"/>
      <c r="E322" s="96"/>
      <c r="F322" s="96"/>
      <c r="G322" s="96"/>
      <c r="H322" s="96"/>
      <c r="I322" s="96"/>
      <c r="J322" s="96"/>
      <c r="L322" t="b" s="34">
        <v>0</v>
      </c>
    </row>
    <row r="324" s="298" customFormat="1" ht="12.75" customHeight="1">
      <c r="B324" t="s" s="33">
        <f>IF('Adatlap'!$L$1="Magyar",'Fordítások'!C522,'Fordítások'!B522)</f>
        <v>724</v>
      </c>
    </row>
    <row r="326" s="298" customFormat="1" ht="24.95" customHeight="1">
      <c r="B326" t="s" s="897">
        <f>IF(M326=FALSE,IF('Adatlap'!$L$1="Magyar","Jelölje be!","Please, check!"),"")</f>
        <v>399</v>
      </c>
      <c r="C326" t="s" s="710">
        <f>IF('Adatlap'!$L$1="Magyar",'Fordítások'!C523,'Fordítások'!B521)</f>
        <v>725</v>
      </c>
      <c r="D326" s="96"/>
      <c r="E326" s="96"/>
      <c r="F326" s="96"/>
      <c r="G326" s="96"/>
      <c r="H326" s="96"/>
      <c r="I326" s="96"/>
      <c r="J326" s="96"/>
      <c r="L326" t="b" s="34">
        <v>0</v>
      </c>
    </row>
    <row r="327" s="298" customFormat="1" ht="12.75" customHeight="1">
      <c r="C327" s="856"/>
    </row>
    <row r="328" s="298" customFormat="1" ht="24.95" customHeight="1">
      <c r="B328" t="s" s="897">
        <f>IF(M328=FALSE,IF('Adatlap'!$L$1="Magyar","Jelölje be!","Please, check!"),"")</f>
        <v>399</v>
      </c>
      <c r="C328" t="s" s="915">
        <f>IF('Adatlap'!$L$1="Magyar",'Fordítások'!C524,'Fordítások'!B524)</f>
        <v>726</v>
      </c>
      <c r="L328" t="b" s="34">
        <v>0</v>
      </c>
    </row>
    <row r="329" s="298" customFormat="1" ht="12.75" customHeight="1">
      <c r="C329" s="856"/>
    </row>
    <row r="330" s="298" customFormat="1" ht="24.95" customHeight="1">
      <c r="B330" t="s" s="897">
        <f>IF(M330=FALSE,IF('Adatlap'!$L$1="Magyar","Jelölje be!","Please, check!"),"")</f>
        <v>399</v>
      </c>
      <c r="C330" t="s" s="915">
        <f>IF('Adatlap'!$L$1="Magyar",'Fordítások'!C525,'Fordítások'!B525)</f>
        <v>727</v>
      </c>
      <c r="L330" t="b" s="34">
        <v>0</v>
      </c>
    </row>
    <row r="331" s="936" customFormat="1" ht="12.75" customHeight="1">
      <c r="B331" s="937"/>
      <c r="F331" s="496"/>
      <c r="G331" s="29"/>
      <c r="H331" s="29"/>
      <c r="M331" s="497"/>
      <c r="N331" s="497"/>
      <c r="O331" s="497"/>
      <c r="P331" s="497"/>
      <c r="Q331" s="497"/>
      <c r="R331" s="497"/>
      <c r="S331" s="497"/>
      <c r="T331" s="497"/>
    </row>
    <row r="332" s="936" customFormat="1" ht="12.75" customHeight="1">
      <c r="A332" t="s" s="853">
        <f>IF('Adatlap'!L1="Magyar","f)","(f)")</f>
        <v>728</v>
      </c>
      <c r="B332" t="s" s="864">
        <f>IF('Adatlap'!$L$1="Magyar",CONCATENATE('Fordítások'!C64,"ek"),CONCATENATE('Fordítások'!B64,"s"))</f>
        <v>193</v>
      </c>
      <c r="D332" t="s" s="1000">
        <f>IF('Összetétel'!P18='Alapanyagok'!AO20+'Alapanyagok'!AO23,"",IF('Adatlap'!L1="Magyar",'Fordítások'!C520,'Fordítások'!B520))</f>
      </c>
      <c r="E332" s="1001"/>
      <c r="F332" s="1001"/>
      <c r="G332" s="1001"/>
      <c r="H332" s="1001"/>
      <c r="I332" s="1001"/>
      <c r="J332" s="1001"/>
      <c r="M332" s="497"/>
      <c r="N332" s="497"/>
      <c r="O332" s="497"/>
      <c r="P332" s="497"/>
      <c r="Q332" s="497"/>
      <c r="R332" s="497"/>
      <c r="S332" s="497"/>
      <c r="T332" s="497"/>
    </row>
    <row r="333" s="936" customFormat="1" ht="12.75" customHeight="1">
      <c r="A333" s="907"/>
      <c r="B333" s="155"/>
      <c r="D333" s="1001"/>
      <c r="E333" s="1001"/>
      <c r="F333" s="1001"/>
      <c r="G333" s="1001"/>
      <c r="H333" s="1001"/>
      <c r="I333" s="1001"/>
      <c r="J333" s="1001"/>
      <c r="M333" s="497"/>
      <c r="N333" s="497"/>
      <c r="O333" s="497"/>
      <c r="P333" s="497"/>
      <c r="Q333" s="497"/>
      <c r="R333" s="497"/>
      <c r="S333" s="497"/>
      <c r="T333" s="497"/>
    </row>
    <row r="334" s="298" customFormat="1" ht="25.5" customHeight="1">
      <c r="A334" t="s" s="777">
        <f>IF(AND(L334=FALSE,L336=FALSE,L351=FALSE),IF('Adatlap'!$L$1="Magyar","Jelölje be!","Please, check!"),"")</f>
        <v>399</v>
      </c>
      <c r="B334" t="s" s="710">
        <f>IF('Adatlap'!$L$1="Magyar",CONCATENATE('Fordítások'!C519,"színezéket."),CONCATENATE('Fordítások'!B519,"colouring agents."))</f>
        <v>729</v>
      </c>
      <c r="C334" s="96"/>
      <c r="D334" s="96"/>
      <c r="E334" s="96"/>
      <c r="F334" s="96"/>
      <c r="G334" s="96"/>
      <c r="H334" s="96"/>
      <c r="I334" s="96"/>
      <c r="J334" s="96"/>
      <c r="L334" t="b" s="34">
        <v>0</v>
      </c>
      <c r="N334" t="b" s="34">
        <v>0</v>
      </c>
    </row>
    <row r="335" s="298" customFormat="1" ht="12.75" customHeight="1">
      <c r="B335" s="497"/>
    </row>
    <row r="336" s="298" customFormat="1" ht="25.5" customHeight="1">
      <c r="A336" t="s" s="777">
        <f>IF(AND(L334=FALSE,L336=FALSE,L351=FALSE),IF('Adatlap'!$L$1="Magyar","Jelölje be!","Please, check!"),"")</f>
        <v>399</v>
      </c>
      <c r="B336" t="s" s="710">
        <f>IF('Adatlap'!$L$1="Magyar",'Fordítások'!C527,'Fordítások'!B527)</f>
        <v>730</v>
      </c>
      <c r="C336" s="96"/>
      <c r="D336" s="96"/>
      <c r="E336" s="96"/>
      <c r="F336" s="96"/>
      <c r="G336" s="96"/>
      <c r="H336" s="96"/>
      <c r="I336" s="96"/>
      <c r="J336" s="96"/>
      <c r="L336" t="b" s="34">
        <v>0</v>
      </c>
      <c r="N336" t="b" s="34">
        <v>0</v>
      </c>
    </row>
    <row r="338" s="377" customFormat="1" ht="26.25" customHeight="1">
      <c r="B338" t="s" s="897">
        <f>IF(AND(L336=TRUE,L338=FALSE),IF('Adatlap'!L1="Magyar","Jelölje be!","Please, check!"),"")</f>
      </c>
      <c r="C338" t="s" s="710">
        <f>IF('Adatlap'!$L$1="Magyar",'Fordítások'!C528,'Fordítások'!B528)</f>
        <v>731</v>
      </c>
      <c r="D338" s="96"/>
      <c r="E338" s="96"/>
      <c r="F338" s="96"/>
      <c r="G338" s="96"/>
      <c r="H338" s="96"/>
      <c r="I338" s="96"/>
      <c r="J338" s="96"/>
      <c r="L338" t="b" s="34">
        <v>0</v>
      </c>
      <c r="M338" s="497"/>
      <c r="N338" t="b" s="699">
        <v>0</v>
      </c>
      <c r="O338" s="497"/>
      <c r="P338" s="497"/>
      <c r="Q338" s="497"/>
      <c r="R338" s="497"/>
      <c r="S338" s="497"/>
      <c r="T338" s="497"/>
    </row>
    <row r="339" s="377" customFormat="1" ht="12.75" customHeight="1">
      <c r="B339" s="937"/>
      <c r="C339" s="96"/>
      <c r="D339" s="96"/>
      <c r="E339" s="96"/>
      <c r="F339" s="96"/>
      <c r="G339" s="96"/>
      <c r="H339" s="96"/>
      <c r="I339" s="96"/>
      <c r="J339" s="96"/>
      <c r="M339" s="497"/>
      <c r="N339" s="497"/>
      <c r="O339" s="497"/>
      <c r="P339" s="497"/>
      <c r="Q339" s="497"/>
      <c r="R339" s="497"/>
      <c r="S339" s="497"/>
      <c r="T339" s="497"/>
    </row>
    <row r="340" s="377" customFormat="1" ht="15.95" customHeight="1">
      <c r="B340" s="937"/>
      <c r="C340" t="s" s="1009">
        <v>732</v>
      </c>
      <c r="D340" s="1010"/>
      <c r="E340" t="s" s="1011">
        <f>E319</f>
        <v>733</v>
      </c>
      <c r="F340" s="740"/>
      <c r="G340" t="s" s="1009">
        <v>721</v>
      </c>
      <c r="H340" s="865"/>
      <c r="I340" t="s" s="1011">
        <f>I319</f>
        <v>734</v>
      </c>
      <c r="J340" s="740"/>
      <c r="M340" s="497"/>
      <c r="N340" s="497"/>
      <c r="O340" s="497"/>
      <c r="P340" s="497"/>
      <c r="Q340" s="497"/>
      <c r="R340" s="497"/>
      <c r="S340" s="497"/>
      <c r="T340" s="497"/>
    </row>
    <row r="341" s="377" customFormat="1" ht="12.75" customHeight="1">
      <c r="B341" s="937"/>
      <c r="C341" s="96"/>
      <c r="D341" s="664"/>
      <c r="E341" s="96"/>
      <c r="F341" s="96"/>
      <c r="G341" s="96"/>
      <c r="H341" s="664"/>
      <c r="I341" s="96"/>
      <c r="J341" s="96"/>
      <c r="M341" s="497"/>
      <c r="N341" s="497"/>
      <c r="O341" s="497"/>
      <c r="P341" s="497"/>
      <c r="Q341" s="497"/>
      <c r="R341" s="497"/>
      <c r="S341" s="497"/>
      <c r="T341" s="497"/>
    </row>
    <row r="342" s="377" customFormat="1" ht="12.75" customHeight="1">
      <c r="B342" s="937"/>
      <c r="C342" s="96"/>
      <c r="D342" s="96"/>
      <c r="E342" s="96"/>
      <c r="F342" s="96"/>
      <c r="G342" s="96"/>
      <c r="H342" s="96"/>
      <c r="I342" s="96"/>
      <c r="J342" s="96"/>
      <c r="M342" s="497"/>
      <c r="N342" s="497"/>
      <c r="O342" s="497"/>
      <c r="P342" s="497"/>
      <c r="Q342" s="497"/>
      <c r="R342" s="497"/>
      <c r="S342" s="497"/>
      <c r="T342" s="497"/>
    </row>
    <row r="343" s="377" customFormat="1" ht="12.75" customHeight="1">
      <c r="B343" t="s" s="1012">
        <f>B324</f>
        <v>724</v>
      </c>
      <c r="C343" s="1003"/>
      <c r="D343" s="1003"/>
      <c r="E343" s="1003"/>
      <c r="F343" s="1004"/>
      <c r="G343" s="1005"/>
      <c r="H343" s="1005"/>
      <c r="I343" s="1003"/>
      <c r="J343" s="1003"/>
      <c r="M343" s="497"/>
      <c r="N343" s="497"/>
      <c r="O343" s="497"/>
      <c r="P343" s="497"/>
      <c r="Q343" s="497"/>
      <c r="R343" s="497"/>
      <c r="S343" s="497"/>
      <c r="T343" s="497"/>
    </row>
    <row r="345" s="298" customFormat="1" ht="24.95" customHeight="1">
      <c r="B345" t="s" s="897">
        <f>IF(AND(L345=FALSE,L336=TRUE),IF('Adatlap'!$L$1="Magyar","Jelölje be!","Please, check!"),"")</f>
      </c>
      <c r="C345" t="s" s="710">
        <f>IF('Adatlap'!$L$1="Magyar",'Fordítások'!C530,'Fordítások'!B530)</f>
        <v>735</v>
      </c>
      <c r="D345" s="96"/>
      <c r="E345" s="96"/>
      <c r="F345" s="96"/>
      <c r="G345" s="96"/>
      <c r="H345" s="96"/>
      <c r="I345" s="96"/>
      <c r="J345" s="96"/>
      <c r="L345" t="b" s="34">
        <v>0</v>
      </c>
    </row>
    <row r="346" s="298" customFormat="1" ht="8.1" customHeight="1">
      <c r="C346" s="856"/>
    </row>
    <row r="347" s="298" customFormat="1" ht="24.95" customHeight="1">
      <c r="B347" t="s" s="897">
        <f>IF(AND(L347=FALSE,L336=TRUE),IF('Adatlap'!$L$1="Magyar","Jelölje be!","Please, check!"),"")</f>
      </c>
      <c r="C347" t="s" s="915">
        <f>IF('Adatlap'!$L$1="Magyar",'Fordítások'!C529,'Fordítások'!B529)</f>
        <v>736</v>
      </c>
      <c r="L347" t="b" s="34">
        <v>0</v>
      </c>
    </row>
    <row r="348" s="298" customFormat="1" ht="8.1" customHeight="1">
      <c r="C348" s="856"/>
    </row>
    <row r="349" s="298" customFormat="1" ht="24.95" customHeight="1">
      <c r="B349" t="s" s="897">
        <f>IF(AND(L336=TRUE,L349=FALSE),IF('Adatlap'!$L$1="Magyar","Jelölje be!","Please, check!"),"")</f>
      </c>
      <c r="C349" t="s" s="915">
        <f>C328</f>
        <v>726</v>
      </c>
      <c r="L349" t="b" s="34">
        <v>0</v>
      </c>
    </row>
    <row r="350" s="936" customFormat="1" ht="12.75" customHeight="1">
      <c r="A350" s="907"/>
      <c r="B350" s="155"/>
      <c r="F350" s="496"/>
      <c r="G350" s="29"/>
      <c r="H350" s="29"/>
      <c r="M350" s="497"/>
      <c r="N350" s="497"/>
      <c r="O350" s="497"/>
      <c r="P350" s="497"/>
      <c r="Q350" s="497"/>
      <c r="R350" s="497"/>
      <c r="S350" s="497"/>
      <c r="T350" s="497"/>
    </row>
    <row r="351" s="298" customFormat="1" ht="24.95" customHeight="1">
      <c r="A351" t="s" s="777">
        <f>IF(AND(L334=FALSE,L336=FALSE,L351=FALSE),IF('Adatlap'!L1="Magyar","Jelölje be!","Please, check!"),"")</f>
        <v>399</v>
      </c>
      <c r="B351" t="s" s="710">
        <f>IF('Adatlap'!$L$1="Magyar",'Fordítások'!C526,'Fordítások'!B526)</f>
        <v>737</v>
      </c>
      <c r="C351" s="96"/>
      <c r="D351" s="96"/>
      <c r="E351" s="96"/>
      <c r="F351" s="96"/>
      <c r="G351" s="96"/>
      <c r="H351" s="96"/>
      <c r="I351" s="96"/>
      <c r="J351" s="96"/>
      <c r="L351" t="b" s="34">
        <v>0</v>
      </c>
    </row>
    <row r="352" s="298" customFormat="1" ht="24.95" customHeight="1">
      <c r="B352" t="s" s="897">
        <f>IF(AND(M351=TRUE,M352=FALSE),IF('Adatlap'!$L$1="Magyar","Jelölje be!","Please, check!"),"")</f>
      </c>
      <c r="C352" t="s" s="710">
        <f>IF('Adatlap'!$L$1="Magyar",'Fordítások'!C531,'Fordítások'!B531)</f>
        <v>738</v>
      </c>
      <c r="D352" s="96"/>
      <c r="E352" s="96"/>
      <c r="F352" s="96"/>
      <c r="G352" s="96"/>
      <c r="H352" s="96"/>
      <c r="I352" s="96"/>
      <c r="J352" s="96"/>
      <c r="L352" t="b" s="34">
        <v>0</v>
      </c>
    </row>
    <row r="353" s="871" customFormat="1" ht="24" customHeight="1">
      <c r="A353" t="s" s="1013">
        <f>IF(AND(L334=FALSE,L336=FALSE,L351=FALSE),IF('Adatlap'!L1="Magyar","Az 'f) Színezékek' fejezetnél az A oszlopban található 3 jelölőnégyzet egyikét be kell jelölni!","Please, check one of the three Checkboxes in Cloumn A in section 'f) Colouring agents'."),"")</f>
        <v>739</v>
      </c>
      <c r="B353" s="1014"/>
      <c r="C353" s="1014"/>
      <c r="D353" s="1014"/>
      <c r="E353" s="1014"/>
      <c r="F353" s="1014"/>
      <c r="G353" s="1014"/>
      <c r="H353" s="1014"/>
      <c r="I353" s="1014"/>
      <c r="J353" s="1014"/>
      <c r="M353" s="497"/>
      <c r="N353" s="497"/>
      <c r="O353" s="497"/>
      <c r="P353" s="497"/>
      <c r="Q353" s="497"/>
      <c r="R353" s="497"/>
      <c r="S353" s="497"/>
      <c r="T353" s="497"/>
    </row>
    <row r="354" s="298" customFormat="1" ht="12.75" customHeight="1">
      <c r="A354" t="s" s="853">
        <f>IF('Adatlap'!L1="Magyar","g)","(g)")</f>
        <v>740</v>
      </c>
      <c r="B354" t="s" s="864">
        <f>IF('Adatlap'!$L$1="Magyar",CONCATENATE('Fordítások'!C532),CONCATENATE('Fordítások'!B532))</f>
        <v>741</v>
      </c>
    </row>
    <row r="356" s="298" customFormat="1" ht="24.95" customHeight="1">
      <c r="A356" t="s" s="777">
        <f>IF(AND(L356=FALSE,L366=FALSE),IF('Adatlap'!$L$1="Magyar","Jelölje be!","Please, check!"),"")</f>
        <v>399</v>
      </c>
      <c r="B356" t="s" s="710">
        <f>IF('Adatlap'!$L$1="Magyar",'Fordítások'!C533,'Fordítások'!B533)</f>
        <v>742</v>
      </c>
      <c r="C356" s="96"/>
      <c r="D356" s="96"/>
      <c r="E356" s="96"/>
      <c r="F356" s="96"/>
      <c r="G356" s="96"/>
      <c r="H356" s="96"/>
      <c r="I356" s="96"/>
      <c r="J356" s="96"/>
      <c r="L356" t="b" s="34">
        <v>0</v>
      </c>
    </row>
    <row r="358" s="298" customFormat="1" ht="26.1" customHeight="1">
      <c r="B358" t="s" s="897">
        <f>IF(AND(L356=TRUE,L358=FALSE),IF('Adatlap'!$L$1="Magyar","Jelölje be!","Please, check!"),"")</f>
      </c>
      <c r="C358" t="s" s="710">
        <f>IF('Adatlap'!$L$1="Magyar",'Fordítások'!C534,'Fordítások'!B534)</f>
        <v>743</v>
      </c>
      <c r="D358" s="96"/>
      <c r="E358" s="96"/>
      <c r="F358" s="96"/>
      <c r="G358" s="96"/>
      <c r="H358" s="96"/>
      <c r="I358" s="96"/>
      <c r="J358" s="96"/>
      <c r="L358" t="b" s="34">
        <v>0</v>
      </c>
    </row>
    <row r="359" s="298" customFormat="1" ht="23.25" customHeight="1">
      <c r="B359" t="s" s="1012">
        <f>B343</f>
        <v>744</v>
      </c>
      <c r="C359" s="96"/>
      <c r="D359" s="96"/>
      <c r="E359" s="96"/>
      <c r="F359" s="96"/>
      <c r="G359" s="96"/>
      <c r="H359" s="96"/>
      <c r="I359" s="96"/>
      <c r="J359" s="96"/>
    </row>
    <row r="360" s="298" customFormat="1" ht="8.1" customHeight="1">
      <c r="B360" s="1015"/>
      <c r="C360" s="96"/>
      <c r="D360" s="96"/>
      <c r="E360" s="96"/>
      <c r="F360" s="96"/>
      <c r="G360" s="96"/>
      <c r="H360" s="96"/>
      <c r="I360" s="96"/>
      <c r="J360" s="96"/>
    </row>
    <row r="361" s="298" customFormat="1" ht="12.75" customHeight="1">
      <c r="B361" t="s" s="119">
        <f>IF(AND(L361=FALSE,L356=TRUE),IF('Adatlap'!$L$1="Magyar","Jelölje be!","Please, check!"),"")</f>
      </c>
      <c r="C361" t="s" s="710">
        <f>C345</f>
        <v>745</v>
      </c>
      <c r="D361" s="96"/>
      <c r="E361" s="96"/>
      <c r="F361" s="96"/>
      <c r="G361" s="96"/>
      <c r="H361" s="96"/>
      <c r="I361" s="96"/>
      <c r="J361" s="96"/>
      <c r="L361" t="b" s="34">
        <v>0</v>
      </c>
    </row>
    <row r="362" s="298" customFormat="1" ht="12.75" customHeight="1">
      <c r="B362" s="120"/>
      <c r="C362" s="96"/>
      <c r="D362" s="96"/>
      <c r="E362" s="96"/>
      <c r="F362" s="96"/>
      <c r="G362" s="96"/>
      <c r="H362" s="96"/>
      <c r="I362" s="96"/>
      <c r="J362" s="96"/>
    </row>
    <row r="363" s="298" customFormat="1" ht="8.1" customHeight="1">
      <c r="B363" s="120"/>
      <c r="C363" s="96"/>
      <c r="D363" s="96"/>
      <c r="E363" s="96"/>
      <c r="F363" s="96"/>
      <c r="G363" s="96"/>
      <c r="H363" s="96"/>
      <c r="I363" s="96"/>
      <c r="J363" s="96"/>
    </row>
    <row r="364" s="298" customFormat="1" ht="12.75" customHeight="1">
      <c r="B364" t="s" s="119">
        <f>IF(AND(L364=FALSE,L356=TRUE),IF('Adatlap'!$L$1="Magyar","Jelölje be!","Please, check!"),"")</f>
      </c>
      <c r="C364" t="s" s="710">
        <f>IF('Adatlap'!$L$1="Magyar",'Fordítások'!C689,'Fordítások'!B689)</f>
        <v>746</v>
      </c>
      <c r="D364" s="96"/>
      <c r="E364" s="96"/>
      <c r="F364" s="96"/>
      <c r="G364" s="96"/>
      <c r="H364" s="96"/>
      <c r="I364" s="96"/>
      <c r="J364" s="96"/>
      <c r="L364" t="b" s="34">
        <v>0</v>
      </c>
    </row>
    <row r="365" s="298" customFormat="1" ht="12.75" customHeight="1">
      <c r="B365" s="120"/>
      <c r="C365" s="96"/>
      <c r="D365" s="96"/>
      <c r="E365" s="96"/>
      <c r="F365" s="96"/>
      <c r="G365" s="96"/>
      <c r="H365" s="96"/>
      <c r="I365" s="96"/>
      <c r="J365" s="96"/>
    </row>
    <row r="366" s="298" customFormat="1" ht="24.95" customHeight="1">
      <c r="A366" t="s" s="777">
        <f>IF(AND(L356=FALSE,L366=FALSE),IF('Adatlap'!$L$1="Magyar","Jelölje be!","Please, check!"),"")</f>
        <v>399</v>
      </c>
      <c r="B366" t="s" s="715">
        <f>IF('Adatlap'!$L$1="Magyar",'Fordítások'!C535,'Fordítások'!B535)</f>
        <v>747</v>
      </c>
      <c r="C366" s="109"/>
      <c r="D366" s="109"/>
      <c r="E366" s="109"/>
      <c r="F366" s="109"/>
      <c r="G366" s="109"/>
      <c r="H366" s="109"/>
      <c r="I366" s="109"/>
      <c r="J366" s="109"/>
      <c r="L366" t="b" s="34">
        <v>0</v>
      </c>
    </row>
    <row r="367" s="298" customFormat="1" ht="26.25" customHeight="1">
      <c r="A367" t="s" s="1016">
        <f>IF(AND(L356=FALSE,L366=FALSE,L351=FALSE),IF('Adatlap'!L1="Magyar","Az 'g) Enzimek' fejezetnél az A oszlopban található 2 jelölőnégyzet egyikét be kell jelölni!","Please, check one of the two Checkboxes in Cloumn A in section 'g) Enzymes'."),"")</f>
        <v>748</v>
      </c>
      <c r="B367" s="1017"/>
      <c r="C367" s="1017"/>
      <c r="D367" s="1017"/>
      <c r="E367" s="1017"/>
      <c r="F367" s="1017"/>
      <c r="G367" s="1017"/>
      <c r="H367" s="1017"/>
      <c r="I367" s="1017"/>
      <c r="J367" s="1017"/>
    </row>
    <row r="368" s="298" customFormat="1" ht="12.75" customHeight="1" hidden="1">
      <c r="A368" t="s" s="853">
        <f>IF('Adatlap'!L1="Magyar","h)","(h)")</f>
        <v>749</v>
      </c>
      <c r="B368" t="s" s="864">
        <f>IF('Adatlap'!$L$1="Magyar",CONCATENATE('Fordítások'!C227,"ok"),CONCATENATE('Fordítások'!B227,"s"))</f>
        <v>750</v>
      </c>
    </row>
    <row r="370" s="298" customFormat="1" ht="24.95" customHeight="1" hidden="1">
      <c r="A370" t="s" s="777">
        <f>IF(AND(L370=FALSE,L372=FALSE),IF('Adatlap'!$L$1="Magyar","Jelölje be!","Please, check!"),"")</f>
      </c>
      <c r="B370" t="s" s="710">
        <f>IF('Adatlap'!$L$1="Magyar",'Fordítások'!C536,'Fordítások'!B536)</f>
        <v>751</v>
      </c>
      <c r="C370" s="96"/>
      <c r="D370" s="96"/>
      <c r="E370" s="96"/>
      <c r="F370" s="96"/>
      <c r="G370" s="96"/>
      <c r="H370" s="96"/>
      <c r="I370" s="96"/>
      <c r="J370" s="96"/>
      <c r="L370" t="b" s="34">
        <v>1</v>
      </c>
    </row>
    <row r="371" s="298" customFormat="1" ht="12.75" customHeight="1" hidden="1">
      <c r="B371" s="856"/>
      <c r="C371" s="856"/>
      <c r="D371" s="856"/>
      <c r="E371" s="856"/>
      <c r="F371" s="856"/>
      <c r="G371" s="856"/>
      <c r="H371" s="856"/>
      <c r="I371" s="856"/>
      <c r="J371" s="856"/>
    </row>
    <row r="372" s="298" customFormat="1" ht="24.95" customHeight="1" hidden="1">
      <c r="A372" t="s" s="777">
        <f>IF(AND(L370=FALSE,L372=FALSE),IF('Adatlap'!$L$1="Magyar","Jelölje be!","Please, check!"),"")</f>
      </c>
      <c r="B372" t="s" s="710">
        <f>IF('Adatlap'!$L$1="Magyar",'Fordítások'!C537,'Fordítások'!B537)</f>
        <v>752</v>
      </c>
      <c r="C372" s="96"/>
      <c r="D372" s="96"/>
      <c r="E372" s="96"/>
      <c r="F372" s="96"/>
      <c r="G372" s="96"/>
      <c r="H372" s="96"/>
      <c r="I372" s="96"/>
      <c r="J372" s="96"/>
      <c r="L372" t="b" s="34">
        <v>0</v>
      </c>
    </row>
    <row r="374" s="298" customFormat="1" ht="24.95" customHeight="1" hidden="1">
      <c r="B374" t="s" s="897">
        <f>IF(AND(L372=TRUE,L374=FALSE),IF('Adatlap'!$L$1="Magyar","Jelölje be!","Please, check!"),"")</f>
      </c>
      <c r="C374" t="s" s="915">
        <f>IF('Adatlap'!$L$1="Magyar",'Fordítások'!C538,'Fordítások'!B538)</f>
        <v>753</v>
      </c>
      <c r="L374" t="b" s="34">
        <v>0</v>
      </c>
    </row>
    <row r="376" s="298" customFormat="1" ht="36.75" customHeight="1" hidden="1">
      <c r="B376" t="s" s="715">
        <f>IF('Adatlap'!$L$1="Magyar",'Fordítások'!C539,'Fordítások'!B539)</f>
        <v>754</v>
      </c>
      <c r="C376" s="109"/>
      <c r="D376" s="109"/>
      <c r="E376" s="109"/>
      <c r="F376" s="109"/>
      <c r="G376" s="109"/>
      <c r="H376" s="109"/>
      <c r="I376" s="109"/>
    </row>
    <row r="378" s="298" customFormat="1" ht="39" customHeight="1" hidden="1">
      <c r="B378" t="s" s="1018">
        <f>IF('Adatlap'!$L$1="Magyar",'Fordítások'!C541,'Fordítások'!B541)</f>
        <v>755</v>
      </c>
      <c r="C378" s="925"/>
      <c r="D378" t="s" s="885">
        <f>IF('Adatlap'!$L$1="Magyar","ATCC szám","ATCC number")</f>
        <v>756</v>
      </c>
      <c r="E378" s="888"/>
      <c r="F378" t="s" s="885">
        <f>IF('Adatlap'!$L$1="Magyar","IDA szám","IDA number")</f>
        <v>757</v>
      </c>
      <c r="G378" s="888"/>
      <c r="H378" t="s" s="885">
        <f>IF('Adatlap'!$L$1="Magyar",'Fordítások'!C540,'Fordítások'!B540)</f>
        <v>758</v>
      </c>
      <c r="I378" s="888"/>
    </row>
    <row r="379" s="298" customFormat="1" ht="15" customHeight="1" hidden="1">
      <c r="B379" s="734"/>
      <c r="C379" s="734"/>
      <c r="D379" s="734"/>
      <c r="E379" s="734"/>
      <c r="F379" s="734"/>
      <c r="G379" s="734"/>
      <c r="H379" s="1019"/>
      <c r="I379" s="1020"/>
      <c r="L379" t="b" s="34">
        <v>0</v>
      </c>
    </row>
    <row r="380" s="298" customFormat="1" ht="15" customHeight="1" hidden="1">
      <c r="B380" s="734"/>
      <c r="C380" s="734"/>
      <c r="D380" s="734"/>
      <c r="E380" s="734"/>
      <c r="F380" s="734"/>
      <c r="G380" s="734"/>
      <c r="H380" s="858"/>
      <c r="I380" s="1021"/>
      <c r="L380" t="b" s="34">
        <v>0</v>
      </c>
    </row>
    <row r="381" s="298" customFormat="1" ht="15" customHeight="1" hidden="1">
      <c r="B381" s="734"/>
      <c r="C381" s="734"/>
      <c r="D381" s="734"/>
      <c r="E381" s="734"/>
      <c r="F381" s="734"/>
      <c r="G381" s="734"/>
      <c r="H381" s="858"/>
      <c r="I381" s="1021"/>
      <c r="L381" t="b" s="34">
        <v>0</v>
      </c>
    </row>
    <row r="382" s="298" customFormat="1" ht="15" customHeight="1" hidden="1">
      <c r="B382" s="734"/>
      <c r="C382" s="734"/>
      <c r="D382" s="734"/>
      <c r="E382" s="734"/>
      <c r="F382" s="734"/>
      <c r="G382" s="734"/>
      <c r="H382" s="858"/>
      <c r="I382" s="1021"/>
      <c r="L382" t="b" s="34">
        <v>0</v>
      </c>
    </row>
    <row r="384" s="298" customFormat="1" ht="12.75" customHeight="1" hidden="1">
      <c r="B384" t="s" s="864">
        <f>IF('Adatlap'!$L$1="Magyar",'Fordítások'!C542,'Fordítások'!B542)</f>
        <v>759</v>
      </c>
      <c r="F384" s="13"/>
      <c r="G384" s="13"/>
      <c r="H384" s="13"/>
    </row>
    <row r="386" s="298" customFormat="1" ht="24.95" customHeight="1" hidden="1">
      <c r="B386" t="s" s="897">
        <f>IF(AND($L$372=TRUE,L386=FALSE),IF('Adatlap'!$L$1="Magyar","Jelölje be!","Please, check!"),"")</f>
      </c>
      <c r="C386" t="s" s="915">
        <f>IF('Adatlap'!$L$1="Magyar",'Fordítások'!C543,'Fordítások'!B543)</f>
        <v>760</v>
      </c>
      <c r="L386" t="b" s="34">
        <v>0</v>
      </c>
    </row>
    <row r="387" s="298" customFormat="1" ht="38.1" customHeight="1" hidden="1">
      <c r="C387" t="s" s="710">
        <f>IF('Adatlap'!$L$1="Magyar",'Fordítások'!C544,'Fordítások'!B544)</f>
        <v>761</v>
      </c>
      <c r="D387" s="96"/>
      <c r="E387" s="96"/>
      <c r="F387" s="96"/>
      <c r="G387" s="96"/>
      <c r="H387" s="96"/>
      <c r="I387" s="96"/>
      <c r="J387" s="96"/>
    </row>
    <row r="388" s="298" customFormat="1" ht="38.1" customHeight="1" hidden="1">
      <c r="C388" t="s" s="710">
        <f>IF('Adatlap'!$L$1="Magyar",'Fordítások'!C545,'Fordítások'!B545)</f>
        <v>762</v>
      </c>
      <c r="D388" s="96"/>
      <c r="E388" s="96"/>
      <c r="F388" s="96"/>
      <c r="G388" s="96"/>
      <c r="H388" s="96"/>
      <c r="I388" s="96"/>
      <c r="J388" s="96"/>
    </row>
    <row r="389" s="298" customFormat="1" ht="27" customHeight="1">
      <c r="B389" t="s" s="897">
        <f>IF(AND($L$372=TRUE,L389=FALSE),IF('Adatlap'!$L$1="Magyar","Jelölje be!","Please, check!"),"")</f>
      </c>
      <c r="C389" t="s" s="710">
        <f>IF('Adatlap'!$L$1="Magyar",'Fordítások'!C546,'Fordítások'!B546)</f>
        <v>763</v>
      </c>
      <c r="D389" s="96"/>
      <c r="E389" s="96"/>
      <c r="F389" s="96"/>
      <c r="G389" s="96"/>
      <c r="H389" s="96"/>
      <c r="I389" s="96"/>
      <c r="J389" s="96"/>
      <c r="L389" t="b" s="34">
        <v>0</v>
      </c>
    </row>
    <row r="390" s="298" customFormat="1" ht="12.75" customHeight="1">
      <c r="C390" s="96"/>
      <c r="D390" s="96"/>
      <c r="E390" s="96"/>
      <c r="F390" s="96"/>
      <c r="G390" s="96"/>
      <c r="H390" s="96"/>
      <c r="I390" s="96"/>
      <c r="J390" s="96"/>
    </row>
    <row r="392" s="298" customFormat="1" ht="12.75" customHeight="1" hidden="1">
      <c r="B392" t="s" s="864">
        <f>IF('Adatlap'!$L$1="Magyar",'Fordítások'!C547,'Fordítások'!B547)</f>
        <v>764</v>
      </c>
    </row>
    <row r="394" s="298" customFormat="1" ht="12.75" customHeight="1">
      <c r="B394" t="s" s="119">
        <f>IF(AND($L$372=TRUE,L394=FALSE),IF('Adatlap'!$L$1="Magyar","Jelölje be!","Please, check!"),"")</f>
      </c>
      <c r="C394" t="s" s="915">
        <f>IF('Adatlap'!$L$1="Magyar",'Fordítások'!C548,'Fordítások'!B548)</f>
        <v>765</v>
      </c>
      <c r="L394" t="b" s="34">
        <v>0</v>
      </c>
    </row>
    <row r="395" s="298" customFormat="1" ht="12.75" customHeight="1">
      <c r="B395" s="120"/>
    </row>
    <row r="396" s="298" customFormat="1" ht="24.95" customHeight="1" hidden="1">
      <c r="C396" t="s" s="12">
        <f>IF('Adatlap'!$L$1="Magyar",'Fordítások'!C549,'Fordítások'!B549)</f>
        <v>766</v>
      </c>
      <c r="D396" s="850"/>
      <c r="E396" s="850"/>
      <c r="F396" s="850"/>
      <c r="G396" s="850"/>
      <c r="H396" s="850"/>
      <c r="I396" s="850"/>
      <c r="J396" s="850"/>
    </row>
    <row r="397" s="298" customFormat="1" ht="24.95" customHeight="1" hidden="1">
      <c r="C397" t="s" s="12">
        <f>IF('Adatlap'!$L$1="Magyar",'Fordítások'!C550,'Fordítások'!B550)</f>
        <v>767</v>
      </c>
      <c r="D397" s="850"/>
      <c r="E397" s="850"/>
      <c r="F397" s="850"/>
      <c r="G397" s="850"/>
      <c r="H397" s="850"/>
      <c r="I397" s="850"/>
      <c r="J397" s="850"/>
    </row>
    <row r="398" s="298" customFormat="1" ht="24.95" customHeight="1" hidden="1">
      <c r="C398" t="s" s="12">
        <f>IF('Adatlap'!$L$1="Magyar",'Fordítások'!C551,'Fordítások'!B551)</f>
        <v>768</v>
      </c>
      <c r="D398" s="850"/>
      <c r="E398" s="850"/>
      <c r="F398" s="850"/>
      <c r="G398" s="850"/>
      <c r="H398" s="850"/>
      <c r="I398" s="850"/>
      <c r="J398" s="850"/>
    </row>
    <row r="399" s="298" customFormat="1" ht="24.95" customHeight="1" hidden="1">
      <c r="C399" t="s" s="12">
        <f>IF('Adatlap'!$L$1="Magyar",'Fordítások'!C552,'Fordítások'!B552)</f>
        <v>769</v>
      </c>
      <c r="D399" s="850"/>
      <c r="E399" s="850"/>
      <c r="F399" s="850"/>
      <c r="G399" s="850"/>
      <c r="H399" s="850"/>
      <c r="I399" s="850"/>
      <c r="J399" s="850"/>
    </row>
    <row r="400" s="298" customFormat="1" ht="24.95" customHeight="1" hidden="1">
      <c r="C400" t="s" s="12">
        <f>IF('Adatlap'!$L$1="Magyar",'Fordítások'!C553,'Fordítások'!B553)</f>
        <v>770</v>
      </c>
      <c r="D400" s="850"/>
      <c r="E400" s="850"/>
      <c r="F400" s="850"/>
      <c r="G400" s="850"/>
      <c r="H400" s="850"/>
      <c r="I400" s="850"/>
      <c r="J400" s="850"/>
    </row>
    <row r="401" s="298" customFormat="1" ht="12.75" customHeight="1">
      <c r="B401" t="s" s="119">
        <f>IF(AND($L$372=TRUE,L401=FALSE),IF('Adatlap'!$L$1="Magyar","Jelölje be!","Please, check!"),"")</f>
      </c>
      <c r="C401" t="s" s="710">
        <f>IF('Adatlap'!$L$1="Magyar",'Fordítások'!C554,'Fordítások'!B554)</f>
        <v>771</v>
      </c>
      <c r="D401" s="96"/>
      <c r="E401" s="96"/>
      <c r="F401" s="96"/>
      <c r="G401" s="96"/>
      <c r="H401" s="96"/>
      <c r="I401" s="96"/>
      <c r="J401" s="96"/>
      <c r="L401" t="b" s="34">
        <v>0</v>
      </c>
    </row>
    <row r="402" s="298" customFormat="1" ht="12.75" customHeight="1">
      <c r="B402" s="120"/>
      <c r="C402" s="96"/>
      <c r="D402" s="96"/>
      <c r="E402" s="96"/>
      <c r="F402" s="96"/>
      <c r="G402" s="96"/>
      <c r="H402" s="96"/>
      <c r="I402" s="96"/>
      <c r="J402" s="96"/>
    </row>
    <row r="404" s="298" customFormat="1" ht="12.75" customHeight="1" hidden="1">
      <c r="B404" t="s" s="864">
        <f>IF('Adatlap'!$L$1="Magyar",'Fordítások'!C555,'Fordítások'!B555)</f>
        <v>772</v>
      </c>
    </row>
    <row r="406" s="298" customFormat="1" ht="12.75" customHeight="1">
      <c r="B406" t="s" s="119">
        <f>IF(AND($L$372=TRUE,L406=FALSE),IF('Adatlap'!$L$1="Magyar","Jelölje be!","Please, check!"),"")</f>
      </c>
      <c r="C406" t="s" s="710">
        <f>IF('Adatlap'!$L$1="Magyar",'Fordítások'!C556,'Fordítások'!B556)</f>
        <v>773</v>
      </c>
      <c r="D406" s="96"/>
      <c r="E406" s="96"/>
      <c r="F406" s="96"/>
      <c r="G406" s="96"/>
      <c r="H406" s="96"/>
      <c r="I406" s="96"/>
      <c r="J406" s="96"/>
      <c r="L406" t="b" s="34">
        <v>0</v>
      </c>
    </row>
    <row r="407" s="298" customFormat="1" ht="12.75" customHeight="1">
      <c r="B407" s="120"/>
      <c r="C407" s="96"/>
      <c r="D407" s="96"/>
      <c r="E407" s="96"/>
      <c r="F407" s="96"/>
      <c r="G407" s="96"/>
      <c r="H407" s="96"/>
      <c r="I407" s="96"/>
      <c r="J407" s="96"/>
    </row>
    <row r="409" s="298" customFormat="1" ht="12.75" customHeight="1">
      <c r="B409" t="s" s="119">
        <f>IF(AND($L$372=TRUE,L409=FALSE),IF('Adatlap'!$L$1="Magyar","Jelölje be!","Please, check!"),"")</f>
      </c>
      <c r="C409" t="s" s="710">
        <f>IF('Adatlap'!$L$1="Magyar",'Fordítások'!C557,'Fordítások'!B557)</f>
        <v>774</v>
      </c>
      <c r="D409" s="96"/>
      <c r="E409" s="96"/>
      <c r="F409" s="96"/>
      <c r="G409" s="96"/>
      <c r="H409" s="96"/>
      <c r="I409" s="96"/>
      <c r="J409" s="96"/>
      <c r="L409" t="b" s="34">
        <v>0</v>
      </c>
    </row>
    <row r="410" s="298" customFormat="1" ht="12.75" customHeight="1">
      <c r="B410" s="120"/>
      <c r="C410" s="96"/>
      <c r="D410" s="96"/>
      <c r="E410" s="96"/>
      <c r="F410" s="96"/>
      <c r="G410" s="96"/>
      <c r="H410" s="96"/>
      <c r="I410" s="96"/>
      <c r="J410" s="96"/>
    </row>
    <row r="412" s="298" customFormat="1" ht="12.75" customHeight="1" hidden="1">
      <c r="B412" t="s" s="864">
        <f>IF('Adatlap'!$L$1="Magyar",'Fordítások'!C558,'Fordítások'!B558)</f>
        <v>775</v>
      </c>
    </row>
    <row r="414" s="298" customFormat="1" ht="12.75" customHeight="1">
      <c r="B414" t="s" s="119">
        <f>IF(AND($L$372=TRUE,L414=FALSE),IF('Adatlap'!$L$1="Magyar","Jelölje be!","Please, check!"),"")</f>
      </c>
      <c r="C414" t="s" s="710">
        <f>IF('Adatlap'!$L$1="Magyar",'Fordítások'!C559,'Fordítások'!B559)</f>
        <v>776</v>
      </c>
      <c r="D414" s="96"/>
      <c r="E414" s="96"/>
      <c r="F414" s="96"/>
      <c r="G414" s="96"/>
      <c r="H414" s="96"/>
      <c r="I414" s="96"/>
      <c r="J414" s="96"/>
      <c r="L414" t="b" s="34">
        <v>0</v>
      </c>
    </row>
    <row r="415" s="298" customFormat="1" ht="12.75" customHeight="1">
      <c r="B415" s="120"/>
      <c r="C415" s="96"/>
      <c r="D415" s="96"/>
      <c r="E415" s="96"/>
      <c r="F415" s="96"/>
      <c r="G415" s="96"/>
      <c r="H415" s="96"/>
      <c r="I415" s="96"/>
      <c r="J415" s="96"/>
    </row>
    <row r="416" s="298" customFormat="1" ht="38.25" customHeight="1">
      <c r="C416" s="96"/>
      <c r="D416" s="96"/>
      <c r="E416" s="96"/>
      <c r="F416" s="96"/>
      <c r="G416" s="96"/>
      <c r="H416" s="96"/>
      <c r="I416" s="96"/>
      <c r="J416" s="96"/>
    </row>
    <row r="417" s="298" customFormat="1" ht="12.75" customHeight="1">
      <c r="B417" t="s" s="119">
        <f>IF(AND($L$372=TRUE,L417=FALSE),IF('Adatlap'!$L$1="Magyar","Jelölje be!","Please, check!"),"")</f>
      </c>
      <c r="C417" t="s" s="710">
        <f>IF('Adatlap'!$L$1="Magyar",'Fordítások'!C560,'Fordítások'!B560)</f>
        <v>777</v>
      </c>
      <c r="D417" s="96"/>
      <c r="E417" s="96"/>
      <c r="F417" s="96"/>
      <c r="G417" s="96"/>
      <c r="H417" s="96"/>
      <c r="I417" s="96"/>
      <c r="J417" s="96"/>
      <c r="L417" t="b" s="34">
        <v>0</v>
      </c>
    </row>
    <row r="418" s="298" customFormat="1" ht="12.75" customHeight="1">
      <c r="B418" s="120"/>
      <c r="C418" s="96"/>
      <c r="D418" s="96"/>
      <c r="E418" s="96"/>
      <c r="F418" s="96"/>
      <c r="G418" s="96"/>
      <c r="H418" s="96"/>
      <c r="I418" s="96"/>
      <c r="J418" s="96"/>
    </row>
    <row r="419" s="298" customFormat="1" ht="12.75" customHeight="1">
      <c r="C419" s="96"/>
      <c r="D419" s="96"/>
      <c r="E419" s="96"/>
      <c r="F419" s="96"/>
      <c r="G419" s="96"/>
      <c r="H419" s="96"/>
      <c r="I419" s="96"/>
      <c r="J419" s="96"/>
    </row>
    <row r="421" s="298" customFormat="1" ht="12.75" customHeight="1" hidden="1">
      <c r="B421" t="s" s="864">
        <f>IF('Adatlap'!$L$1="Magyar",'Fordítások'!C561,'Fordítások'!B561)</f>
        <v>778</v>
      </c>
    </row>
    <row r="423" s="298" customFormat="1" ht="12.75" customHeight="1">
      <c r="B423" t="s" s="119">
        <f>IF(AND($L$372=TRUE,L423=FALSE),IF('Adatlap'!$L$1="Magyar","Jelölje be!","Please, check!"),"")</f>
      </c>
      <c r="C423" t="s" s="710">
        <f>IF('Adatlap'!$L$1="Magyar",'Fordítások'!C562,'Fordítások'!B562)</f>
        <v>779</v>
      </c>
      <c r="D423" s="96"/>
      <c r="E423" s="96"/>
      <c r="F423" s="96"/>
      <c r="G423" s="96"/>
      <c r="H423" s="96"/>
      <c r="I423" s="799"/>
      <c r="J423" t="s" s="1022">
        <f>IF('Adatlap'!L1="Magyar",".","CFU per ml")</f>
        <v>780</v>
      </c>
      <c r="L423" t="b" s="34">
        <v>0</v>
      </c>
    </row>
    <row r="424" s="298" customFormat="1" ht="12.75" customHeight="1">
      <c r="B424" s="120"/>
      <c r="C424" s="96"/>
      <c r="D424" s="96"/>
      <c r="E424" s="96"/>
      <c r="F424" s="96"/>
      <c r="G424" s="96"/>
      <c r="H424" s="96"/>
      <c r="I424" s="799"/>
      <c r="J424" s="1023"/>
    </row>
    <row r="425" s="298" customFormat="1" ht="48.75" customHeight="1" hidden="1">
      <c r="C425" t="s" s="900">
        <f>IF('Adatlap'!$L$1="Magyar",'Fordítások'!C563,'Fordítások'!B563)</f>
        <v>781</v>
      </c>
      <c r="D425" s="153"/>
      <c r="E425" s="153"/>
      <c r="F425" s="153"/>
      <c r="G425" s="153"/>
      <c r="H425" s="153"/>
      <c r="I425" s="882"/>
      <c r="J425" s="153"/>
    </row>
    <row r="426" s="298" customFormat="1" ht="24.95" customHeight="1" hidden="1">
      <c r="B426" t="s" s="897">
        <f>IF(AND($L$372=TRUE,L426=FALSE),IF('Adatlap'!$L$1="Magyar","Jelölje be!","Please, check!"),"")</f>
      </c>
      <c r="C426" t="s" s="710">
        <f>IF('Adatlap'!$L$1="Magyar",'Fordítások'!C564,'Fordítások'!B564)</f>
        <v>782</v>
      </c>
      <c r="D426" s="96"/>
      <c r="E426" s="96"/>
      <c r="F426" s="96"/>
      <c r="G426" s="96"/>
      <c r="H426" s="96"/>
      <c r="I426" s="96"/>
      <c r="J426" s="96"/>
      <c r="L426" t="b" s="34">
        <v>0</v>
      </c>
    </row>
    <row r="427" s="298" customFormat="1" ht="31.5" customHeight="1" hidden="1">
      <c r="B427" t="s" s="864">
        <f>IF('Adatlap'!$L$1="Magyar",'Fordítások'!C565,'Fordítások'!B565)</f>
        <v>783</v>
      </c>
      <c r="C427" s="850"/>
      <c r="D427" s="850"/>
      <c r="E427" s="850"/>
      <c r="F427" s="850"/>
      <c r="G427" s="850"/>
      <c r="H427" s="850"/>
      <c r="I427" s="850"/>
      <c r="J427" s="850"/>
    </row>
    <row r="428" s="298" customFormat="1" ht="12.75" customHeight="1" hidden="1">
      <c r="C428" s="850"/>
      <c r="D428" s="850"/>
      <c r="E428" s="850"/>
      <c r="F428" s="850"/>
      <c r="G428" s="850"/>
      <c r="H428" s="850"/>
      <c r="I428" s="850"/>
      <c r="J428" s="850"/>
    </row>
    <row r="429" s="298" customFormat="1" ht="12.75" customHeight="1">
      <c r="B429" t="s" s="119">
        <f>IF(AND($L$372=TRUE,L429=FALSE),IF('Adatlap'!$L$1="Magyar","Jelölje be!","Please, check!"),"")</f>
      </c>
      <c r="C429" t="s" s="710">
        <f>IF('Adatlap'!$L$1="Magyar",'Fordítások'!C566,'Fordítások'!B566)</f>
        <v>784</v>
      </c>
      <c r="D429" s="96"/>
      <c r="E429" s="96"/>
      <c r="F429" s="96"/>
      <c r="G429" s="96"/>
      <c r="H429" s="96"/>
      <c r="I429" s="96"/>
      <c r="J429" s="96"/>
      <c r="L429" t="b" s="34">
        <v>0</v>
      </c>
    </row>
    <row r="430" s="298" customFormat="1" ht="12.75" customHeight="1">
      <c r="B430" s="120"/>
      <c r="C430" s="96"/>
      <c r="D430" s="96"/>
      <c r="E430" s="96"/>
      <c r="F430" s="96"/>
      <c r="G430" s="96"/>
      <c r="H430" s="96"/>
      <c r="I430" s="96"/>
      <c r="J430" s="96"/>
    </row>
    <row r="431" s="298" customFormat="1" ht="20.25" customHeight="1">
      <c r="C431" s="96"/>
      <c r="D431" s="96"/>
      <c r="E431" s="96"/>
      <c r="F431" s="96"/>
      <c r="G431" s="96"/>
      <c r="H431" s="96"/>
      <c r="I431" s="96"/>
      <c r="J431" s="96"/>
    </row>
    <row r="432" s="298" customFormat="1" ht="12.75" customHeight="1">
      <c r="B432" t="s" s="119">
        <f>IF(AND($L$372=TRUE,L432=FALSE),IF('Adatlap'!$L$1="Magyar","Jelölje be!","Please, check!"),"")</f>
      </c>
      <c r="C432" t="s" s="710">
        <f>IF('Adatlap'!$L$1="Magyar",'Fordítások'!C567,'Fordítások'!B567)</f>
        <v>785</v>
      </c>
      <c r="D432" s="96"/>
      <c r="E432" s="96"/>
      <c r="F432" s="96"/>
      <c r="G432" s="96"/>
      <c r="H432" s="96"/>
      <c r="I432" s="96"/>
      <c r="J432" s="96"/>
      <c r="L432" t="b" s="34">
        <v>0</v>
      </c>
    </row>
    <row r="433" s="298" customFormat="1" ht="12.75" customHeight="1">
      <c r="B433" s="120"/>
      <c r="C433" s="96"/>
      <c r="D433" s="96"/>
      <c r="E433" s="96"/>
      <c r="F433" s="96"/>
      <c r="G433" s="96"/>
      <c r="H433" s="96"/>
      <c r="I433" s="96"/>
      <c r="J433" s="96"/>
    </row>
    <row r="434" s="298" customFormat="1" ht="12.75" customHeight="1" hidden="1">
      <c r="C434" s="850"/>
      <c r="D434" s="850"/>
      <c r="E434" s="850"/>
      <c r="F434" s="850"/>
      <c r="G434" s="850"/>
      <c r="H434" s="850"/>
      <c r="I434" s="850"/>
      <c r="J434" s="850"/>
    </row>
    <row r="435" s="298" customFormat="1" ht="12.75" customHeight="1" hidden="1">
      <c r="B435" t="s" s="864">
        <f>IF('Adatlap'!$L$1="Magyar",'Fordítások'!C568,'Fordítások'!B568)</f>
        <v>786</v>
      </c>
      <c r="C435" s="850"/>
      <c r="D435" s="850"/>
      <c r="E435" s="850"/>
      <c r="F435" s="850"/>
      <c r="G435" s="850"/>
      <c r="H435" s="850"/>
      <c r="I435" s="850"/>
      <c r="J435" s="850"/>
    </row>
    <row r="436" s="298" customFormat="1" ht="12.75" customHeight="1" hidden="1">
      <c r="C436" s="850"/>
      <c r="D436" s="850"/>
      <c r="E436" s="850"/>
      <c r="F436" s="850"/>
      <c r="G436" s="850"/>
      <c r="H436" s="850"/>
      <c r="I436" s="850"/>
      <c r="J436" s="850"/>
    </row>
    <row r="437" s="298" customFormat="1" ht="12.75" customHeight="1">
      <c r="B437" t="s" s="119">
        <f>IF(AND($L$372=TRUE,L437=FALSE),IF('Adatlap'!$L$1="Magyar","Jelölje be!","Please, check!"),"")</f>
      </c>
      <c r="C437" t="s" s="710">
        <f>IF('Adatlap'!$L$1="Magyar",'Fordítások'!C569,'Fordítások'!B569)</f>
        <v>787</v>
      </c>
      <c r="D437" s="96"/>
      <c r="E437" s="96"/>
      <c r="F437" s="96"/>
      <c r="G437" s="96"/>
      <c r="H437" s="96"/>
      <c r="I437" s="96"/>
      <c r="J437" s="96"/>
      <c r="L437" t="b" s="34">
        <v>0</v>
      </c>
    </row>
    <row r="438" s="298" customFormat="1" ht="12.75" customHeight="1">
      <c r="B438" s="120"/>
      <c r="C438" s="96"/>
      <c r="D438" s="96"/>
      <c r="E438" s="96"/>
      <c r="F438" s="96"/>
      <c r="G438" s="96"/>
      <c r="H438" s="96"/>
      <c r="I438" s="96"/>
      <c r="J438" s="96"/>
    </row>
    <row r="439" s="298" customFormat="1" ht="12.75" customHeight="1">
      <c r="C439" s="96"/>
      <c r="D439" s="96"/>
      <c r="E439" s="96"/>
      <c r="F439" s="96"/>
      <c r="G439" s="96"/>
      <c r="H439" s="96"/>
      <c r="I439" s="96"/>
      <c r="J439" s="96"/>
    </row>
    <row r="440" s="298" customFormat="1" ht="10.5" customHeight="1" hidden="1">
      <c r="C440" s="96"/>
      <c r="D440" s="96"/>
      <c r="E440" s="96"/>
      <c r="F440" s="96"/>
      <c r="G440" s="96"/>
      <c r="H440" s="96"/>
      <c r="I440" s="96"/>
      <c r="J440" s="96"/>
    </row>
    <row r="441" s="298" customFormat="1" ht="17.25" customHeight="1" hidden="1">
      <c r="B441" t="s" s="915">
        <f>B343</f>
        <v>744</v>
      </c>
      <c r="C441" s="96"/>
      <c r="D441" s="96"/>
      <c r="E441" s="96"/>
      <c r="F441" s="96"/>
      <c r="G441" s="96"/>
      <c r="H441" s="96"/>
      <c r="I441" s="96"/>
      <c r="J441" s="96"/>
    </row>
    <row r="442" s="298" customFormat="1" ht="12.75" customHeight="1">
      <c r="B442" t="s" s="119">
        <f>IF(AND($L$372=TRUE,L442=FALSE),IF('Adatlap'!$L$1="Magyar","Jelölje be!","Please, check!"),"")</f>
      </c>
      <c r="C442" t="s" s="710">
        <f>IF('Adatlap'!$L$1="Magyar",'Fordítások'!C570,'Fordítások'!B570)</f>
        <v>788</v>
      </c>
      <c r="D442" s="96"/>
      <c r="E442" s="96"/>
      <c r="F442" s="96"/>
      <c r="G442" s="96"/>
      <c r="H442" s="96"/>
      <c r="I442" s="96"/>
      <c r="J442" s="96"/>
      <c r="L442" t="b" s="34">
        <v>0</v>
      </c>
    </row>
    <row r="443" s="298" customFormat="1" ht="12.75" customHeight="1">
      <c r="B443" s="120"/>
      <c r="C443" s="96"/>
      <c r="D443" s="96"/>
      <c r="E443" s="96"/>
      <c r="F443" s="96"/>
      <c r="G443" s="96"/>
      <c r="H443" s="96"/>
      <c r="I443" s="96"/>
      <c r="J443" s="96"/>
    </row>
    <row r="445" s="298" customFormat="1" ht="12.75" customHeight="1">
      <c r="B445" t="s" s="119">
        <f>IF(AND($L$372=TRUE,L445=FALSE),IF('Adatlap'!$L$1="Magyar","Jelölje be!","Please, check!"),"")</f>
      </c>
      <c r="C445" t="s" s="710">
        <f>IF('Adatlap'!$L$1="Magyar",'Fordítások'!C571,'Fordítások'!B571)</f>
        <v>789</v>
      </c>
      <c r="D445" s="96"/>
      <c r="E445" s="96"/>
      <c r="F445" s="96"/>
      <c r="G445" s="96"/>
      <c r="H445" s="96"/>
      <c r="I445" s="96"/>
      <c r="J445" s="96"/>
      <c r="L445" t="b" s="34">
        <v>0</v>
      </c>
    </row>
    <row r="446" s="298" customFormat="1" ht="12.75" customHeight="1">
      <c r="B446" s="120"/>
      <c r="C446" s="96"/>
      <c r="D446" s="96"/>
      <c r="E446" s="96"/>
      <c r="F446" s="96"/>
      <c r="G446" s="96"/>
      <c r="H446" s="96"/>
      <c r="I446" s="96"/>
      <c r="J446" s="96"/>
    </row>
    <row r="448" s="298" customFormat="1" ht="12.75" customHeight="1" hidden="1">
      <c r="B448" t="s" s="864">
        <f>IF('Adatlap'!$L$1="Magyar",'Fordítások'!C572,'Fordítások'!B572)</f>
        <v>790</v>
      </c>
      <c r="C448" s="850"/>
      <c r="D448" s="850"/>
      <c r="E448" s="850"/>
      <c r="F448" s="850"/>
      <c r="G448" s="850"/>
      <c r="H448" s="850"/>
      <c r="I448" s="850"/>
      <c r="J448" s="850"/>
    </row>
    <row r="449" s="298" customFormat="1" ht="12.75" customHeight="1" hidden="1">
      <c r="C449" s="850"/>
      <c r="D449" s="850"/>
      <c r="E449" s="850"/>
      <c r="F449" s="850"/>
      <c r="G449" s="850"/>
      <c r="H449" s="850"/>
      <c r="I449" s="850"/>
      <c r="J449" s="850"/>
    </row>
    <row r="450" s="298" customFormat="1" ht="12.75" customHeight="1">
      <c r="B450" t="s" s="119">
        <f>IF(AND($L$372=TRUE,L450=FALSE),IF('Adatlap'!$L$1="Magyar","Jelölje be!","Please, check!"),"")</f>
      </c>
      <c r="C450" t="s" s="710">
        <f>IF('Adatlap'!$L$1="Magyar",'Fordítások'!C573,'Fordítások'!B573)</f>
        <v>791</v>
      </c>
      <c r="D450" s="96"/>
      <c r="E450" s="96"/>
      <c r="F450" s="96"/>
      <c r="G450" s="96"/>
      <c r="H450" s="96"/>
      <c r="I450" s="96"/>
      <c r="J450" s="96"/>
      <c r="L450" t="b" s="34">
        <v>0</v>
      </c>
    </row>
    <row r="451" s="298" customFormat="1" ht="12.75" customHeight="1">
      <c r="B451" s="120"/>
      <c r="C451" s="96"/>
      <c r="D451" s="96"/>
      <c r="E451" s="96"/>
      <c r="F451" s="96"/>
      <c r="G451" s="96"/>
      <c r="H451" s="96"/>
      <c r="I451" s="96"/>
      <c r="J451" s="96"/>
    </row>
    <row r="452" s="298" customFormat="1" ht="12.75" customHeight="1">
      <c r="C452" s="96"/>
      <c r="D452" s="96"/>
      <c r="E452" s="96"/>
      <c r="F452" s="96"/>
      <c r="G452" s="96"/>
      <c r="H452" s="96"/>
      <c r="I452" s="96"/>
      <c r="J452" s="96"/>
    </row>
    <row r="453" s="298" customFormat="1" ht="24.95" customHeight="1">
      <c r="B453" t="s" s="897">
        <f>IF(AND($L$372=TRUE,L453=FALSE),IF('Adatlap'!$L$1="Magyar","Jelölje be!","Please, check!"),"")</f>
      </c>
      <c r="C453" t="s" s="710">
        <f>IF('Adatlap'!$L$1="Magyar",'Fordítások'!C574,'Fordítások'!B574)</f>
        <v>792</v>
      </c>
      <c r="D453" s="96"/>
      <c r="E453" s="96"/>
      <c r="F453" s="96"/>
      <c r="G453" s="96"/>
      <c r="H453" s="96"/>
      <c r="I453" s="96"/>
      <c r="J453" s="96"/>
      <c r="L453" t="b" s="34">
        <v>0</v>
      </c>
    </row>
    <row r="454" s="298" customFormat="1" ht="12.75" customHeight="1">
      <c r="C454" s="96"/>
      <c r="D454" s="96"/>
      <c r="E454" s="96"/>
      <c r="F454" s="96"/>
      <c r="G454" s="96"/>
      <c r="H454" s="96"/>
      <c r="I454" s="96"/>
      <c r="J454" s="96"/>
    </row>
    <row r="456" s="298" customFormat="1" ht="12.75" customHeight="1" hidden="1">
      <c r="B456" t="s" s="864">
        <f>IF('Adatlap'!$L$1="Magyar",'Fordítások'!C575,'Fordítások'!B575)</f>
        <v>793</v>
      </c>
      <c r="C456" s="850"/>
      <c r="D456" s="850"/>
      <c r="E456" s="850"/>
      <c r="F456" s="850"/>
      <c r="G456" s="850"/>
      <c r="H456" s="850"/>
      <c r="I456" s="850"/>
      <c r="J456" s="850"/>
    </row>
    <row r="457" s="298" customFormat="1" ht="12.75" customHeight="1" hidden="1">
      <c r="C457" s="850"/>
      <c r="D457" s="850"/>
      <c r="E457" s="850"/>
      <c r="F457" s="850"/>
      <c r="G457" s="850"/>
      <c r="H457" s="850"/>
      <c r="I457" s="850"/>
      <c r="J457" s="850"/>
    </row>
    <row r="458" s="298" customFormat="1" ht="24.95" customHeight="1" hidden="1">
      <c r="B458" t="s" s="897">
        <f>IF(AND($L$372=TRUE,L458=FALSE),IF('Adatlap'!$L$1="Magyar","Jelölje be!","Please, check!"),"")</f>
      </c>
      <c r="C458" t="s" s="710">
        <f>IF('Adatlap'!$L$1="Magyar",'Fordítások'!C576,'Fordítások'!B576)</f>
        <v>794</v>
      </c>
      <c r="D458" s="96"/>
      <c r="E458" s="96"/>
      <c r="F458" s="96"/>
      <c r="G458" s="96"/>
      <c r="H458" s="96"/>
      <c r="I458" s="96"/>
      <c r="J458" s="96"/>
      <c r="L458" t="b" s="34">
        <v>0</v>
      </c>
    </row>
    <row r="459" s="298" customFormat="1" ht="20.1" customHeight="1" hidden="1">
      <c r="C459" t="s" s="710">
        <f>IF('Adatlap'!$L$1="Magyar",'Fordítások'!C577,'Fordítások'!B577)</f>
        <v>795</v>
      </c>
      <c r="D459" s="96"/>
      <c r="E459" s="96"/>
      <c r="F459" s="96"/>
      <c r="G459" s="96"/>
      <c r="H459" s="96"/>
      <c r="I459" s="96"/>
      <c r="J459" s="96"/>
    </row>
    <row r="460" s="298" customFormat="1" ht="20.1" customHeight="1" hidden="1">
      <c r="C460" t="s" s="710">
        <f>IF('Adatlap'!$L$1="Magyar",'Fordítások'!C578,'Fordítások'!B578)</f>
        <v>796</v>
      </c>
      <c r="D460" s="96"/>
      <c r="E460" s="96"/>
      <c r="F460" s="96"/>
      <c r="G460" s="96"/>
      <c r="H460" s="96"/>
      <c r="I460" s="96"/>
      <c r="J460" s="96"/>
    </row>
    <row r="461" s="298" customFormat="1" ht="20.1" customHeight="1" hidden="1">
      <c r="C461" t="s" s="710">
        <f>IF('Adatlap'!$L$1="Magyar",'Fordítások'!C579,'Fordítások'!B579)</f>
        <v>797</v>
      </c>
      <c r="D461" s="96"/>
      <c r="E461" s="96"/>
      <c r="F461" s="96"/>
      <c r="G461" s="96"/>
      <c r="H461" s="96"/>
      <c r="I461" s="96"/>
      <c r="J461" s="96"/>
    </row>
    <row r="462" s="298" customFormat="1" ht="20.1" customHeight="1" hidden="1">
      <c r="C462" t="s" s="710">
        <f>IF('Adatlap'!$L$1="Magyar",'Fordítások'!C580,'Fordítások'!B580)</f>
        <v>798</v>
      </c>
      <c r="D462" s="96"/>
      <c r="E462" s="96"/>
      <c r="F462" s="96"/>
      <c r="G462" s="96"/>
      <c r="H462" s="96"/>
      <c r="I462" s="96"/>
      <c r="J462" s="96"/>
    </row>
    <row r="463" s="298" customFormat="1" ht="12.75" customHeight="1" hidden="1">
      <c r="C463" s="96"/>
      <c r="D463" s="96"/>
      <c r="E463" s="96"/>
      <c r="F463" s="96"/>
      <c r="G463" s="96"/>
      <c r="H463" s="96"/>
      <c r="I463" s="96"/>
      <c r="J463" s="96"/>
    </row>
    <row r="464" s="298" customFormat="1" ht="12.75" customHeight="1">
      <c r="B464" t="s" s="119">
        <f>IF(AND($L$372=TRUE,L464=FALSE),IF('Adatlap'!$L$1="Magyar","Jelölje be!","Please, check!"),"")</f>
      </c>
      <c r="C464" t="s" s="710">
        <f>C453</f>
        <v>799</v>
      </c>
      <c r="D464" s="96"/>
      <c r="E464" s="96"/>
      <c r="F464" s="96"/>
      <c r="G464" s="96"/>
      <c r="H464" s="96"/>
      <c r="I464" s="96"/>
      <c r="J464" s="96"/>
      <c r="L464" t="b" s="34">
        <v>0</v>
      </c>
    </row>
    <row r="465" s="298" customFormat="1" ht="12.75" customHeight="1">
      <c r="B465" s="120"/>
      <c r="C465" s="96"/>
      <c r="D465" s="96"/>
      <c r="E465" s="96"/>
      <c r="F465" s="96"/>
      <c r="G465" s="96"/>
      <c r="H465" s="96"/>
      <c r="I465" s="96"/>
      <c r="J465" s="96"/>
    </row>
    <row r="467" s="298" customFormat="1" ht="12.75" customHeight="1">
      <c r="A467" t="s" s="853">
        <f>A368</f>
        <v>800</v>
      </c>
      <c r="B467" t="s" s="864">
        <f>IF('Adatlap'!$L$1="Magyar",'Fordítások'!C677,'Fordítások'!B677)</f>
        <v>801</v>
      </c>
    </row>
    <row r="469" s="298" customFormat="1" ht="25.5" customHeight="1">
      <c r="A469" t="s" s="1024">
        <f>IF(L469=FALSE,IF('Adatlap'!$L$1="Magyar","Jelölje be!","Please, check!"),"")</f>
        <v>399</v>
      </c>
      <c r="B469" t="s" s="710">
        <f>IF('Adatlap'!$L$1="Magyar",'Fordítások'!C678,'Fordítások'!B678)</f>
        <v>802</v>
      </c>
      <c r="C469" s="96"/>
      <c r="D469" s="96"/>
      <c r="E469" s="96"/>
      <c r="F469" s="96"/>
      <c r="G469" s="96"/>
      <c r="H469" s="96"/>
      <c r="I469" s="96"/>
      <c r="J469" s="96"/>
      <c r="L469" t="b" s="34">
        <v>0</v>
      </c>
    </row>
    <row r="471" s="298" customFormat="1" ht="13.65" customHeight="1">
      <c r="A471" t="s" s="1024">
        <f>IF(L471=FALSE,IF('Adatlap'!$L$1="Magyar","Jelölje be!","Please, check!"),"")</f>
        <v>399</v>
      </c>
      <c r="B471" t="s" s="12">
        <f>IF('Adatlap'!$L$1="Magyar",'Fordítások'!C679,'Fordítások'!B679)</f>
        <v>803</v>
      </c>
      <c r="C471" s="850"/>
      <c r="D471" s="850"/>
      <c r="E471" s="850"/>
      <c r="F471" s="850"/>
      <c r="G471" s="850"/>
      <c r="H471" s="850"/>
      <c r="I471" s="850"/>
      <c r="J471" s="850"/>
      <c r="L471" t="b" s="34">
        <v>0</v>
      </c>
    </row>
    <row r="472" s="298" customFormat="1" ht="12.75" customHeight="1">
      <c r="A472" s="1025"/>
      <c r="B472" s="850"/>
      <c r="C472" s="850"/>
      <c r="D472" s="850"/>
      <c r="E472" s="850"/>
      <c r="F472" s="850"/>
      <c r="G472" s="850"/>
      <c r="H472" s="850"/>
      <c r="I472" s="850"/>
      <c r="J472" s="850"/>
    </row>
    <row r="473" s="298" customFormat="1" ht="36.75" customHeight="1">
      <c r="B473" s="1026"/>
      <c r="C473" s="1026"/>
      <c r="D473" s="1026"/>
      <c r="E473" s="1026"/>
      <c r="F473" s="1026"/>
      <c r="G473" s="1026"/>
      <c r="H473" s="1026"/>
      <c r="I473" s="1026"/>
      <c r="J473" s="1026"/>
    </row>
    <row r="474" s="298" customFormat="1" ht="13.65" customHeight="1">
      <c r="B474" t="s" s="898">
        <f>IF('Adatlap'!$L$1="Magyar",'Fordítások'!C21,'Fordítások'!B21)</f>
        <v>141</v>
      </c>
      <c r="C474" s="1027"/>
      <c r="D474" s="1027"/>
      <c r="E474" t="s" s="205">
        <f>IF('Adatlap'!$L$1="Magyar",'Fordítások'!C368,'Fordítások'!B368)</f>
        <v>269</v>
      </c>
      <c r="F474" s="883"/>
      <c r="G474" s="883"/>
      <c r="H474" t="s" s="884">
        <f>IF('Adatlap'!$L$1="Magyar",'Fordítások'!C680,'Fordítások'!B680)</f>
        <v>804</v>
      </c>
      <c r="I474" s="1028"/>
      <c r="J474" s="1028"/>
      <c r="N474" t="s" s="33">
        <v>805</v>
      </c>
    </row>
    <row r="475" s="298" customFormat="1" ht="12.75" customHeight="1">
      <c r="B475" s="1027"/>
      <c r="C475" s="1027"/>
      <c r="D475" s="1027"/>
      <c r="E475" s="883"/>
      <c r="F475" s="883"/>
      <c r="G475" s="883"/>
      <c r="H475" t="s" s="884">
        <f>IF('Adatlap'!$L$1="Magyar",'Fordítások'!C433,'Fordítások'!B433)</f>
        <v>806</v>
      </c>
      <c r="I475" s="1028"/>
      <c r="J475" s="1028"/>
    </row>
    <row r="476" s="298" customFormat="1" ht="12.75" customHeight="1">
      <c r="B476" t="s" s="381">
        <f>IF('Adatlap'!$L$1="Magyar",'Fordítások'!C681,'Fordítások'!B681)</f>
        <v>807</v>
      </c>
      <c r="C476" s="578"/>
      <c r="D476" s="578"/>
      <c r="E476" t="s" s="931">
        <f>IF('Összetétel'!O13=0,'Összetétel'!B13,"")</f>
      </c>
      <c r="F476" s="562"/>
      <c r="H476" t="s" s="1029">
        <f>IF('Összetétel'!O13=0,'Összetétel'!E13,"")</f>
      </c>
      <c r="I476" s="562"/>
      <c r="J476" s="891"/>
      <c r="L476" t="b" s="34">
        <f>IF(E476="",FALSE,TRUE)</f>
        <v>0</v>
      </c>
      <c r="M476" t="b" s="34">
        <f>IF(H476="",FALSE,TRUE)</f>
        <v>0</v>
      </c>
      <c r="N476" t="b" s="34">
        <v>0</v>
      </c>
    </row>
    <row r="477" s="298" customFormat="1" ht="12.75" customHeight="1">
      <c r="B477" s="578"/>
      <c r="C477" s="578"/>
      <c r="D477" s="578"/>
      <c r="E477" t="s" s="931">
        <f>IF('Összetétel'!O14=0,'Összetétel'!B14,"")</f>
      </c>
      <c r="F477" s="562"/>
      <c r="H477" t="s" s="1029">
        <f>IF('Összetétel'!O14=0,'Összetétel'!E14,"")</f>
      </c>
      <c r="I477" s="562"/>
      <c r="J477" s="891"/>
      <c r="L477" t="b" s="34">
        <f>IF(E477="",FALSE,TRUE)</f>
        <v>0</v>
      </c>
      <c r="M477" t="b" s="34">
        <f>IF(H477="",FALSE,TRUE)</f>
        <v>0</v>
      </c>
      <c r="N477" t="b" s="34">
        <v>0</v>
      </c>
    </row>
    <row r="478" s="298" customFormat="1" ht="12.75" customHeight="1">
      <c r="B478" s="578"/>
      <c r="C478" s="578"/>
      <c r="D478" s="578"/>
      <c r="E478" t="s" s="931">
        <f>IF('Összetétel'!O15=0,'Összetétel'!B15,"")</f>
      </c>
      <c r="F478" s="562"/>
      <c r="H478" t="s" s="1029">
        <f>IF('Összetétel'!O15=0,'Összetétel'!E15,"")</f>
      </c>
      <c r="I478" s="562"/>
      <c r="J478" s="891"/>
      <c r="L478" t="b" s="34">
        <f>IF(E478="",FALSE,TRUE)</f>
        <v>0</v>
      </c>
      <c r="M478" t="b" s="34">
        <f>IF(H478="",FALSE,TRUE)</f>
        <v>0</v>
      </c>
      <c r="N478" t="b" s="34">
        <v>0</v>
      </c>
    </row>
    <row r="479" s="298" customFormat="1" ht="12.75" customHeight="1">
      <c r="B479" s="578"/>
      <c r="C479" s="578"/>
      <c r="D479" s="578"/>
      <c r="E479" t="s" s="931">
        <f>IF('Összetétel'!O16=0,'Összetétel'!B16,"")</f>
      </c>
      <c r="F479" s="562"/>
      <c r="H479" t="s" s="1029">
        <f>IF('Összetétel'!O16=0,'Összetétel'!E16,"")</f>
      </c>
      <c r="I479" s="562"/>
      <c r="J479" s="891"/>
      <c r="L479" t="b" s="34">
        <f>IF(E479="",FALSE,TRUE)</f>
        <v>0</v>
      </c>
      <c r="M479" t="b" s="34">
        <f>IF(H479="",FALSE,TRUE)</f>
        <v>0</v>
      </c>
      <c r="N479" t="b" s="34">
        <v>0</v>
      </c>
    </row>
    <row r="480" s="298" customFormat="1" ht="12.75" customHeight="1">
      <c r="B480" s="578"/>
      <c r="C480" s="578"/>
      <c r="D480" s="578"/>
      <c r="E480" t="s" s="931">
        <f>IF('Összetétel'!O17=0,'Összetétel'!B17,"")</f>
      </c>
      <c r="F480" s="562"/>
      <c r="H480" t="s" s="1029">
        <f>IF('Összetétel'!O17=0,'Összetétel'!E17,"")</f>
      </c>
      <c r="I480" s="562"/>
      <c r="J480" s="891"/>
      <c r="L480" t="b" s="34">
        <f>IF(E480="",FALSE,TRUE)</f>
        <v>0</v>
      </c>
      <c r="M480" t="b" s="34">
        <f>IF(H480="",FALSE,TRUE)</f>
        <v>0</v>
      </c>
      <c r="N480" t="b" s="34">
        <v>0</v>
      </c>
    </row>
    <row r="481" s="298" customFormat="1" ht="12.75" customHeight="1">
      <c r="B481" s="578"/>
      <c r="C481" s="578"/>
      <c r="D481" s="578"/>
      <c r="E481" t="s" s="931">
        <f>IF('Összetétel'!O18=0,'Összetétel'!B18,"")</f>
      </c>
      <c r="F481" s="562"/>
      <c r="H481" t="s" s="1029">
        <f>IF('Összetétel'!O18=0,'Összetétel'!E18,"")</f>
      </c>
      <c r="I481" s="562"/>
      <c r="J481" s="891"/>
      <c r="L481" t="b" s="34">
        <f>IF(E481="",FALSE,TRUE)</f>
        <v>0</v>
      </c>
      <c r="M481" t="b" s="34">
        <f>IF(H481="",FALSE,TRUE)</f>
        <v>0</v>
      </c>
      <c r="N481" t="b" s="34">
        <v>0</v>
      </c>
    </row>
    <row r="482" s="298" customFormat="1" ht="12.75" customHeight="1">
      <c r="B482" s="578"/>
      <c r="C482" s="578"/>
      <c r="D482" s="578"/>
      <c r="E482" t="s" s="931">
        <f>IF('Összetétel'!O19=0,'Összetétel'!B19,"")</f>
      </c>
      <c r="F482" s="562"/>
      <c r="H482" t="s" s="1029">
        <f>IF('Összetétel'!O19=0,'Összetétel'!E19,"")</f>
      </c>
      <c r="I482" s="562"/>
      <c r="J482" s="891"/>
      <c r="L482" t="b" s="34">
        <f>IF(E482="",FALSE,TRUE)</f>
        <v>0</v>
      </c>
      <c r="M482" t="b" s="34">
        <f>IF(H482="",FALSE,TRUE)</f>
        <v>0</v>
      </c>
      <c r="N482" t="b" s="34">
        <v>0</v>
      </c>
    </row>
    <row r="483" s="298" customFormat="1" ht="12.75" customHeight="1">
      <c r="B483" s="578"/>
      <c r="C483" s="578"/>
      <c r="D483" s="578"/>
      <c r="E483" t="s" s="931">
        <f>IF('Összetétel'!O20=0,'Összetétel'!B20,"")</f>
      </c>
      <c r="F483" s="562"/>
      <c r="H483" t="s" s="1029">
        <f>IF('Összetétel'!O20=0,'Összetétel'!E20,"")</f>
      </c>
      <c r="I483" s="562"/>
      <c r="J483" s="891"/>
      <c r="L483" t="b" s="34">
        <f>IF(E483="",FALSE,TRUE)</f>
        <v>0</v>
      </c>
      <c r="M483" t="b" s="34">
        <f>IF(H483="",FALSE,TRUE)</f>
        <v>0</v>
      </c>
      <c r="N483" t="b" s="34">
        <v>0</v>
      </c>
    </row>
    <row r="484" s="298" customFormat="1" ht="12.75" customHeight="1">
      <c r="B484" s="578"/>
      <c r="C484" s="578"/>
      <c r="D484" s="578"/>
      <c r="E484" t="s" s="931">
        <f>IF('Összetétel'!O21=0,'Összetétel'!B21,"")</f>
      </c>
      <c r="F484" s="562"/>
      <c r="H484" t="s" s="1029">
        <f>IF('Összetétel'!O21=0,'Összetétel'!E21,"")</f>
      </c>
      <c r="I484" s="562"/>
      <c r="J484" s="891"/>
      <c r="L484" t="b" s="34">
        <f>IF(E484="",FALSE,TRUE)</f>
        <v>0</v>
      </c>
      <c r="M484" t="b" s="34">
        <f>IF(H484="",FALSE,TRUE)</f>
        <v>0</v>
      </c>
      <c r="N484" t="b" s="34">
        <v>0</v>
      </c>
    </row>
    <row r="485" s="298" customFormat="1" ht="12.75" customHeight="1">
      <c r="B485" s="578"/>
      <c r="C485" s="578"/>
      <c r="D485" s="578"/>
      <c r="E485" t="s" s="931">
        <f>IF('Összetétel'!O22=0,'Összetétel'!B22,"")</f>
      </c>
      <c r="F485" s="562"/>
      <c r="H485" t="s" s="1029">
        <f>IF('Összetétel'!O22=0,'Összetétel'!E22,"")</f>
      </c>
      <c r="I485" s="562"/>
      <c r="J485" s="891"/>
      <c r="L485" t="b" s="34">
        <f>IF(E485="",FALSE,TRUE)</f>
        <v>0</v>
      </c>
      <c r="M485" t="b" s="34">
        <f>IF(H485="",FALSE,TRUE)</f>
        <v>0</v>
      </c>
      <c r="N485" t="b" s="34">
        <v>0</v>
      </c>
    </row>
    <row r="486" s="298" customFormat="1" ht="12.75" customHeight="1">
      <c r="B486" s="578"/>
      <c r="C486" s="578"/>
      <c r="D486" s="578"/>
      <c r="E486" t="s" s="931">
        <f>IF('Összetétel'!O23=0,'Összetétel'!B23,"")</f>
      </c>
      <c r="F486" s="562"/>
      <c r="H486" t="s" s="1029">
        <f>IF('Összetétel'!O23=0,'Összetétel'!E23,"")</f>
      </c>
      <c r="I486" s="562"/>
      <c r="J486" s="891"/>
      <c r="L486" t="b" s="34">
        <f>IF(E486="",FALSE,TRUE)</f>
        <v>0</v>
      </c>
      <c r="M486" t="b" s="34">
        <f>IF(H486="",FALSE,TRUE)</f>
        <v>0</v>
      </c>
      <c r="N486" t="b" s="34">
        <v>0</v>
      </c>
    </row>
    <row r="488" s="298" customFormat="1" ht="12.75" customHeight="1">
      <c r="B488" t="s" s="752">
        <f>IF(L488=FALSE,IF('Adatlap'!$L$1="Magyar","Jelölje be!","Please, check!"),"")</f>
        <v>399</v>
      </c>
      <c r="C488" t="s" s="33">
        <f>IF('Adatlap'!$L$1="Magyar",'Fordítások'!C683,'Fordítások'!B683)</f>
        <v>808</v>
      </c>
      <c r="L488" t="b" s="34">
        <v>0</v>
      </c>
      <c r="N488" s="34">
        <f>_xlfn.COUNTIFS(N476:N486,TRUE)</f>
        <v>0</v>
      </c>
    </row>
    <row r="489" s="298" customFormat="1" ht="12.75" customHeight="1">
      <c r="B489" s="753"/>
    </row>
    <row r="491" s="298" customFormat="1" ht="32.25" customHeight="1">
      <c r="B491" t="s" s="1030">
        <f>IF('Összetétel'!O62=N488,"",IF('Adatlap'!$L$1="Magyar",'Fordítások'!C682,'Fordítások'!B682))</f>
      </c>
      <c r="C491" s="1031"/>
      <c r="D491" s="1031"/>
      <c r="E491" s="1031"/>
      <c r="F491" s="1031"/>
      <c r="G491" s="1031"/>
      <c r="H491" s="1031"/>
      <c r="I491" s="1031"/>
      <c r="J491" s="1031"/>
    </row>
    <row r="805" s="298" customFormat="1" ht="12.75" customHeight="1">
      <c r="L805" t="b" s="34">
        <v>0</v>
      </c>
    </row>
    <row r="807" s="298" customFormat="1" ht="12.75" customHeight="1">
      <c r="L807" t="b" s="419">
        <v>1</v>
      </c>
    </row>
  </sheetData>
  <mergeCells count="615">
    <mergeCell ref="A85:B85"/>
    <mergeCell ref="C85:D85"/>
    <mergeCell ref="G85:H85"/>
    <mergeCell ref="I85:J85"/>
    <mergeCell ref="A82:B82"/>
    <mergeCell ref="C82:D82"/>
    <mergeCell ref="G82:H82"/>
    <mergeCell ref="I82:J82"/>
    <mergeCell ref="A83:B83"/>
    <mergeCell ref="C83:D83"/>
    <mergeCell ref="G83:H83"/>
    <mergeCell ref="I83:J83"/>
    <mergeCell ref="A84:B84"/>
    <mergeCell ref="C84:D84"/>
    <mergeCell ref="G84:H84"/>
    <mergeCell ref="I84:J84"/>
    <mergeCell ref="A291:B291"/>
    <mergeCell ref="C291:F291"/>
    <mergeCell ref="G291:H291"/>
    <mergeCell ref="I291:J291"/>
    <mergeCell ref="G289:H289"/>
    <mergeCell ref="G290:H290"/>
    <mergeCell ref="I289:J289"/>
    <mergeCell ref="I290:J290"/>
    <mergeCell ref="A286:B290"/>
    <mergeCell ref="C289:F290"/>
    <mergeCell ref="C286:F286"/>
    <mergeCell ref="B243:J243"/>
    <mergeCell ref="B250:E250"/>
    <mergeCell ref="F250:J250"/>
    <mergeCell ref="F192:G192"/>
    <mergeCell ref="B193:E193"/>
    <mergeCell ref="F193:G193"/>
    <mergeCell ref="B194:E194"/>
    <mergeCell ref="F194:G194"/>
    <mergeCell ref="B195:E195"/>
    <mergeCell ref="F195:G195"/>
    <mergeCell ref="B196:E196"/>
    <mergeCell ref="F196:G196"/>
    <mergeCell ref="B197:E197"/>
    <mergeCell ref="F197:G197"/>
    <mergeCell ref="B198:E198"/>
    <mergeCell ref="F198:G198"/>
    <mergeCell ref="B199:E199"/>
    <mergeCell ref="F199:G199"/>
    <mergeCell ref="B244:E244"/>
    <mergeCell ref="F244:J244"/>
    <mergeCell ref="B245:E245"/>
    <mergeCell ref="F245:J245"/>
    <mergeCell ref="B246:E246"/>
    <mergeCell ref="F248:J248"/>
    <mergeCell ref="H486:J486"/>
    <mergeCell ref="A87:B87"/>
    <mergeCell ref="C87:D87"/>
    <mergeCell ref="E87:F87"/>
    <mergeCell ref="G87:H87"/>
    <mergeCell ref="I87:J87"/>
    <mergeCell ref="H475:J475"/>
    <mergeCell ref="B268:J269"/>
    <mergeCell ref="B256:E256"/>
    <mergeCell ref="F256:J256"/>
    <mergeCell ref="B372:J372"/>
    <mergeCell ref="D311:J312"/>
    <mergeCell ref="D303:J304"/>
    <mergeCell ref="B322:J322"/>
    <mergeCell ref="C326:J326"/>
    <mergeCell ref="B334:J334"/>
    <mergeCell ref="B336:J336"/>
    <mergeCell ref="B315:J315"/>
    <mergeCell ref="B313:J313"/>
    <mergeCell ref="B191:E191"/>
    <mergeCell ref="B471:J473"/>
    <mergeCell ref="B469:J469"/>
    <mergeCell ref="A471:A472"/>
    <mergeCell ref="H474:J474"/>
    <mergeCell ref="B491:J491"/>
    <mergeCell ref="B488:B489"/>
    <mergeCell ref="B476:D486"/>
    <mergeCell ref="E476:G476"/>
    <mergeCell ref="H476:J476"/>
    <mergeCell ref="E477:G477"/>
    <mergeCell ref="E478:G478"/>
    <mergeCell ref="E479:G479"/>
    <mergeCell ref="E480:G480"/>
    <mergeCell ref="E481:G481"/>
    <mergeCell ref="E482:G482"/>
    <mergeCell ref="E483:G483"/>
    <mergeCell ref="E484:G484"/>
    <mergeCell ref="E485:G485"/>
    <mergeCell ref="E486:G486"/>
    <mergeCell ref="H477:J477"/>
    <mergeCell ref="H478:J478"/>
    <mergeCell ref="H479:J479"/>
    <mergeCell ref="H482:J482"/>
    <mergeCell ref="H480:J480"/>
    <mergeCell ref="H481:J481"/>
    <mergeCell ref="H485:J485"/>
    <mergeCell ref="H483:J483"/>
    <mergeCell ref="H484:J484"/>
    <mergeCell ref="B251:E251"/>
    <mergeCell ref="F251:J251"/>
    <mergeCell ref="B263:J264"/>
    <mergeCell ref="C266:J267"/>
    <mergeCell ref="I287:J287"/>
    <mergeCell ref="C276:F276"/>
    <mergeCell ref="G276:H276"/>
    <mergeCell ref="I276:J276"/>
    <mergeCell ref="G277:H277"/>
    <mergeCell ref="I277:J277"/>
    <mergeCell ref="A278:B278"/>
    <mergeCell ref="G278:H278"/>
    <mergeCell ref="I278:J278"/>
    <mergeCell ref="G285:H285"/>
    <mergeCell ref="I285:J285"/>
    <mergeCell ref="G282:H282"/>
    <mergeCell ref="B259:E259"/>
    <mergeCell ref="F259:J259"/>
    <mergeCell ref="B258:J258"/>
    <mergeCell ref="B253:J253"/>
    <mergeCell ref="B252:E252"/>
    <mergeCell ref="F252:J252"/>
    <mergeCell ref="B271:J271"/>
    <mergeCell ref="G273:H273"/>
    <mergeCell ref="B254:E254"/>
    <mergeCell ref="F254:J254"/>
    <mergeCell ref="B255:E255"/>
    <mergeCell ref="F255:J255"/>
    <mergeCell ref="B370:J370"/>
    <mergeCell ref="C345:J345"/>
    <mergeCell ref="B351:J351"/>
    <mergeCell ref="D332:J333"/>
    <mergeCell ref="C352:J352"/>
    <mergeCell ref="B356:J356"/>
    <mergeCell ref="B366:J366"/>
    <mergeCell ref="C358:J358"/>
    <mergeCell ref="C361:J361"/>
    <mergeCell ref="C364:J364"/>
    <mergeCell ref="F257:J257"/>
    <mergeCell ref="A274:B274"/>
    <mergeCell ref="A276:B276"/>
    <mergeCell ref="C275:F275"/>
    <mergeCell ref="G275:H275"/>
    <mergeCell ref="C273:F273"/>
    <mergeCell ref="I284:J284"/>
    <mergeCell ref="G279:H279"/>
    <mergeCell ref="C293:J293"/>
    <mergeCell ref="A292:J292"/>
    <mergeCell ref="I340:J340"/>
    <mergeCell ref="C338:J338"/>
    <mergeCell ref="B296:J297"/>
    <mergeCell ref="B299:J299"/>
    <mergeCell ref="B301:J301"/>
    <mergeCell ref="B307:J307"/>
    <mergeCell ref="B306:J306"/>
    <mergeCell ref="B305:J305"/>
    <mergeCell ref="B474:D475"/>
    <mergeCell ref="E474:G475"/>
    <mergeCell ref="B423:B424"/>
    <mergeCell ref="B417:B418"/>
    <mergeCell ref="B380:C380"/>
    <mergeCell ref="D380:E380"/>
    <mergeCell ref="F380:G380"/>
    <mergeCell ref="H380:I380"/>
    <mergeCell ref="F379:G379"/>
    <mergeCell ref="H379:I379"/>
    <mergeCell ref="B381:C381"/>
    <mergeCell ref="D381:E381"/>
    <mergeCell ref="F381:G381"/>
    <mergeCell ref="H381:I381"/>
    <mergeCell ref="B382:C382"/>
    <mergeCell ref="D382:E382"/>
    <mergeCell ref="B249:E249"/>
    <mergeCell ref="F249:J249"/>
    <mergeCell ref="G287:H287"/>
    <mergeCell ref="C317:J317"/>
    <mergeCell ref="A275:B275"/>
    <mergeCell ref="B257:E257"/>
    <mergeCell ref="F237:J237"/>
    <mergeCell ref="B238:E238"/>
    <mergeCell ref="F238:J238"/>
    <mergeCell ref="B240:E240"/>
    <mergeCell ref="F240:J240"/>
    <mergeCell ref="B241:E241"/>
    <mergeCell ref="F241:J241"/>
    <mergeCell ref="B242:E242"/>
    <mergeCell ref="F242:J242"/>
    <mergeCell ref="B239:J239"/>
    <mergeCell ref="B237:E237"/>
    <mergeCell ref="I274:J274"/>
    <mergeCell ref="A273:B273"/>
    <mergeCell ref="I273:J273"/>
    <mergeCell ref="A283:B283"/>
    <mergeCell ref="G283:H283"/>
    <mergeCell ref="I283:J283"/>
    <mergeCell ref="G284:H284"/>
    <mergeCell ref="B176:J176"/>
    <mergeCell ref="B180:J180"/>
    <mergeCell ref="I183:J183"/>
    <mergeCell ref="I184:J184"/>
    <mergeCell ref="I185:J185"/>
    <mergeCell ref="I182:J182"/>
    <mergeCell ref="B183:F183"/>
    <mergeCell ref="C115:J115"/>
    <mergeCell ref="A115:B115"/>
    <mergeCell ref="B142:D142"/>
    <mergeCell ref="E142:F142"/>
    <mergeCell ref="G142:H142"/>
    <mergeCell ref="B156:J156"/>
    <mergeCell ref="B157:J157"/>
    <mergeCell ref="B158:J158"/>
    <mergeCell ref="B159:J159"/>
    <mergeCell ref="A147:B147"/>
    <mergeCell ref="C147:J147"/>
    <mergeCell ref="A116:J116"/>
    <mergeCell ref="B119:J119"/>
    <mergeCell ref="B117:J117"/>
    <mergeCell ref="H131:I131"/>
    <mergeCell ref="B143:D143"/>
    <mergeCell ref="B130:D130"/>
    <mergeCell ref="B192:E192"/>
    <mergeCell ref="H210:J210"/>
    <mergeCell ref="H211:J211"/>
    <mergeCell ref="B207:J207"/>
    <mergeCell ref="B203:J204"/>
    <mergeCell ref="H209:J209"/>
    <mergeCell ref="F209:G209"/>
    <mergeCell ref="H217:J217"/>
    <mergeCell ref="C205:J205"/>
    <mergeCell ref="B209:E209"/>
    <mergeCell ref="I200:J200"/>
    <mergeCell ref="H192:J192"/>
    <mergeCell ref="H193:J193"/>
    <mergeCell ref="H194:J194"/>
    <mergeCell ref="H195:J195"/>
    <mergeCell ref="H196:J196"/>
    <mergeCell ref="H197:J197"/>
    <mergeCell ref="H198:J198"/>
    <mergeCell ref="H199:J199"/>
    <mergeCell ref="H212:J212"/>
    <mergeCell ref="H215:J215"/>
    <mergeCell ref="H216:J216"/>
    <mergeCell ref="F210:G210"/>
    <mergeCell ref="F211:G211"/>
    <mergeCell ref="B187:J187"/>
    <mergeCell ref="B189:J189"/>
    <mergeCell ref="F246:J246"/>
    <mergeCell ref="B247:E247"/>
    <mergeCell ref="F247:J247"/>
    <mergeCell ref="B248:E248"/>
    <mergeCell ref="B135:J136"/>
    <mergeCell ref="B138:D138"/>
    <mergeCell ref="E138:F138"/>
    <mergeCell ref="G138:H138"/>
    <mergeCell ref="G140:H140"/>
    <mergeCell ref="B141:D141"/>
    <mergeCell ref="E141:F141"/>
    <mergeCell ref="G141:H141"/>
    <mergeCell ref="G182:H182"/>
    <mergeCell ref="B182:F182"/>
    <mergeCell ref="G183:H183"/>
    <mergeCell ref="G184:H184"/>
    <mergeCell ref="G185:H185"/>
    <mergeCell ref="H213:J213"/>
    <mergeCell ref="H214:J214"/>
    <mergeCell ref="B225:J226"/>
    <mergeCell ref="F191:G191"/>
    <mergeCell ref="H191:J191"/>
    <mergeCell ref="H130:I130"/>
    <mergeCell ref="B131:D131"/>
    <mergeCell ref="E143:F143"/>
    <mergeCell ref="G143:H143"/>
    <mergeCell ref="B149:J149"/>
    <mergeCell ref="B151:J151"/>
    <mergeCell ref="B153:J153"/>
    <mergeCell ref="B155:J155"/>
    <mergeCell ref="B140:D140"/>
    <mergeCell ref="E140:F140"/>
    <mergeCell ref="C121:J121"/>
    <mergeCell ref="C123:J123"/>
    <mergeCell ref="B125:D125"/>
    <mergeCell ref="H125:I125"/>
    <mergeCell ref="B126:D126"/>
    <mergeCell ref="H126:I126"/>
    <mergeCell ref="B184:F184"/>
    <mergeCell ref="F108:G108"/>
    <mergeCell ref="H108:I108"/>
    <mergeCell ref="B108:C108"/>
    <mergeCell ref="B109:C109"/>
    <mergeCell ref="B110:C110"/>
    <mergeCell ref="B111:C111"/>
    <mergeCell ref="F111:G111"/>
    <mergeCell ref="H111:I111"/>
    <mergeCell ref="B139:D139"/>
    <mergeCell ref="E139:F139"/>
    <mergeCell ref="G139:H139"/>
    <mergeCell ref="B127:D127"/>
    <mergeCell ref="H127:I127"/>
    <mergeCell ref="B128:D128"/>
    <mergeCell ref="H128:I128"/>
    <mergeCell ref="B129:D129"/>
    <mergeCell ref="H129:I129"/>
    <mergeCell ref="F106:G106"/>
    <mergeCell ref="H106:I106"/>
    <mergeCell ref="F107:G107"/>
    <mergeCell ref="H107:I107"/>
    <mergeCell ref="B106:C106"/>
    <mergeCell ref="B107:C107"/>
    <mergeCell ref="F109:G109"/>
    <mergeCell ref="H109:I109"/>
    <mergeCell ref="F110:G110"/>
    <mergeCell ref="H110:I110"/>
    <mergeCell ref="B99:C99"/>
    <mergeCell ref="B100:C100"/>
    <mergeCell ref="B101:C101"/>
    <mergeCell ref="B102:C102"/>
    <mergeCell ref="B103:C103"/>
    <mergeCell ref="B104:C104"/>
    <mergeCell ref="F104:G104"/>
    <mergeCell ref="H104:I104"/>
    <mergeCell ref="F105:G105"/>
    <mergeCell ref="H105:I105"/>
    <mergeCell ref="F100:G100"/>
    <mergeCell ref="H100:I100"/>
    <mergeCell ref="F101:G101"/>
    <mergeCell ref="H101:I101"/>
    <mergeCell ref="F102:G102"/>
    <mergeCell ref="H102:I102"/>
    <mergeCell ref="F103:G103"/>
    <mergeCell ref="H103:I103"/>
    <mergeCell ref="F99:G99"/>
    <mergeCell ref="H99:I99"/>
    <mergeCell ref="B105:C105"/>
    <mergeCell ref="B76:J77"/>
    <mergeCell ref="A88:B88"/>
    <mergeCell ref="B89:J89"/>
    <mergeCell ref="B93:J93"/>
    <mergeCell ref="B95:J95"/>
    <mergeCell ref="D98:E98"/>
    <mergeCell ref="J97:J98"/>
    <mergeCell ref="B97:C98"/>
    <mergeCell ref="H97:I98"/>
    <mergeCell ref="F97:G98"/>
    <mergeCell ref="E80:F80"/>
    <mergeCell ref="E81:F81"/>
    <mergeCell ref="E82:F82"/>
    <mergeCell ref="E83:F83"/>
    <mergeCell ref="E84:F84"/>
    <mergeCell ref="E85:F85"/>
    <mergeCell ref="A86:B86"/>
    <mergeCell ref="C86:D86"/>
    <mergeCell ref="E86:F86"/>
    <mergeCell ref="G86:H86"/>
    <mergeCell ref="I86:J86"/>
    <mergeCell ref="A80:B80"/>
    <mergeCell ref="C80:D80"/>
    <mergeCell ref="G80:H80"/>
    <mergeCell ref="B41:J42"/>
    <mergeCell ref="A16:F16"/>
    <mergeCell ref="A7:F8"/>
    <mergeCell ref="A9:F9"/>
    <mergeCell ref="A10:F10"/>
    <mergeCell ref="A11:F11"/>
    <mergeCell ref="A12:F12"/>
    <mergeCell ref="A13:F13"/>
    <mergeCell ref="H59:I59"/>
    <mergeCell ref="B28:D28"/>
    <mergeCell ref="E28:F28"/>
    <mergeCell ref="G28:H28"/>
    <mergeCell ref="I28:J28"/>
    <mergeCell ref="B24:J24"/>
    <mergeCell ref="B26:D27"/>
    <mergeCell ref="G26:H27"/>
    <mergeCell ref="I26:J27"/>
    <mergeCell ref="E26:F26"/>
    <mergeCell ref="E27:F27"/>
    <mergeCell ref="B35:D35"/>
    <mergeCell ref="B32:D32"/>
    <mergeCell ref="E32:F32"/>
    <mergeCell ref="G32:H32"/>
    <mergeCell ref="I32:J32"/>
    <mergeCell ref="C1:J1"/>
    <mergeCell ref="B5:J5"/>
    <mergeCell ref="G7:H7"/>
    <mergeCell ref="I7:J7"/>
    <mergeCell ref="I8:J8"/>
    <mergeCell ref="I9:J9"/>
    <mergeCell ref="I13:J13"/>
    <mergeCell ref="I14:J14"/>
    <mergeCell ref="B30:D30"/>
    <mergeCell ref="E30:F30"/>
    <mergeCell ref="G30:H30"/>
    <mergeCell ref="I30:J30"/>
    <mergeCell ref="A3:B3"/>
    <mergeCell ref="B18:J18"/>
    <mergeCell ref="B22:J22"/>
    <mergeCell ref="B29:D29"/>
    <mergeCell ref="E29:F29"/>
    <mergeCell ref="G29:H29"/>
    <mergeCell ref="I29:J29"/>
    <mergeCell ref="C3:J3"/>
    <mergeCell ref="I11:J11"/>
    <mergeCell ref="I12:J12"/>
    <mergeCell ref="I15:J15"/>
    <mergeCell ref="I16:J16"/>
    <mergeCell ref="L7:L8"/>
    <mergeCell ref="A14:F14"/>
    <mergeCell ref="A15:F15"/>
    <mergeCell ref="G11:H11"/>
    <mergeCell ref="G12:H12"/>
    <mergeCell ref="G13:H13"/>
    <mergeCell ref="G14:H14"/>
    <mergeCell ref="G15:H15"/>
    <mergeCell ref="G16:H16"/>
    <mergeCell ref="G34:H34"/>
    <mergeCell ref="I34:J34"/>
    <mergeCell ref="B31:D31"/>
    <mergeCell ref="E31:F31"/>
    <mergeCell ref="G31:H31"/>
    <mergeCell ref="I31:J31"/>
    <mergeCell ref="G8:H8"/>
    <mergeCell ref="G9:H9"/>
    <mergeCell ref="G10:H10"/>
    <mergeCell ref="I10:J10"/>
    <mergeCell ref="B48:J48"/>
    <mergeCell ref="A44:B44"/>
    <mergeCell ref="M5:O5"/>
    <mergeCell ref="M6:M8"/>
    <mergeCell ref="N6:N8"/>
    <mergeCell ref="O6:O7"/>
    <mergeCell ref="B38:D38"/>
    <mergeCell ref="E38:F38"/>
    <mergeCell ref="G38:H38"/>
    <mergeCell ref="I38:J38"/>
    <mergeCell ref="B39:D39"/>
    <mergeCell ref="E39:F39"/>
    <mergeCell ref="G39:H39"/>
    <mergeCell ref="I39:J39"/>
    <mergeCell ref="B36:D36"/>
    <mergeCell ref="E36:F36"/>
    <mergeCell ref="G36:H36"/>
    <mergeCell ref="I36:J36"/>
    <mergeCell ref="B33:D33"/>
    <mergeCell ref="E33:F33"/>
    <mergeCell ref="G33:H33"/>
    <mergeCell ref="I33:J33"/>
    <mergeCell ref="B34:D34"/>
    <mergeCell ref="E34:F34"/>
    <mergeCell ref="F212:G212"/>
    <mergeCell ref="F213:G213"/>
    <mergeCell ref="B229:J229"/>
    <mergeCell ref="B228:J228"/>
    <mergeCell ref="F214:G214"/>
    <mergeCell ref="F215:G215"/>
    <mergeCell ref="F216:G216"/>
    <mergeCell ref="B236:E236"/>
    <mergeCell ref="F236:J236"/>
    <mergeCell ref="B232:E232"/>
    <mergeCell ref="F232:J232"/>
    <mergeCell ref="B233:E233"/>
    <mergeCell ref="F233:J233"/>
    <mergeCell ref="B234:E234"/>
    <mergeCell ref="F234:J234"/>
    <mergeCell ref="B235:J235"/>
    <mergeCell ref="B231:E231"/>
    <mergeCell ref="F231:J231"/>
    <mergeCell ref="F217:G217"/>
    <mergeCell ref="B230:E230"/>
    <mergeCell ref="F230:J230"/>
    <mergeCell ref="E35:F35"/>
    <mergeCell ref="G35:H35"/>
    <mergeCell ref="I35:J35"/>
    <mergeCell ref="H66:I66"/>
    <mergeCell ref="H67:I67"/>
    <mergeCell ref="B63:D63"/>
    <mergeCell ref="E63:G63"/>
    <mergeCell ref="B64:D64"/>
    <mergeCell ref="E64:G64"/>
    <mergeCell ref="B65:D65"/>
    <mergeCell ref="E65:G65"/>
    <mergeCell ref="H63:I63"/>
    <mergeCell ref="H64:I64"/>
    <mergeCell ref="H65:I65"/>
    <mergeCell ref="B60:D60"/>
    <mergeCell ref="E60:G60"/>
    <mergeCell ref="B61:D61"/>
    <mergeCell ref="E61:G61"/>
    <mergeCell ref="B62:D62"/>
    <mergeCell ref="E62:G62"/>
    <mergeCell ref="B66:D66"/>
    <mergeCell ref="E66:G66"/>
    <mergeCell ref="B67:D67"/>
    <mergeCell ref="E67:G67"/>
    <mergeCell ref="B37:D37"/>
    <mergeCell ref="E37:F37"/>
    <mergeCell ref="G37:H37"/>
    <mergeCell ref="I37:J37"/>
    <mergeCell ref="H68:I68"/>
    <mergeCell ref="H69:I69"/>
    <mergeCell ref="H70:I70"/>
    <mergeCell ref="B72:J72"/>
    <mergeCell ref="B69:D69"/>
    <mergeCell ref="E69:G69"/>
    <mergeCell ref="B70:D70"/>
    <mergeCell ref="E70:G70"/>
    <mergeCell ref="B68:D68"/>
    <mergeCell ref="E68:G68"/>
    <mergeCell ref="H60:I60"/>
    <mergeCell ref="H61:I61"/>
    <mergeCell ref="H62:I62"/>
    <mergeCell ref="B46:J46"/>
    <mergeCell ref="B49:J49"/>
    <mergeCell ref="B50:J51"/>
    <mergeCell ref="B55:J55"/>
    <mergeCell ref="B57:J57"/>
    <mergeCell ref="B59:D59"/>
    <mergeCell ref="E59:G59"/>
    <mergeCell ref="A277:B277"/>
    <mergeCell ref="I275:J275"/>
    <mergeCell ref="I282:J282"/>
    <mergeCell ref="A280:B280"/>
    <mergeCell ref="G280:H280"/>
    <mergeCell ref="I280:J280"/>
    <mergeCell ref="G281:H281"/>
    <mergeCell ref="C274:F274"/>
    <mergeCell ref="G274:H274"/>
    <mergeCell ref="F382:G382"/>
    <mergeCell ref="H382:I382"/>
    <mergeCell ref="B414:B415"/>
    <mergeCell ref="B409:B410"/>
    <mergeCell ref="B406:B407"/>
    <mergeCell ref="B401:B402"/>
    <mergeCell ref="B394:B395"/>
    <mergeCell ref="C387:J387"/>
    <mergeCell ref="C388:J388"/>
    <mergeCell ref="C389:J390"/>
    <mergeCell ref="C399:J399"/>
    <mergeCell ref="C400:J400"/>
    <mergeCell ref="C397:J397"/>
    <mergeCell ref="C398:J398"/>
    <mergeCell ref="C401:J402"/>
    <mergeCell ref="B376:I376"/>
    <mergeCell ref="B378:C378"/>
    <mergeCell ref="D378:E378"/>
    <mergeCell ref="F378:G378"/>
    <mergeCell ref="H378:I378"/>
    <mergeCell ref="B379:C379"/>
    <mergeCell ref="D379:E379"/>
    <mergeCell ref="A279:B279"/>
    <mergeCell ref="A284:B284"/>
    <mergeCell ref="G288:H288"/>
    <mergeCell ref="I288:J288"/>
    <mergeCell ref="A285:B285"/>
    <mergeCell ref="G286:H286"/>
    <mergeCell ref="I286:J286"/>
    <mergeCell ref="I281:J281"/>
    <mergeCell ref="A282:B282"/>
    <mergeCell ref="I279:J279"/>
    <mergeCell ref="A281:B281"/>
    <mergeCell ref="B294:J294"/>
    <mergeCell ref="A353:J353"/>
    <mergeCell ref="B361:B362"/>
    <mergeCell ref="B364:B365"/>
    <mergeCell ref="A367:J367"/>
    <mergeCell ref="E340:F340"/>
    <mergeCell ref="C463:J463"/>
    <mergeCell ref="C429:J431"/>
    <mergeCell ref="C426:J426"/>
    <mergeCell ref="C432:J433"/>
    <mergeCell ref="C406:J407"/>
    <mergeCell ref="C409:J410"/>
    <mergeCell ref="C414:J416"/>
    <mergeCell ref="C417:J419"/>
    <mergeCell ref="C423:H424"/>
    <mergeCell ref="I423:I424"/>
    <mergeCell ref="C425:J425"/>
    <mergeCell ref="J423:J424"/>
    <mergeCell ref="C462:J462"/>
    <mergeCell ref="P17:Q17"/>
    <mergeCell ref="P18:Q18"/>
    <mergeCell ref="P20:Q20"/>
    <mergeCell ref="B464:B465"/>
    <mergeCell ref="B450:B451"/>
    <mergeCell ref="B445:B446"/>
    <mergeCell ref="B442:B443"/>
    <mergeCell ref="B437:B438"/>
    <mergeCell ref="B432:B433"/>
    <mergeCell ref="B429:B430"/>
    <mergeCell ref="C437:J439"/>
    <mergeCell ref="C442:J443"/>
    <mergeCell ref="C445:J446"/>
    <mergeCell ref="C450:J452"/>
    <mergeCell ref="C453:J454"/>
    <mergeCell ref="C464:J465"/>
    <mergeCell ref="C458:J458"/>
    <mergeCell ref="C459:J459"/>
    <mergeCell ref="C460:J460"/>
    <mergeCell ref="C461:J461"/>
    <mergeCell ref="C277:F279"/>
    <mergeCell ref="C280:F282"/>
    <mergeCell ref="C283:F285"/>
    <mergeCell ref="C396:J396"/>
    <mergeCell ref="I80:J80"/>
    <mergeCell ref="A81:B81"/>
    <mergeCell ref="C81:D81"/>
    <mergeCell ref="G81:H81"/>
    <mergeCell ref="I81:J81"/>
    <mergeCell ref="A78:B79"/>
    <mergeCell ref="C78:D78"/>
    <mergeCell ref="E78:F78"/>
    <mergeCell ref="G78:H78"/>
    <mergeCell ref="I78:J78"/>
    <mergeCell ref="C79:D79"/>
    <mergeCell ref="E79:F79"/>
    <mergeCell ref="G79:H79"/>
    <mergeCell ref="I79:J79"/>
  </mergeCells>
  <dataValidations count="1">
    <dataValidation type="list" allowBlank="1" showInputMessage="1" showErrorMessage="1" sqref="I28:J39">
      <formula1>"X,----"</formula1>
    </dataValidation>
  </dataValidations>
  <pageMargins left="0.708661" right="0.708661" top="0.551181" bottom="0.748031" header="0.314961" footer="0.314961"/>
  <pageSetup firstPageNumber="1" fitToHeight="1" fitToWidth="1" scale="90" useFirstPageNumber="0" orientation="portrait" pageOrder="downThenOver"/>
  <headerFooter>
    <oddFooter>&amp;C&amp;"Helvetica Neue,Regular"&amp;12&amp;K000000&amp;P</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dimension ref="A1:AT532"/>
  <sheetViews>
    <sheetView workbookViewId="0" showGridLines="0" defaultGridColor="1"/>
  </sheetViews>
  <sheetFormatPr defaultColWidth="8.83333" defaultRowHeight="12.75" customHeight="1" outlineLevelRow="0" outlineLevelCol="0"/>
  <cols>
    <col min="1" max="1" width="9.17188" style="1032" customWidth="1"/>
    <col min="2" max="2" width="10" style="1032" customWidth="1"/>
    <col min="3" max="3" width="17.5" style="1032" customWidth="1"/>
    <col min="4" max="8" width="8.85156" style="1032" customWidth="1"/>
    <col min="9" max="9" width="9.85156" style="1032" customWidth="1"/>
    <col min="10" max="10" width="9.5" style="1032" customWidth="1"/>
    <col min="11" max="11" width="9.17188" style="1032" customWidth="1"/>
    <col min="12" max="15" hidden="1" width="8.83333" style="1032" customWidth="1"/>
    <col min="16" max="46" width="9.17188" style="1032" customWidth="1"/>
    <col min="47" max="16384" width="8.85156" style="1032" customWidth="1"/>
  </cols>
  <sheetData>
    <row r="1" ht="75" customHeight="1">
      <c r="A1" s="20"/>
      <c r="B1" s="9"/>
      <c r="C1" t="s" s="21">
        <f>IF('Adatlap'!L1="Magyar",'Fordítások'!C310,'Fordítások'!B310)</f>
        <v>25</v>
      </c>
      <c r="D1" s="22"/>
      <c r="E1" s="22"/>
      <c r="F1" s="22"/>
      <c r="G1" s="22"/>
      <c r="H1" s="22"/>
      <c r="I1" s="22"/>
      <c r="J1" s="22"/>
      <c r="K1" s="26"/>
      <c r="L1" s="1033"/>
      <c r="M1" s="26"/>
      <c r="N1" s="26"/>
      <c r="O1" s="9"/>
      <c r="P1" s="718"/>
      <c r="Q1" s="718"/>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10"/>
    </row>
    <row r="2" ht="21.75" customHeight="1">
      <c r="A2" s="28"/>
      <c r="B2" s="13"/>
      <c r="C2" s="13"/>
      <c r="D2" s="13"/>
      <c r="E2" s="13"/>
      <c r="F2" s="496"/>
      <c r="G2" s="29"/>
      <c r="H2" s="29"/>
      <c r="I2" s="13"/>
      <c r="J2" s="13"/>
      <c r="K2" s="13"/>
      <c r="L2" s="1034"/>
      <c r="M2" s="227"/>
      <c r="N2" s="227"/>
      <c r="O2" s="227"/>
      <c r="P2" s="591"/>
      <c r="Q2" s="318"/>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4"/>
    </row>
    <row r="3" ht="15.75" customHeight="1">
      <c r="A3" t="s" s="770">
        <f>IF(OR('Adatlap'!$M$3=3,'Adatlap'!$M$3=4),IF('Adatlap'!L1="Magyar",'Fordítások'!C667,'Fordítások'!B667),IF('Adatlap'!L1="Magyar",'Fordítások'!C666,'Fordítások'!B666))</f>
        <v>810</v>
      </c>
      <c r="B3" s="771"/>
      <c r="C3" t="s" s="1035">
        <f>IF('Adatlap'!L1="Magyar",'Fordítások'!C581,'Fordítások'!B581)</f>
        <v>811</v>
      </c>
      <c r="D3" s="1036"/>
      <c r="E3" s="1036"/>
      <c r="F3" s="1036"/>
      <c r="G3" s="1036"/>
      <c r="H3" s="1036"/>
      <c r="I3" s="1036"/>
      <c r="J3" s="1036"/>
      <c r="K3" s="13"/>
      <c r="L3" t="s" s="1037">
        <v>812</v>
      </c>
      <c r="M3" s="142"/>
      <c r="N3" s="377">
        <v>1</v>
      </c>
      <c r="O3" s="142"/>
      <c r="P3" s="236"/>
      <c r="Q3" s="238"/>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4"/>
    </row>
    <row r="4" ht="15.75" customHeight="1">
      <c r="A4" s="1038"/>
      <c r="B4" s="773"/>
      <c r="C4" s="773"/>
      <c r="D4" s="773"/>
      <c r="E4" s="773"/>
      <c r="F4" s="773"/>
      <c r="G4" s="773"/>
      <c r="H4" s="773"/>
      <c r="I4" s="773"/>
      <c r="J4" s="773"/>
      <c r="K4" s="13"/>
      <c r="L4" s="1039"/>
      <c r="M4" s="142"/>
      <c r="N4" s="377">
        <v>2</v>
      </c>
      <c r="O4" s="142"/>
      <c r="P4" s="236"/>
      <c r="Q4" s="238"/>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4"/>
    </row>
    <row r="5" ht="21" customHeight="1">
      <c r="A5" t="s" s="1040">
        <f>IF('Adatlap'!L1="Magyar",'Fordítások'!C602,'Fordítások'!B602)</f>
        <v>813</v>
      </c>
      <c r="B5" s="527"/>
      <c r="C5" s="527"/>
      <c r="D5" s="527"/>
      <c r="E5" s="527"/>
      <c r="F5" s="527"/>
      <c r="G5" s="527"/>
      <c r="H5" s="527"/>
      <c r="I5" t="s" s="1041">
        <f>IF(OR($L$5=2,$L$5=3,$L$5=4,$L$5=5,$L$5=6,$L$5=7,$L$5=8,$L$5=9),"",IF('Adatlap'!L1="Magyar","Válassza ki!","Plese, select"))</f>
        <v>814</v>
      </c>
      <c r="J5" s="1036"/>
      <c r="K5" s="13"/>
      <c r="L5" s="1042">
        <v>1</v>
      </c>
      <c r="M5" s="142"/>
      <c r="N5" s="377">
        <v>3</v>
      </c>
      <c r="O5" s="142"/>
      <c r="P5" s="236"/>
      <c r="Q5" s="238"/>
      <c r="R5" s="497"/>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4"/>
    </row>
    <row r="6" ht="12.75" customHeight="1">
      <c r="A6" t="s" s="709">
        <f>CONCATENATE("(",IF('Adatlap'!L1="Magyar",'Fordítások'!C603,'Fordítások'!B603),")")</f>
        <v>815</v>
      </c>
      <c r="B6" s="527"/>
      <c r="C6" s="527"/>
      <c r="D6" s="527"/>
      <c r="E6" s="527"/>
      <c r="F6" s="527"/>
      <c r="G6" s="527"/>
      <c r="H6" s="527"/>
      <c r="I6" s="1043"/>
      <c r="J6" s="1036"/>
      <c r="K6" s="13"/>
      <c r="L6" s="1039"/>
      <c r="M6" s="142"/>
      <c r="N6" s="377">
        <v>4</v>
      </c>
      <c r="O6" s="142"/>
      <c r="P6" s="236"/>
      <c r="Q6" s="238"/>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4"/>
    </row>
    <row r="7" ht="21" customHeight="1">
      <c r="A7" s="1044"/>
      <c r="B7" s="527"/>
      <c r="C7" s="527"/>
      <c r="D7" s="527"/>
      <c r="E7" s="527"/>
      <c r="F7" s="527"/>
      <c r="G7" s="527"/>
      <c r="H7" s="527"/>
      <c r="I7" s="1036"/>
      <c r="J7" s="1036"/>
      <c r="K7" s="13"/>
      <c r="L7" s="1039"/>
      <c r="M7" s="142"/>
      <c r="N7" s="377">
        <v>5</v>
      </c>
      <c r="O7" s="142"/>
      <c r="P7" s="236"/>
      <c r="Q7" s="238"/>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4"/>
    </row>
    <row r="8" ht="21" customHeight="1">
      <c r="A8" t="s" s="1045">
        <f>'Kiszerelés 1-4'!C10</f>
        <v>816</v>
      </c>
      <c r="B8" s="1046"/>
      <c r="C8" t="s" s="1047">
        <f>IF('Kiszerelés 1-4'!C11="","",'Kiszerelés 1-4'!C11)</f>
      </c>
      <c r="D8" s="1048"/>
      <c r="E8" s="1048"/>
      <c r="F8" s="1048"/>
      <c r="G8" s="1048"/>
      <c r="H8" s="1048"/>
      <c r="I8" s="1048"/>
      <c r="J8" s="1048"/>
      <c r="K8" s="13"/>
      <c r="L8" s="1039"/>
      <c r="M8" s="142"/>
      <c r="N8" s="377">
        <v>6</v>
      </c>
      <c r="O8" s="142"/>
      <c r="P8" s="236"/>
      <c r="Q8" s="238"/>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ht="12.75" customHeight="1">
      <c r="A9" s="28"/>
      <c r="B9" s="13"/>
      <c r="C9" s="13"/>
      <c r="D9" s="13"/>
      <c r="E9" s="13"/>
      <c r="F9" s="13"/>
      <c r="G9" s="13"/>
      <c r="H9" s="13"/>
      <c r="I9" s="13"/>
      <c r="J9" s="13"/>
      <c r="K9" s="13"/>
      <c r="L9" s="1039"/>
      <c r="M9" s="142"/>
      <c r="N9" s="377">
        <v>7</v>
      </c>
      <c r="O9" s="142"/>
      <c r="P9" s="236"/>
      <c r="Q9" s="238"/>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4"/>
    </row>
    <row r="10" ht="9" customHeight="1" hidden="1">
      <c r="A10" t="s" s="853">
        <v>508</v>
      </c>
      <c r="B10" t="s" s="854">
        <f>IF('Adatlap'!L1="Magyar",'Fordítások'!C582,'Fordítások'!B582)</f>
        <v>817</v>
      </c>
      <c r="C10" s="855"/>
      <c r="D10" s="855"/>
      <c r="E10" s="855"/>
      <c r="F10" s="855"/>
      <c r="G10" s="855"/>
      <c r="H10" s="855"/>
      <c r="I10" s="855"/>
      <c r="J10" s="855"/>
      <c r="K10" s="13"/>
      <c r="L10" s="1039"/>
      <c r="M10" s="142"/>
      <c r="N10" s="377">
        <v>8</v>
      </c>
      <c r="O10" s="142"/>
      <c r="P10" s="237"/>
      <c r="Q10" s="238"/>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4"/>
    </row>
    <row r="11" ht="12.75" customHeight="1" hidden="1">
      <c r="A11" s="28"/>
      <c r="B11" s="13"/>
      <c r="C11" s="13"/>
      <c r="D11" s="13"/>
      <c r="E11" s="13"/>
      <c r="F11" s="13"/>
      <c r="G11" s="13"/>
      <c r="H11" s="13"/>
      <c r="I11" s="13"/>
      <c r="J11" s="13"/>
      <c r="K11" s="13"/>
      <c r="L11" s="1039"/>
      <c r="M11" s="142"/>
      <c r="N11" s="142"/>
      <c r="O11" s="142"/>
      <c r="P11" s="237"/>
      <c r="Q11" s="238"/>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4"/>
    </row>
    <row r="12" ht="24.95" customHeight="1" hidden="1">
      <c r="A12" t="s" s="777">
        <f>IF(AND(L12=FALSE,L19=FALSE),IF('Adatlap'!$L$1="Magyar","Jelölje be!","Please, check!"),"")</f>
        <v>399</v>
      </c>
      <c r="B12" t="s" s="710">
        <f>IF('Adatlap'!L$1="Magyar",'Fordítások'!C583,'Fordítások'!B583)</f>
        <v>818</v>
      </c>
      <c r="C12" s="96"/>
      <c r="D12" s="96"/>
      <c r="E12" s="96"/>
      <c r="F12" s="96"/>
      <c r="G12" s="96"/>
      <c r="H12" s="96"/>
      <c r="I12" s="96"/>
      <c r="J12" s="96"/>
      <c r="K12" s="13"/>
      <c r="L12" t="b" s="1042">
        <v>0</v>
      </c>
      <c r="M12" s="142"/>
      <c r="N12" s="142"/>
      <c r="O12" s="142"/>
      <c r="P12" s="237"/>
      <c r="Q12" s="238"/>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4"/>
    </row>
    <row r="13" ht="24.95" customHeight="1" hidden="1">
      <c r="A13" s="28"/>
      <c r="B13" t="s" s="897">
        <f>IF(AND($L$12=TRUE,L13=FALSE),IF('Adatlap'!$L$1="Magyar","Jelölje be!","Please, check!"),"")</f>
      </c>
      <c r="C13" t="s" s="900">
        <f>IF('Adatlap'!$L$1="Magyar",'Fordítások'!C584,'Fordítások'!B584)</f>
        <v>819</v>
      </c>
      <c r="D13" s="153"/>
      <c r="E13" s="153"/>
      <c r="F13" s="153"/>
      <c r="G13" s="153"/>
      <c r="H13" s="153"/>
      <c r="I13" s="153"/>
      <c r="J13" s="153"/>
      <c r="K13" s="13"/>
      <c r="L13" t="b" s="1042">
        <v>0</v>
      </c>
      <c r="M13" s="142"/>
      <c r="N13" s="142"/>
      <c r="O13" s="142"/>
      <c r="P13" s="237"/>
      <c r="Q13" s="238"/>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4"/>
    </row>
    <row r="14" ht="8.1" customHeight="1" hidden="1">
      <c r="A14" s="28"/>
      <c r="B14" s="13"/>
      <c r="C14" s="13"/>
      <c r="D14" s="13"/>
      <c r="E14" s="13"/>
      <c r="F14" s="13"/>
      <c r="G14" s="13"/>
      <c r="H14" s="13"/>
      <c r="I14" s="13"/>
      <c r="J14" s="13"/>
      <c r="K14" s="13"/>
      <c r="L14" s="1039"/>
      <c r="M14" s="142"/>
      <c r="N14" s="142"/>
      <c r="O14" s="142"/>
      <c r="P14" s="237"/>
      <c r="Q14" s="238"/>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4"/>
    </row>
    <row r="15" ht="24.95" customHeight="1" hidden="1">
      <c r="A15" s="28"/>
      <c r="B15" t="s" s="897">
        <f>IF(AND($L$12=TRUE,L15=FALSE),IF('Adatlap'!$L$1="Magyar","Jelölje be!","Please, check!"),"")</f>
      </c>
      <c r="C15" t="s" s="900">
        <f>IF('Adatlap'!$L$1="Magyar",'Fordítások'!C585,'Fordítások'!B585)</f>
        <v>820</v>
      </c>
      <c r="D15" s="153"/>
      <c r="E15" s="153"/>
      <c r="F15" s="153"/>
      <c r="G15" s="153"/>
      <c r="H15" s="153"/>
      <c r="I15" s="153"/>
      <c r="J15" s="153"/>
      <c r="K15" s="13"/>
      <c r="L15" t="b" s="1042">
        <v>0</v>
      </c>
      <c r="M15" s="142"/>
      <c r="N15" s="142"/>
      <c r="O15" s="142"/>
      <c r="P15" s="237"/>
      <c r="Q15" s="238"/>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4"/>
    </row>
    <row r="16" ht="8.1" customHeight="1" hidden="1">
      <c r="A16" s="28"/>
      <c r="B16" s="13"/>
      <c r="C16" s="13"/>
      <c r="D16" s="13"/>
      <c r="E16" s="13"/>
      <c r="F16" s="13"/>
      <c r="G16" s="13"/>
      <c r="H16" s="13"/>
      <c r="I16" s="13"/>
      <c r="J16" s="13"/>
      <c r="K16" s="13"/>
      <c r="L16" s="1039"/>
      <c r="M16" s="142"/>
      <c r="N16" s="142"/>
      <c r="O16" s="142"/>
      <c r="P16" s="237"/>
      <c r="Q16" s="238"/>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4"/>
    </row>
    <row r="17" ht="24.95" customHeight="1" hidden="1">
      <c r="A17" s="28"/>
      <c r="B17" t="s" s="897">
        <f>IF(AND($L$12=TRUE,L17=FALSE),IF('Adatlap'!$L$1="Magyar","Jelölje be!","Please, check!"),"")</f>
      </c>
      <c r="C17" t="s" s="900">
        <f>IF('Adatlap'!$L$1="Magyar",'Fordítások'!C586,'Fordítások'!B586)</f>
        <v>821</v>
      </c>
      <c r="D17" s="153"/>
      <c r="E17" s="153"/>
      <c r="F17" s="153"/>
      <c r="G17" s="153"/>
      <c r="H17" s="153"/>
      <c r="I17" s="153"/>
      <c r="J17" s="153"/>
      <c r="K17" s="13"/>
      <c r="L17" t="b" s="1042">
        <v>0</v>
      </c>
      <c r="M17" s="142"/>
      <c r="N17" s="142"/>
      <c r="O17" s="142"/>
      <c r="P17" s="237"/>
      <c r="Q17" s="238"/>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4"/>
    </row>
    <row r="18" ht="12.75" customHeight="1" hidden="1">
      <c r="A18" s="28"/>
      <c r="B18" s="13"/>
      <c r="C18" s="13"/>
      <c r="D18" s="13"/>
      <c r="E18" s="13"/>
      <c r="F18" s="13"/>
      <c r="G18" s="13"/>
      <c r="H18" s="13"/>
      <c r="I18" s="13"/>
      <c r="J18" s="13"/>
      <c r="K18" s="13"/>
      <c r="L18" s="1039"/>
      <c r="M18" s="142"/>
      <c r="N18" s="142"/>
      <c r="O18" s="142"/>
      <c r="P18" s="237"/>
      <c r="Q18" s="238"/>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4"/>
    </row>
    <row r="19" ht="24.95" customHeight="1" hidden="1">
      <c r="A19" t="s" s="777">
        <f>IF(AND(L12=FALSE,L19=FALSE),IF('Adatlap'!$L$1="Magyar","Jelölje be!","Please, check!"),"")</f>
        <v>399</v>
      </c>
      <c r="B19" t="s" s="710">
        <f>IF('Adatlap'!L$1="Magyar",'Fordítások'!C587,'Fordítások'!B587)</f>
        <v>822</v>
      </c>
      <c r="C19" s="96"/>
      <c r="D19" s="96"/>
      <c r="E19" s="96"/>
      <c r="F19" s="96"/>
      <c r="G19" s="96"/>
      <c r="H19" s="96"/>
      <c r="I19" s="96"/>
      <c r="J19" s="96"/>
      <c r="K19" s="13"/>
      <c r="L19" t="b" s="1042">
        <v>0</v>
      </c>
      <c r="M19" s="142"/>
      <c r="N19" s="142"/>
      <c r="O19" s="142"/>
      <c r="P19" s="237"/>
      <c r="Q19" s="238"/>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4"/>
    </row>
    <row r="20" ht="12.75" customHeight="1" hidden="1">
      <c r="A20" s="28"/>
      <c r="B20" s="13"/>
      <c r="C20" s="13"/>
      <c r="D20" s="13"/>
      <c r="E20" s="13"/>
      <c r="F20" s="13"/>
      <c r="G20" s="13"/>
      <c r="H20" s="13"/>
      <c r="I20" s="13"/>
      <c r="J20" s="13"/>
      <c r="K20" s="13"/>
      <c r="L20" s="1039"/>
      <c r="M20" s="142"/>
      <c r="N20" s="142"/>
      <c r="O20" s="142"/>
      <c r="P20" s="237"/>
      <c r="Q20" s="238"/>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4"/>
    </row>
    <row r="21" ht="9" customHeight="1" hidden="1">
      <c r="A21" t="s" s="853">
        <v>823</v>
      </c>
      <c r="B21" t="s" s="854">
        <f>IF('Adatlap'!L$1="Magyar",'Fordítások'!C588,'Fordítások'!B588)</f>
        <v>824</v>
      </c>
      <c r="C21" s="855"/>
      <c r="D21" s="855"/>
      <c r="E21" s="855"/>
      <c r="F21" s="855"/>
      <c r="G21" s="855"/>
      <c r="H21" s="855"/>
      <c r="I21" s="855"/>
      <c r="J21" s="855"/>
      <c r="K21" s="13"/>
      <c r="L21" s="1039"/>
      <c r="M21" s="142"/>
      <c r="N21" s="142"/>
      <c r="O21" s="142"/>
      <c r="P21" s="237"/>
      <c r="Q21" s="238"/>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4"/>
    </row>
    <row r="22" ht="12.75" customHeight="1" hidden="1">
      <c r="A22" s="28"/>
      <c r="B22" s="13"/>
      <c r="C22" s="13"/>
      <c r="D22" s="13"/>
      <c r="E22" s="13"/>
      <c r="F22" s="13"/>
      <c r="G22" s="13"/>
      <c r="H22" s="13"/>
      <c r="I22" s="13"/>
      <c r="J22" s="13"/>
      <c r="K22" s="13"/>
      <c r="L22" s="1039"/>
      <c r="M22" s="142"/>
      <c r="N22" s="142"/>
      <c r="O22" s="142"/>
      <c r="P22" s="237"/>
      <c r="Q22" s="238"/>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4"/>
    </row>
    <row r="23" ht="24.95" customHeight="1" hidden="1">
      <c r="A23" t="s" s="777">
        <f>IF(AND(L23=FALSE,L29=FALSE),IF('Adatlap'!$L$1="Magyar","Jelölje be!","Please, check!"),"")</f>
        <v>399</v>
      </c>
      <c r="B23" t="s" s="710">
        <f>IF('Adatlap'!L$1="Magyar",'Fordítások'!C589,'Fordítások'!B589)</f>
        <v>825</v>
      </c>
      <c r="C23" s="96"/>
      <c r="D23" s="96"/>
      <c r="E23" s="96"/>
      <c r="F23" s="96"/>
      <c r="G23" s="96"/>
      <c r="H23" s="96"/>
      <c r="I23" s="96"/>
      <c r="J23" s="96"/>
      <c r="K23" s="13"/>
      <c r="L23" t="b" s="1042">
        <v>0</v>
      </c>
      <c r="M23" s="142"/>
      <c r="N23" s="142"/>
      <c r="O23" s="142"/>
      <c r="P23" s="237"/>
      <c r="Q23" s="238"/>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4"/>
    </row>
    <row r="24" ht="12.75" customHeight="1" hidden="1">
      <c r="A24" s="28"/>
      <c r="B24" s="13"/>
      <c r="C24" s="1021"/>
      <c r="D24" s="1021"/>
      <c r="E24" s="1021"/>
      <c r="F24" s="1021"/>
      <c r="G24" s="1021"/>
      <c r="H24" s="1021"/>
      <c r="I24" s="1021"/>
      <c r="J24" s="1021"/>
      <c r="K24" s="13"/>
      <c r="L24" s="1039"/>
      <c r="M24" s="142"/>
      <c r="N24" s="142"/>
      <c r="O24" s="142"/>
      <c r="P24" s="237"/>
      <c r="Q24" s="238"/>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row>
    <row r="25" ht="24.95" customHeight="1" hidden="1">
      <c r="A25" s="28"/>
      <c r="B25" t="s" s="897">
        <f>IF(AND($L$23=TRUE,L25=FALSE),IF('Adatlap'!$L$1="Magyar","Jelölje be!","Please, check!"),"")</f>
      </c>
      <c r="C25" t="s" s="900">
        <f>IF('Adatlap'!$L$1="Magyar",'Fordítások'!C590,'Fordítások'!B590)</f>
        <v>826</v>
      </c>
      <c r="D25" s="153"/>
      <c r="E25" s="153"/>
      <c r="F25" s="153"/>
      <c r="G25" s="153"/>
      <c r="H25" s="153"/>
      <c r="I25" s="153"/>
      <c r="J25" s="153"/>
      <c r="K25" s="13"/>
      <c r="L25" t="b" s="1042">
        <v>0</v>
      </c>
      <c r="M25" s="142"/>
      <c r="N25" s="142"/>
      <c r="O25" s="142"/>
      <c r="P25" s="237"/>
      <c r="Q25" s="238"/>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row>
    <row r="26" ht="8.1" customHeight="1" hidden="1">
      <c r="A26" s="28"/>
      <c r="B26" s="13"/>
      <c r="C26" s="13"/>
      <c r="D26" s="13"/>
      <c r="E26" s="13"/>
      <c r="F26" s="13"/>
      <c r="G26" s="13"/>
      <c r="H26" s="13"/>
      <c r="I26" s="13"/>
      <c r="J26" s="13"/>
      <c r="K26" s="13"/>
      <c r="L26" s="1039"/>
      <c r="M26" s="142"/>
      <c r="N26" s="142"/>
      <c r="O26" s="142"/>
      <c r="P26" s="237"/>
      <c r="Q26" s="238"/>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4"/>
    </row>
    <row r="27" ht="24.95" customHeight="1" hidden="1">
      <c r="A27" s="28"/>
      <c r="B27" t="s" s="897">
        <f>IF(AND($L$23=TRUE,L27=FALSE),IF('Adatlap'!$L$1="Magyar","Jelölje be!","Please, check!"),"")</f>
      </c>
      <c r="C27" t="s" s="915">
        <f>IF('Adatlap'!$L$1="Magyar",'Fordítások'!C591,'Fordítások'!B591)</f>
        <v>827</v>
      </c>
      <c r="D27" s="13"/>
      <c r="E27" s="13"/>
      <c r="F27" s="13"/>
      <c r="G27" s="13"/>
      <c r="H27" s="13"/>
      <c r="I27" s="13"/>
      <c r="J27" s="13"/>
      <c r="K27" s="13"/>
      <c r="L27" t="b" s="1042">
        <v>0</v>
      </c>
      <c r="M27" s="142"/>
      <c r="N27" s="142"/>
      <c r="O27" s="142"/>
      <c r="P27" s="237"/>
      <c r="Q27" s="238"/>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4"/>
    </row>
    <row r="28" ht="8.1" customHeight="1" hidden="1">
      <c r="A28" s="28"/>
      <c r="B28" s="13"/>
      <c r="C28" s="13"/>
      <c r="D28" s="13"/>
      <c r="E28" s="13"/>
      <c r="F28" s="13"/>
      <c r="G28" s="13"/>
      <c r="H28" s="13"/>
      <c r="I28" s="13"/>
      <c r="J28" s="13"/>
      <c r="K28" s="13"/>
      <c r="L28" s="1039"/>
      <c r="M28" s="142"/>
      <c r="N28" s="142"/>
      <c r="O28" s="142"/>
      <c r="P28" s="237"/>
      <c r="Q28" s="238"/>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4"/>
    </row>
    <row r="29" ht="24.95" customHeight="1">
      <c r="A29" t="s" s="777">
        <f>IF(AND(L23=FALSE,L29=FALSE),IF('Adatlap'!$L$1="Magyar","Jelölje be!","Please, check!"),"")</f>
        <v>399</v>
      </c>
      <c r="B29" t="s" s="710">
        <f>IF('Adatlap'!L$1="Magyar",'Fordítások'!C592,'Fordítások'!B592)</f>
        <v>828</v>
      </c>
      <c r="C29" s="96"/>
      <c r="D29" s="96"/>
      <c r="E29" s="96"/>
      <c r="F29" s="96"/>
      <c r="G29" s="96"/>
      <c r="H29" s="96"/>
      <c r="I29" s="96"/>
      <c r="J29" s="96"/>
      <c r="K29" s="13"/>
      <c r="L29" t="b" s="1042">
        <v>0</v>
      </c>
      <c r="M29" s="142"/>
      <c r="N29" s="142"/>
      <c r="O29" s="142"/>
      <c r="P29" s="236"/>
      <c r="Q29" s="238"/>
      <c r="R29" s="497"/>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4"/>
    </row>
    <row r="30" ht="12.75" customHeight="1">
      <c r="A30" s="28"/>
      <c r="B30" s="96"/>
      <c r="C30" s="96"/>
      <c r="D30" s="96"/>
      <c r="E30" s="96"/>
      <c r="F30" s="96"/>
      <c r="G30" s="96"/>
      <c r="H30" s="96"/>
      <c r="I30" s="96"/>
      <c r="J30" s="96"/>
      <c r="K30" s="13"/>
      <c r="L30" s="1039"/>
      <c r="M30" s="142"/>
      <c r="N30" s="142"/>
      <c r="O30" s="142"/>
      <c r="P30" s="236"/>
      <c r="Q30" s="238"/>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4"/>
    </row>
    <row r="31" ht="12.75" customHeight="1" hidden="1">
      <c r="A31" s="28"/>
      <c r="B31" s="96"/>
      <c r="C31" s="96"/>
      <c r="D31" s="96"/>
      <c r="E31" s="96"/>
      <c r="F31" s="96"/>
      <c r="G31" s="96"/>
      <c r="H31" s="96"/>
      <c r="I31" s="96"/>
      <c r="J31" s="96"/>
      <c r="K31" s="13"/>
      <c r="L31" s="1039"/>
      <c r="M31" s="142"/>
      <c r="N31" s="142"/>
      <c r="O31" s="142"/>
      <c r="P31" s="237"/>
      <c r="Q31" s="238"/>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4"/>
    </row>
    <row r="32" ht="12.75" customHeight="1">
      <c r="A32" t="s" s="853">
        <f>IF('Adatlap'!M3=1,IF('Adatlap'!L1="Magyar","c)","(c)"),IF('Adatlap'!L1="Magyar","a)","(a)"))</f>
        <v>508</v>
      </c>
      <c r="B32" t="s" s="1049">
        <f>IF('Adatlap'!$L$1="Magyar",'Fordítások'!C593,'Fordítások'!B593)</f>
        <v>829</v>
      </c>
      <c r="C32" s="96"/>
      <c r="D32" s="96"/>
      <c r="E32" s="96"/>
      <c r="F32" s="96"/>
      <c r="G32" s="96"/>
      <c r="H32" s="96"/>
      <c r="I32" s="96"/>
      <c r="J32" s="96"/>
      <c r="K32" s="13"/>
      <c r="L32" s="1039"/>
      <c r="M32" s="142"/>
      <c r="N32" s="142"/>
      <c r="O32" s="142"/>
      <c r="P32" s="236"/>
      <c r="Q32" s="238"/>
      <c r="R32" s="497"/>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4"/>
    </row>
    <row r="33" ht="12.75" customHeight="1">
      <c r="A33" s="28"/>
      <c r="B33" s="96"/>
      <c r="C33" s="96"/>
      <c r="D33" s="96"/>
      <c r="E33" s="96"/>
      <c r="F33" s="96"/>
      <c r="G33" s="96"/>
      <c r="H33" s="96"/>
      <c r="I33" s="96"/>
      <c r="J33" s="96"/>
      <c r="K33" s="13"/>
      <c r="L33" s="1039"/>
      <c r="M33" s="142"/>
      <c r="N33" s="142"/>
      <c r="O33" s="142"/>
      <c r="P33" s="236"/>
      <c r="Q33" s="238"/>
      <c r="R33" s="497"/>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4"/>
    </row>
    <row r="34" ht="27.75" customHeight="1">
      <c r="A34" t="s" s="777">
        <v>399</v>
      </c>
      <c r="B34" t="s" s="900">
        <f>IF('Adatlap'!$L$1="Magyar",'Fordítások'!C594,'Fordítások'!B594)</f>
        <v>830</v>
      </c>
      <c r="C34" s="153"/>
      <c r="D34" s="153"/>
      <c r="E34" s="153"/>
      <c r="F34" s="153"/>
      <c r="G34" s="153"/>
      <c r="H34" s="153"/>
      <c r="I34" s="153"/>
      <c r="J34" s="153"/>
      <c r="K34" s="13"/>
      <c r="L34" t="b" s="1042">
        <v>0</v>
      </c>
      <c r="M34" s="142"/>
      <c r="N34" s="142"/>
      <c r="O34" t="s" s="1050">
        <f>IF(AND(L29=TRUE,L34=FALSE,L39=FALSE),IF('Adatlap'!$L$1="Magyar","Jelölje be!","Please, check!"),"")</f>
      </c>
      <c r="P34" t="s" s="365">
        <f>IF(AND(L34=FALSE,L39=FALSE),IF('Adatlap'!$L$1="Magyar","Jelölje be!","Please, check!"),"")</f>
        <v>399</v>
      </c>
      <c r="Q34" s="1051">
        <f>IF(AND(L29=TRUE,L34=FALSE,L39=FALSE),1,0)</f>
        <v>0</v>
      </c>
      <c r="R34" s="34">
        <f>IF(AND(L34=FALSE,L39=FALSE),1,0)</f>
        <v>1</v>
      </c>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4"/>
    </row>
    <row r="35" ht="8.1" customHeight="1">
      <c r="A35" s="928"/>
      <c r="B35" s="153"/>
      <c r="C35" s="153"/>
      <c r="D35" s="153"/>
      <c r="E35" s="153"/>
      <c r="F35" s="153"/>
      <c r="G35" s="153"/>
      <c r="H35" s="153"/>
      <c r="I35" s="153"/>
      <c r="J35" s="153"/>
      <c r="K35" s="13"/>
      <c r="L35" s="1039"/>
      <c r="M35" s="142"/>
      <c r="N35" s="142"/>
      <c r="O35" s="142"/>
      <c r="P35" s="236"/>
      <c r="Q35" s="238"/>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4"/>
    </row>
    <row r="36" ht="12.75" customHeight="1">
      <c r="A36" s="928"/>
      <c r="B36" t="s" s="758">
        <f>IF('Adatlap'!$L$1="Magyar",'Fordítások'!C595,'Fordítások'!B595)</f>
        <v>831</v>
      </c>
      <c r="C36" s="13"/>
      <c r="D36" s="13"/>
      <c r="E36" s="13"/>
      <c r="F36" s="13"/>
      <c r="G36" s="13"/>
      <c r="H36" s="13"/>
      <c r="I36" s="13"/>
      <c r="J36" s="13"/>
      <c r="K36" s="13"/>
      <c r="L36" s="1039"/>
      <c r="M36" s="142"/>
      <c r="N36" s="142"/>
      <c r="O36" s="142"/>
      <c r="P36" s="236"/>
      <c r="Q36" s="238"/>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4"/>
    </row>
    <row r="37" ht="24.95" customHeight="1">
      <c r="A37" s="928"/>
      <c r="B37" t="s" s="897">
        <f>IF(AND($L$34=TRUE,L37=FALSE,L38=FALSE),IF('Adatlap'!$L$1="Magyar","Jelölje be!","Please, check!"),"")</f>
      </c>
      <c r="C37" t="s" s="758">
        <f>IF('Adatlap'!$L$1="Magyar",'Fordítások'!C596,'Fordítások'!B596)</f>
        <v>832</v>
      </c>
      <c r="D37" s="153"/>
      <c r="E37" s="153"/>
      <c r="F37" s="153"/>
      <c r="G37" s="153"/>
      <c r="H37" s="153"/>
      <c r="I37" s="153"/>
      <c r="J37" s="153"/>
      <c r="K37" s="13"/>
      <c r="L37" t="b" s="1042">
        <v>0</v>
      </c>
      <c r="M37" s="142"/>
      <c r="N37" s="142"/>
      <c r="O37" s="142"/>
      <c r="P37" s="236"/>
      <c r="Q37" s="238"/>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4"/>
    </row>
    <row r="38" ht="24.95" customHeight="1">
      <c r="A38" s="28"/>
      <c r="B38" t="s" s="897">
        <f>IF(AND($L$34=TRUE,L37=FALSE,L38=FALSE),IF('Adatlap'!$L$1="Magyar","Jelölje be!","Please, check!"),"")</f>
      </c>
      <c r="C38" t="s" s="915">
        <f>IF('Adatlap'!$L$1="Magyar",'Fordítások'!C597,'Fordítások'!B597)</f>
        <v>833</v>
      </c>
      <c r="D38" s="96"/>
      <c r="E38" s="799"/>
      <c r="F38" s="799"/>
      <c r="G38" s="799"/>
      <c r="H38" s="799"/>
      <c r="I38" s="799"/>
      <c r="J38" s="799"/>
      <c r="K38" s="13"/>
      <c r="L38" t="b" s="1042">
        <v>0</v>
      </c>
      <c r="M38" s="142"/>
      <c r="N38" s="142"/>
      <c r="O38" s="142"/>
      <c r="P38" s="236"/>
      <c r="Q38" s="238"/>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4"/>
    </row>
    <row r="39" ht="24.95" customHeight="1">
      <c r="A39" t="s" s="777">
        <v>399</v>
      </c>
      <c r="B39" t="s" s="900">
        <f>IF('Adatlap'!$L$1="Magyar",'Fordítások'!C598,'Fordítások'!B598)</f>
        <v>834</v>
      </c>
      <c r="C39" s="153"/>
      <c r="D39" s="153"/>
      <c r="E39" s="153"/>
      <c r="F39" s="153"/>
      <c r="G39" s="153"/>
      <c r="H39" s="153"/>
      <c r="I39" s="153"/>
      <c r="J39" s="153"/>
      <c r="K39" s="13"/>
      <c r="L39" t="b" s="1042">
        <v>0</v>
      </c>
      <c r="M39" s="142"/>
      <c r="N39" s="142"/>
      <c r="O39" s="142"/>
      <c r="P39" s="236"/>
      <c r="Q39" s="238"/>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4"/>
    </row>
    <row r="40" ht="24.95" customHeight="1">
      <c r="A40" s="928"/>
      <c r="B40" t="s" s="758">
        <f>B36</f>
        <v>831</v>
      </c>
      <c r="C40" s="13"/>
      <c r="D40" s="13"/>
      <c r="E40" s="13"/>
      <c r="F40" s="13"/>
      <c r="G40" s="13"/>
      <c r="H40" s="13"/>
      <c r="I40" s="13"/>
      <c r="J40" s="13"/>
      <c r="K40" s="13"/>
      <c r="L40" s="1039"/>
      <c r="M40" s="142"/>
      <c r="N40" s="142"/>
      <c r="O40" s="142"/>
      <c r="P40" s="236"/>
      <c r="Q40" s="238"/>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4"/>
    </row>
    <row r="41" ht="24.95" customHeight="1">
      <c r="A41" s="928"/>
      <c r="B41" t="s" s="897">
        <f>IF(AND($L$39=TRUE,L41=FALSE,L42=FALSE),IF('Adatlap'!$L$1="Magyar","Jelölje be!","Please, check!"),"")</f>
      </c>
      <c r="C41" t="s" s="758">
        <f>C37</f>
        <v>832</v>
      </c>
      <c r="D41" s="153"/>
      <c r="E41" s="153"/>
      <c r="F41" s="153"/>
      <c r="G41" s="153"/>
      <c r="H41" s="153"/>
      <c r="I41" s="153"/>
      <c r="J41" s="153"/>
      <c r="K41" s="13"/>
      <c r="L41" t="b" s="1042">
        <v>0</v>
      </c>
      <c r="M41" s="142"/>
      <c r="N41" s="142"/>
      <c r="O41" s="142"/>
      <c r="P41" s="236"/>
      <c r="Q41" s="238"/>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4"/>
    </row>
    <row r="42" ht="24.95" customHeight="1">
      <c r="A42" s="28"/>
      <c r="B42" t="s" s="897">
        <f>IF(AND($L$39=TRUE,L41=FALSE,L42=FALSE),IF('Adatlap'!$L$1="Magyar","Jelölje be!","Please, check!"),"")</f>
      </c>
      <c r="C42" t="s" s="758">
        <f>C38</f>
        <v>833</v>
      </c>
      <c r="D42" s="96"/>
      <c r="E42" s="799"/>
      <c r="F42" s="799"/>
      <c r="G42" s="799"/>
      <c r="H42" s="799"/>
      <c r="I42" s="799"/>
      <c r="J42" s="799"/>
      <c r="K42" s="13"/>
      <c r="L42" t="b" s="1042">
        <v>0</v>
      </c>
      <c r="M42" s="142"/>
      <c r="N42" s="142"/>
      <c r="O42" s="142"/>
      <c r="P42" s="236"/>
      <c r="Q42" s="238"/>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4"/>
    </row>
    <row r="43" ht="12.75" customHeight="1">
      <c r="A43" s="928"/>
      <c r="B43" s="153"/>
      <c r="C43" s="153"/>
      <c r="D43" s="153"/>
      <c r="E43" s="153"/>
      <c r="F43" s="153"/>
      <c r="G43" s="153"/>
      <c r="H43" s="153"/>
      <c r="I43" s="153"/>
      <c r="J43" s="153"/>
      <c r="K43" s="13"/>
      <c r="L43" s="1039"/>
      <c r="M43" s="142"/>
      <c r="N43" s="142"/>
      <c r="O43" s="142"/>
      <c r="P43" s="236"/>
      <c r="Q43" s="238"/>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4"/>
    </row>
    <row r="44" ht="24" customHeight="1">
      <c r="A44" s="28"/>
      <c r="B44" t="s" s="897">
        <f>IF(AND($L$39=TRUE,L44=FALSE),IF('Adatlap'!$L$1="Magyar","Jelölje be!","Please, check!"),"")</f>
      </c>
      <c r="C44" t="s" s="900">
        <f>IF('Adatlap'!$L$1="Magyar",'Fordítások'!C599,'Fordítások'!B599)</f>
        <v>835</v>
      </c>
      <c r="D44" s="153"/>
      <c r="E44" s="153"/>
      <c r="F44" s="153"/>
      <c r="G44" s="153"/>
      <c r="H44" s="153"/>
      <c r="I44" s="153"/>
      <c r="J44" s="153"/>
      <c r="K44" s="13"/>
      <c r="L44" t="b" s="1042">
        <v>0</v>
      </c>
      <c r="M44" s="142"/>
      <c r="N44" s="142"/>
      <c r="O44" t="s" s="1052">
        <f>IF('Adatlap'!L1="Magyar","Hígítatlan termékek","Undiluted products")</f>
        <v>836</v>
      </c>
      <c r="P44" t="s" s="1053">
        <f>IF('Adatlap'!L1="Magyar","Használatra kész termékek","RTU products")</f>
        <v>837</v>
      </c>
      <c r="Q44" t="s" s="1054">
        <f>IF('Adatlap'!L1="Magyar","Szórófejes palackokban értékesített, használatra kész termékek","RTU products sold in bottles with trigger sprays")</f>
        <v>838</v>
      </c>
      <c r="R44" t="s" s="1055">
        <f>IF('Adatlap'!L1="Magyar","Por alakú mosószer","Powder laundry detergent")</f>
        <v>839</v>
      </c>
      <c r="S44" t="s" s="1055">
        <f>IF('Adatlap'!L1="Magyar","Tablettás vagy kapszulás mosószer","Laundry detergents in tablets or capsules")</f>
        <v>840</v>
      </c>
      <c r="T44" t="s" s="1055">
        <f>IF('Adatlap'!L1="Magyar","Folyékony/gél állagú (nem tablettás vagy kapszulás) mosószer","Liquid/gel laundry detergents (not in tablets or capsules)")</f>
        <v>841</v>
      </c>
      <c r="U44" t="s" s="1055">
        <f>IF('Adatlap'!L1="Magyar",'Fordítások'!C259,'Fordítások'!B259)</f>
        <v>842</v>
      </c>
      <c r="V44" t="s" s="1055">
        <f>IF('Adatlap'!L1="Magyar",'Fordítások'!C251,'Fordítások'!B251)</f>
        <v>478</v>
      </c>
      <c r="W44" t="s" s="1056">
        <f>IF('Adatlap'!L1="Magyar","Gépi mosogatószer","Dishwasher detergent")</f>
        <v>843</v>
      </c>
      <c r="X44" t="s" s="1056">
        <f>IF('Adatlap'!M1="Magyar",'Fordítások'!D254,'Fordítások'!C254)</f>
        <v>844</v>
      </c>
      <c r="Y44" s="13"/>
      <c r="Z44" s="13"/>
      <c r="AA44" s="13"/>
      <c r="AB44" s="13"/>
      <c r="AC44" s="13"/>
      <c r="AD44" s="13"/>
      <c r="AE44" s="13"/>
      <c r="AF44" s="13"/>
      <c r="AG44" s="13"/>
      <c r="AH44" s="13"/>
      <c r="AI44" s="13"/>
      <c r="AJ44" s="13"/>
      <c r="AK44" s="13"/>
      <c r="AL44" s="13"/>
      <c r="AM44" s="13"/>
      <c r="AN44" s="13"/>
      <c r="AO44" s="13"/>
      <c r="AP44" s="13"/>
      <c r="AQ44" s="13"/>
      <c r="AR44" s="13"/>
      <c r="AS44" s="13"/>
      <c r="AT44" s="14"/>
    </row>
    <row r="45" ht="12" customHeight="1">
      <c r="A45" s="28"/>
      <c r="B45" s="1057"/>
      <c r="C45" s="1058"/>
      <c r="D45" s="1059"/>
      <c r="E45" s="39"/>
      <c r="F45" s="39"/>
      <c r="G45" s="39"/>
      <c r="H45" s="39"/>
      <c r="I45" s="39"/>
      <c r="J45" s="13"/>
      <c r="K45" s="13"/>
      <c r="L45" s="1039"/>
      <c r="M45" s="142"/>
      <c r="N45" s="142"/>
      <c r="O45" s="1060"/>
      <c r="P45" s="1061"/>
      <c r="Q45" s="1062"/>
      <c r="R45" s="1063"/>
      <c r="S45" s="1063"/>
      <c r="T45" s="1063"/>
      <c r="U45" s="1063"/>
      <c r="V45" s="1063"/>
      <c r="W45" s="1064"/>
      <c r="X45" s="1064"/>
      <c r="Y45" s="13"/>
      <c r="Z45" s="13"/>
      <c r="AA45" s="13"/>
      <c r="AB45" s="13"/>
      <c r="AC45" s="13"/>
      <c r="AD45" s="13"/>
      <c r="AE45" s="13"/>
      <c r="AF45" s="13"/>
      <c r="AG45" s="13"/>
      <c r="AH45" s="13"/>
      <c r="AI45" s="13"/>
      <c r="AJ45" s="13"/>
      <c r="AK45" s="13"/>
      <c r="AL45" s="13"/>
      <c r="AM45" s="13"/>
      <c r="AN45" s="13"/>
      <c r="AO45" s="13"/>
      <c r="AP45" s="13"/>
      <c r="AQ45" s="13"/>
      <c r="AR45" s="13"/>
      <c r="AS45" s="13"/>
      <c r="AT45" s="14"/>
    </row>
    <row r="46" ht="12.75" customHeight="1">
      <c r="A46" s="1065"/>
      <c r="B46" t="s" s="954">
        <f>IF('Adatlap'!$L$1="Magyar",'Fordítások'!C7,'Fordítások'!B7)</f>
        <v>138</v>
      </c>
      <c r="C46" s="955"/>
      <c r="D46" s="955"/>
      <c r="E46" s="955"/>
      <c r="F46" t="s" s="1066">
        <f>IF('Adatlap'!$L$1="Magyar",'Fordítások'!C601,'Fordítások'!B601)</f>
        <v>845</v>
      </c>
      <c r="G46" s="1067"/>
      <c r="H46" t="s" s="1066">
        <f>IF('Adatlap'!$L$1="Magyar",CONCATENATE('Fordítások'!C601," ",'Fordítások'!C89),CONCATENATE('Fordítások'!B601," ",'Fordítások'!B89))</f>
        <v>846</v>
      </c>
      <c r="I46" s="1067"/>
      <c r="J46" s="1068"/>
      <c r="K46" s="13"/>
      <c r="L46" s="1039"/>
      <c r="M46" s="142"/>
      <c r="N46" s="142"/>
      <c r="O46" s="1060"/>
      <c r="P46" s="1061"/>
      <c r="Q46" s="1062"/>
      <c r="R46" s="1063"/>
      <c r="S46" s="1063"/>
      <c r="T46" s="1063"/>
      <c r="U46" s="1063"/>
      <c r="V46" s="1063"/>
      <c r="W46" s="1064"/>
      <c r="X46" s="1064"/>
      <c r="Y46" s="13"/>
      <c r="Z46" s="13"/>
      <c r="AA46" s="13"/>
      <c r="AB46" s="13"/>
      <c r="AC46" s="13"/>
      <c r="AD46" s="13"/>
      <c r="AE46" s="13"/>
      <c r="AF46" s="13"/>
      <c r="AG46" s="13"/>
      <c r="AH46" s="13"/>
      <c r="AI46" s="13"/>
      <c r="AJ46" s="13"/>
      <c r="AK46" s="13"/>
      <c r="AL46" s="13"/>
      <c r="AM46" s="13"/>
      <c r="AN46" s="13"/>
      <c r="AO46" s="13"/>
      <c r="AP46" s="13"/>
      <c r="AQ46" s="13"/>
      <c r="AR46" s="13"/>
      <c r="AS46" s="13"/>
      <c r="AT46" s="14"/>
    </row>
    <row r="47" ht="12.75" customHeight="1">
      <c r="A47" s="1065"/>
      <c r="B47" s="955"/>
      <c r="C47" s="955"/>
      <c r="D47" s="955"/>
      <c r="E47" s="955"/>
      <c r="F47" t="s" s="1069">
        <f>IF('Adatlap'!$L$1="Magyar",CONCATENATE("g/l ",'Fordítások'!C441),CONCATENATE("g/l ",'Fordítások'!B441))</f>
        <v>847</v>
      </c>
      <c r="G47" s="1070"/>
      <c r="H47" t="s" s="1069">
        <f>F47</f>
        <v>848</v>
      </c>
      <c r="I47" s="1070"/>
      <c r="J47" s="1068"/>
      <c r="K47" s="13"/>
      <c r="L47" s="1039"/>
      <c r="M47" s="142"/>
      <c r="N47" s="142"/>
      <c r="O47" s="1060"/>
      <c r="P47" s="1061"/>
      <c r="Q47" s="1062"/>
      <c r="R47" s="1063"/>
      <c r="S47" s="1063"/>
      <c r="T47" s="1063"/>
      <c r="U47" s="1063"/>
      <c r="V47" s="106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4"/>
    </row>
    <row r="48" ht="27" customHeight="1">
      <c r="A48" s="1065"/>
      <c r="B48" t="s" s="1071">
        <f>HLOOKUP(TRUE,O48:X49,2,FALSE)</f>
        <v>614</v>
      </c>
      <c r="C48" s="849"/>
      <c r="D48" s="849"/>
      <c r="E48" s="849"/>
      <c r="F48" s="1072">
        <f>'Kiszerelés 1-4'!F21</f>
        <v>0</v>
      </c>
      <c r="G48" s="286"/>
      <c r="H48" s="286">
        <f>'Kiszerelés 1-4'!F22</f>
      </c>
      <c r="I48" s="286"/>
      <c r="J48" s="72"/>
      <c r="K48" s="13"/>
      <c r="L48" s="1039"/>
      <c r="M48" s="142"/>
      <c r="N48" s="142"/>
      <c r="O48" t="b" s="377">
        <f>IF(OR('Termék'!$C$24='Auswahldaten'!$A$114,'Termék'!$C$24='Auswahldaten'!$A$116,'Termék'!$C$24='Auswahldaten'!$A$118,'Termék'!$C$24='Auswahldaten'!$A$120),TRUE,FALSE)</f>
        <v>0</v>
      </c>
      <c r="P48" t="b" s="297">
        <f>IF(AND(OR('Termék'!$C$24='Auswahldaten'!$A$113,'Termék'!$C$24='Auswahldaten'!$A$115,'Termék'!$C$24='Auswahldaten'!$A$117,'Termék'!$C$24='Auswahldaten'!$A$119),L12=FALSE),TRUE,FALSE)</f>
        <v>0</v>
      </c>
      <c r="Q48" t="b" s="1051">
        <f>IF(AND(OR('Termék'!$C$24='Auswahldaten'!$A$113,'Termék'!$C$24='Auswahldaten'!$A$115,'Termék'!$C$24='Auswahldaten'!$A$117,'Termék'!$C$24='Auswahldaten'!$A$119),L12=TRUE),TRUE,FALSE)</f>
        <v>0</v>
      </c>
      <c r="R48" t="b" s="34">
        <f>IF(AND('Adatlap'!$M$3=3,'Nyilatkozatok_LD'!L9=TRUE),TRUE,FALSE)</f>
        <v>0</v>
      </c>
      <c r="S48" t="b" s="34">
        <f>IF(AND('Termék'!$C$26='Auswahldaten'!$A$96,'Kiszerelés 1-4'!$C$12='Auswahldaten'!$A$158),TRUE,FALSE)</f>
        <v>0</v>
      </c>
      <c r="T48" t="b" s="34">
        <f>IF(AND('Nyilatkozatok_LD'!L12=TRUE,'Termék'!C26='Auswahldaten'!A9),TRUE,FALSE)</f>
        <v>0</v>
      </c>
      <c r="U48" t="b" s="34">
        <f>IF('Nyilatkozatok_LD'!$L$21=TRUE,TRUE,FALSE)</f>
        <v>0</v>
      </c>
      <c r="V48" t="b" s="34">
        <f>IF('Adatlap'!$M$3=2,TRUE,FALSE)</f>
        <v>1</v>
      </c>
      <c r="W48" t="b" s="34">
        <f>IF(OR('Termék'!C24='Auswahldaten'!A122,'Termék'!C24='Auswahldaten'!A123),TRUE,FALSE)</f>
        <v>0</v>
      </c>
      <c r="X48" t="b" s="34">
        <f>IF('Termék'!C24='Auswahldaten'!A124,TRUE,FALSE)</f>
        <v>0</v>
      </c>
      <c r="Y48" s="13"/>
      <c r="Z48" s="13"/>
      <c r="AA48" s="13"/>
      <c r="AB48" s="13"/>
      <c r="AC48" s="13"/>
      <c r="AD48" s="13"/>
      <c r="AE48" s="13"/>
      <c r="AF48" s="13"/>
      <c r="AG48" s="13"/>
      <c r="AH48" s="13"/>
      <c r="AI48" s="13"/>
      <c r="AJ48" s="13"/>
      <c r="AK48" s="13"/>
      <c r="AL48" s="13"/>
      <c r="AM48" s="13"/>
      <c r="AN48" s="13"/>
      <c r="AO48" s="13"/>
      <c r="AP48" s="13"/>
      <c r="AQ48" s="13"/>
      <c r="AR48" s="13"/>
      <c r="AS48" s="13"/>
      <c r="AT48" s="14"/>
    </row>
    <row r="49" ht="12.75" customHeight="1">
      <c r="A49" s="28"/>
      <c r="B49" s="1073"/>
      <c r="C49" s="93"/>
      <c r="D49" s="882"/>
      <c r="E49" s="69"/>
      <c r="F49" s="69"/>
      <c r="G49" s="69"/>
      <c r="H49" s="69"/>
      <c r="I49" s="69"/>
      <c r="J49" s="13"/>
      <c r="K49" s="13"/>
      <c r="L49" s="1039"/>
      <c r="M49" s="142"/>
      <c r="N49" s="142"/>
      <c r="O49" t="s" s="1074">
        <f>IF('Adatlap'!$L$1="Magyar","Hígítatlan termékek","Undiluted products")</f>
        <v>836</v>
      </c>
      <c r="P49" t="s" s="1075">
        <f>IF('Adatlap'!$L$1="Magyar","Használatra kész termékek","RTU products")</f>
        <v>837</v>
      </c>
      <c r="Q49" t="s" s="1076">
        <f>IF('Adatlap'!$L$1="Magyar","Szórófejes palackokban értékesített, használatra kész termékek","RTU products sold in bottles with trigger sprays")</f>
        <v>838</v>
      </c>
      <c r="R49" t="s" s="1007">
        <f>IF('Adatlap'!$L$1="Magyar",R44,"Powder laundry detergents")</f>
        <v>849</v>
      </c>
      <c r="S49" t="s" s="1007">
        <f>IF('Adatlap'!$L$1="Magyar",S44,"Laundry detergents in tablets or capsules")</f>
        <v>850</v>
      </c>
      <c r="T49" t="s" s="1007">
        <f>IF('Adatlap'!$L$1="Magyar",T44,"Liquid/gel laundry detergents (not in tablets or capsules")</f>
        <v>851</v>
      </c>
      <c r="U49" t="s" s="1007">
        <f>IF('Adatlap'!$L$1="Magyar",'Fordítások'!$C$259,'Fordítások'!$B$259)</f>
        <v>842</v>
      </c>
      <c r="V49" t="s" s="1007">
        <f>IF('Adatlap'!$L$1="Magyar",'Fordítások'!$C$251,'Fordítások'!$B$251)</f>
        <v>478</v>
      </c>
      <c r="W49" t="s" s="752">
        <f>W44</f>
        <v>852</v>
      </c>
      <c r="X49" t="s" s="752">
        <f>X44</f>
        <v>853</v>
      </c>
      <c r="Y49" s="13"/>
      <c r="Z49" s="13"/>
      <c r="AA49" s="13"/>
      <c r="AB49" s="13"/>
      <c r="AC49" s="13"/>
      <c r="AD49" s="13"/>
      <c r="AE49" s="13"/>
      <c r="AF49" s="13"/>
      <c r="AG49" s="13"/>
      <c r="AH49" s="13"/>
      <c r="AI49" s="13"/>
      <c r="AJ49" s="13"/>
      <c r="AK49" s="13"/>
      <c r="AL49" s="13"/>
      <c r="AM49" s="13"/>
      <c r="AN49" s="13"/>
      <c r="AO49" s="13"/>
      <c r="AP49" s="13"/>
      <c r="AQ49" s="13"/>
      <c r="AR49" s="13"/>
      <c r="AS49" s="13"/>
      <c r="AT49" s="14"/>
    </row>
    <row r="50" ht="22.5" customHeight="1">
      <c r="A50" s="28"/>
      <c r="B50" t="s" s="897">
        <f>IF(AND($L$39=TRUE,L50=FALSE),IF('Adatlap'!$L$1="Magyar","Jelölje be!","Please, check!"),"")</f>
      </c>
      <c r="C50" t="s" s="710">
        <f>IF('Adatlap'!$L$1="Magyar",'Fordítások'!C604,'Fordítások'!B604)</f>
        <v>854</v>
      </c>
      <c r="D50" s="96"/>
      <c r="E50" s="96"/>
      <c r="F50" s="96"/>
      <c r="G50" s="96"/>
      <c r="H50" s="96"/>
      <c r="I50" s="96"/>
      <c r="J50" s="96"/>
      <c r="K50" s="13"/>
      <c r="L50" t="b" s="1042">
        <v>0</v>
      </c>
      <c r="M50" s="142"/>
      <c r="N50" s="142"/>
      <c r="O50" s="142"/>
      <c r="P50" s="236"/>
      <c r="Q50" s="238"/>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4"/>
    </row>
    <row r="51" ht="26.1" customHeight="1">
      <c r="A51" t="s" s="853">
        <f>IF('Adatlap'!M3=1,IF('Adatlap'!L1="Magyar","d)","(d)"),IF('Adatlap'!L1="Magyar","b)","(b)"))</f>
        <v>519</v>
      </c>
      <c r="B51" t="s" s="1077">
        <f>IF('Adatlap'!$L$1="Magyar",'Fordítások'!C605,'Fordítások'!B605)</f>
        <v>855</v>
      </c>
      <c r="C51" s="13"/>
      <c r="D51" s="153"/>
      <c r="E51" s="13"/>
      <c r="F51" s="13"/>
      <c r="G51" s="13"/>
      <c r="H51" s="13"/>
      <c r="I51" s="13"/>
      <c r="J51" s="13"/>
      <c r="K51" s="13"/>
      <c r="L51" s="1039"/>
      <c r="M51" s="142"/>
      <c r="N51" s="142"/>
      <c r="O51" s="142"/>
      <c r="P51" s="236"/>
      <c r="Q51" s="238"/>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4"/>
    </row>
    <row r="52" ht="12.75" customHeight="1">
      <c r="A52" s="28"/>
      <c r="B52" s="937"/>
      <c r="C52" s="494"/>
      <c r="D52" s="153"/>
      <c r="E52" s="13"/>
      <c r="F52" s="13"/>
      <c r="G52" s="13"/>
      <c r="H52" s="13"/>
      <c r="I52" s="13"/>
      <c r="J52" s="13"/>
      <c r="K52" s="13"/>
      <c r="L52" s="1039"/>
      <c r="M52" s="142"/>
      <c r="N52" s="142"/>
      <c r="O52" s="142"/>
      <c r="P52" s="236"/>
      <c r="Q52" s="238"/>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4"/>
    </row>
    <row r="53" ht="13.65" customHeight="1">
      <c r="A53" t="s" s="1078">
        <f>IF(AND($L$29=TRUE,L53=FALSE),IF('Adatlap'!$L$1="Magyar","Jelölje be!","Please, check!"),"")</f>
      </c>
      <c r="B53" t="s" s="900">
        <f>IF('Adatlap'!$L$1="Magyar",'Fordítások'!C606,'Fordítások'!B606)</f>
        <v>856</v>
      </c>
      <c r="C53" s="153"/>
      <c r="D53" s="153"/>
      <c r="E53" s="153"/>
      <c r="F53" s="153"/>
      <c r="G53" s="153"/>
      <c r="H53" s="153"/>
      <c r="I53" s="153"/>
      <c r="J53" s="153"/>
      <c r="K53" s="13"/>
      <c r="L53" t="b" s="1042">
        <v>0</v>
      </c>
      <c r="M53" s="142"/>
      <c r="N53" s="142"/>
      <c r="O53" s="142"/>
      <c r="P53" s="236"/>
      <c r="Q53" s="238"/>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4"/>
    </row>
    <row r="54" ht="12.75" customHeight="1">
      <c r="A54" s="1079"/>
      <c r="B54" s="39"/>
      <c r="C54" s="39"/>
      <c r="D54" s="39"/>
      <c r="E54" s="39"/>
      <c r="F54" s="39"/>
      <c r="G54" s="39"/>
      <c r="H54" s="39"/>
      <c r="I54" s="39"/>
      <c r="J54" s="13"/>
      <c r="K54" s="13"/>
      <c r="L54" s="1039"/>
      <c r="M54" s="142"/>
      <c r="N54" s="142"/>
      <c r="O54" s="142"/>
      <c r="P54" s="236"/>
      <c r="Q54" s="238"/>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4"/>
    </row>
    <row r="55" ht="24.95" customHeight="1">
      <c r="A55" s="1065"/>
      <c r="B55" t="s" s="1080">
        <f t="shared" si="92" ref="B55:B165">'Kiszerelés 1-4'!A$26</f>
        <v>857</v>
      </c>
      <c r="C55" s="1081"/>
      <c r="D55" t="s" s="1080">
        <f>IF('Kiszerelés 1-4'!D26="","",'Kiszerelés 1-4'!D26)</f>
      </c>
      <c r="E55" s="1081"/>
      <c r="F55" s="1081"/>
      <c r="G55" s="1081"/>
      <c r="H55" s="1081"/>
      <c r="I55" s="1081"/>
      <c r="J55" s="72"/>
      <c r="K55" s="13"/>
      <c r="L55" s="1039"/>
      <c r="M55" s="142"/>
      <c r="N55" s="142"/>
      <c r="O55" s="142"/>
      <c r="P55" s="236"/>
      <c r="Q55" s="238"/>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4"/>
    </row>
    <row r="56" ht="24.95" customHeight="1">
      <c r="A56" s="1065"/>
      <c r="B56" t="s" s="1080">
        <f t="shared" si="94" ref="B56:B166">'Kiszerelés 1-4'!A$27</f>
        <v>858</v>
      </c>
      <c r="C56" s="1081"/>
      <c r="D56" t="s" s="1080">
        <f>IF('Kiszerelés 1-4'!D27="","",'Kiszerelés 1-4'!D27)</f>
      </c>
      <c r="E56" s="1081"/>
      <c r="F56" s="1081"/>
      <c r="G56" s="1081"/>
      <c r="H56" s="1081"/>
      <c r="I56" s="1081"/>
      <c r="J56" s="72"/>
      <c r="K56" s="13"/>
      <c r="L56" s="1039"/>
      <c r="M56" s="142"/>
      <c r="N56" s="142"/>
      <c r="O56" s="142"/>
      <c r="P56" s="236"/>
      <c r="Q56" s="238"/>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4"/>
    </row>
    <row r="57" ht="24.95" customHeight="1">
      <c r="A57" s="1065"/>
      <c r="B57" t="s" s="1080">
        <f t="shared" si="96" ref="B57:B167">'Kiszerelés 1-4'!A$28</f>
        <v>859</v>
      </c>
      <c r="C57" s="1081"/>
      <c r="D57" t="s" s="1080">
        <f>IF('Kiszerelés 1-4'!D28="","",'Kiszerelés 1-4'!D28)</f>
      </c>
      <c r="E57" s="1081"/>
      <c r="F57" s="1081"/>
      <c r="G57" s="1081"/>
      <c r="H57" s="1081"/>
      <c r="I57" s="1081"/>
      <c r="J57" s="72"/>
      <c r="K57" s="13"/>
      <c r="L57" s="1039"/>
      <c r="M57" s="142"/>
      <c r="N57" s="142"/>
      <c r="O57" s="142"/>
      <c r="P57" s="236"/>
      <c r="Q57" s="238"/>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4"/>
    </row>
    <row r="58" ht="24.95" customHeight="1">
      <c r="A58" s="1065"/>
      <c r="B58" t="s" s="1080">
        <f t="shared" si="98" ref="B58:B168">'Kiszerelés 1-4'!A$29</f>
        <v>860</v>
      </c>
      <c r="C58" s="1081"/>
      <c r="D58" t="s" s="1080">
        <f>IF('Kiszerelés 1-4'!D29="","",'Kiszerelés 1-4'!D29)</f>
      </c>
      <c r="E58" s="1081"/>
      <c r="F58" s="1081"/>
      <c r="G58" s="1081"/>
      <c r="H58" s="1081"/>
      <c r="I58" s="1081"/>
      <c r="J58" s="72"/>
      <c r="K58" s="13"/>
      <c r="L58" s="1039"/>
      <c r="M58" s="142"/>
      <c r="N58" s="142"/>
      <c r="O58" s="142"/>
      <c r="P58" s="236"/>
      <c r="Q58" s="238"/>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4"/>
    </row>
    <row r="59" ht="24.95" customHeight="1">
      <c r="A59" s="1065"/>
      <c r="B59" t="s" s="1080">
        <f>IF('Adatlap'!$L$1="Magyar",'Fordítások'!C608,'Fordítások'!B608)</f>
        <v>861</v>
      </c>
      <c r="C59" s="1081"/>
      <c r="D59" s="1082"/>
      <c r="E59" s="1082"/>
      <c r="F59" s="1082"/>
      <c r="G59" s="1082"/>
      <c r="H59" s="1082"/>
      <c r="I59" s="1082"/>
      <c r="J59" s="72"/>
      <c r="K59" s="13"/>
      <c r="L59" s="1039"/>
      <c r="M59" s="142"/>
      <c r="N59" s="142"/>
      <c r="O59" s="142"/>
      <c r="P59" s="236"/>
      <c r="Q59" s="238"/>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4"/>
    </row>
    <row r="60" ht="12.75" customHeight="1">
      <c r="A60" s="28"/>
      <c r="B60" s="69"/>
      <c r="C60" s="69"/>
      <c r="D60" s="69"/>
      <c r="E60" s="69"/>
      <c r="F60" s="69"/>
      <c r="G60" s="69"/>
      <c r="H60" s="69"/>
      <c r="I60" s="69"/>
      <c r="J60" s="13"/>
      <c r="K60" s="13"/>
      <c r="L60" s="1039"/>
      <c r="M60" s="142"/>
      <c r="N60" s="142"/>
      <c r="O60" s="142"/>
      <c r="P60" s="236"/>
      <c r="Q60" s="238"/>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4"/>
    </row>
    <row r="61" ht="24.95" customHeight="1">
      <c r="A61" s="28"/>
      <c r="B61" t="s" s="897">
        <f>IF(AND(L61=FALSE,L53=TRUE),IF('Adatlap'!$L$1="Magyar","Jelölje be!","Please, check!"),"")</f>
      </c>
      <c r="C61" t="s" s="710">
        <f>IF('Adatlap'!$L$1="Magyar",'Fordítások'!C607,'Fordítások'!B607)</f>
        <v>862</v>
      </c>
      <c r="D61" s="96"/>
      <c r="E61" s="96"/>
      <c r="F61" s="96"/>
      <c r="G61" s="96"/>
      <c r="H61" s="96"/>
      <c r="I61" s="96"/>
      <c r="J61" s="96"/>
      <c r="K61" s="13"/>
      <c r="L61" t="b" s="1042">
        <v>0</v>
      </c>
      <c r="M61" s="142"/>
      <c r="N61" s="142"/>
      <c r="O61" s="142"/>
      <c r="P61" s="236"/>
      <c r="Q61" s="238"/>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4"/>
    </row>
    <row r="62" ht="18" customHeight="1">
      <c r="A62" s="28"/>
      <c r="B62" s="13"/>
      <c r="C62" s="13"/>
      <c r="D62" s="13"/>
      <c r="E62" s="13"/>
      <c r="F62" s="13"/>
      <c r="G62" s="13"/>
      <c r="H62" s="13"/>
      <c r="I62" s="13"/>
      <c r="J62" s="13"/>
      <c r="K62" s="13"/>
      <c r="L62" s="1039"/>
      <c r="M62" s="142"/>
      <c r="N62" s="142"/>
      <c r="O62" s="142"/>
      <c r="P62" s="236"/>
      <c r="Q62" s="238"/>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4"/>
    </row>
    <row r="63" ht="18" customHeight="1">
      <c r="A63" t="s" s="1083">
        <f>'Kiszerelés 1-4'!C31</f>
        <v>863</v>
      </c>
      <c r="B63" s="1084"/>
      <c r="C63" t="s" s="1077">
        <f>IF('Kiszerelés 1-4'!C32="","",'Kiszerelés 1-4'!C32)</f>
      </c>
      <c r="D63" s="185"/>
      <c r="E63" s="185"/>
      <c r="F63" s="185"/>
      <c r="G63" s="185"/>
      <c r="H63" s="185"/>
      <c r="I63" s="185"/>
      <c r="J63" s="13"/>
      <c r="K63" s="13"/>
      <c r="L63" s="1039"/>
      <c r="M63" s="142"/>
      <c r="N63" s="142"/>
      <c r="O63" s="142"/>
      <c r="P63" s="236"/>
      <c r="Q63" s="238"/>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4"/>
    </row>
    <row r="64" ht="18" customHeight="1">
      <c r="A64" s="28"/>
      <c r="B64" s="13"/>
      <c r="C64" s="13"/>
      <c r="D64" s="13"/>
      <c r="E64" s="13"/>
      <c r="F64" s="13"/>
      <c r="G64" s="13"/>
      <c r="H64" s="13"/>
      <c r="I64" s="13"/>
      <c r="J64" s="13"/>
      <c r="K64" s="13"/>
      <c r="L64" s="1039"/>
      <c r="M64" s="142"/>
      <c r="N64" s="142"/>
      <c r="O64" s="143"/>
      <c r="P64" s="236"/>
      <c r="Q64" s="238"/>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4"/>
    </row>
    <row r="65" ht="12.75" customHeight="1" hidden="1">
      <c r="A65" t="s" s="853">
        <f>A$10</f>
        <v>559</v>
      </c>
      <c r="B65" t="s" s="1077">
        <f>B$10</f>
        <v>864</v>
      </c>
      <c r="C65" s="185"/>
      <c r="D65" s="185"/>
      <c r="E65" s="185"/>
      <c r="F65" s="185"/>
      <c r="G65" s="185"/>
      <c r="H65" s="185"/>
      <c r="I65" s="185"/>
      <c r="J65" s="13"/>
      <c r="K65" s="13"/>
      <c r="L65" s="1039"/>
      <c r="M65" s="142"/>
      <c r="N65" s="146"/>
      <c r="O65" s="167"/>
      <c r="P65" s="261"/>
      <c r="Q65" s="261"/>
      <c r="R65" s="185"/>
      <c r="S65" s="185"/>
      <c r="T65" s="185"/>
      <c r="U65" s="185"/>
      <c r="V65" s="185"/>
      <c r="W65" s="185"/>
      <c r="X65" s="13"/>
      <c r="Y65" s="13"/>
      <c r="Z65" s="13"/>
      <c r="AA65" s="13"/>
      <c r="AB65" s="13"/>
      <c r="AC65" s="13"/>
      <c r="AD65" s="13"/>
      <c r="AE65" s="13"/>
      <c r="AF65" s="13"/>
      <c r="AG65" s="13"/>
      <c r="AH65" s="13"/>
      <c r="AI65" s="13"/>
      <c r="AJ65" s="13"/>
      <c r="AK65" s="13"/>
      <c r="AL65" s="13"/>
      <c r="AM65" s="13"/>
      <c r="AN65" s="13"/>
      <c r="AO65" s="13"/>
      <c r="AP65" s="13"/>
      <c r="AQ65" s="13"/>
      <c r="AR65" s="13"/>
      <c r="AS65" s="13"/>
      <c r="AT65" s="14"/>
    </row>
    <row r="66" ht="12.75" customHeight="1" hidden="1">
      <c r="A66" s="28"/>
      <c r="B66" s="13"/>
      <c r="C66" s="13"/>
      <c r="D66" s="13"/>
      <c r="E66" s="13"/>
      <c r="F66" s="13"/>
      <c r="G66" s="13"/>
      <c r="H66" s="13"/>
      <c r="I66" s="13"/>
      <c r="J66" s="13"/>
      <c r="K66" s="13"/>
      <c r="L66" s="1039"/>
      <c r="M66" s="142"/>
      <c r="N66" s="142"/>
      <c r="O66" s="227"/>
      <c r="P66" s="309"/>
      <c r="Q66" s="310"/>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4"/>
    </row>
    <row r="67" ht="24.95" customHeight="1" hidden="1">
      <c r="A67" t="s" s="777">
        <f>IF(AND(L67=FALSE,L74=FALSE),IF('Adatlap'!L1="Magyar","Jelölje be!","Please, check!"),"")</f>
        <v>399</v>
      </c>
      <c r="B67" t="s" s="710">
        <f>B$12</f>
        <v>865</v>
      </c>
      <c r="C67" s="13"/>
      <c r="D67" s="17"/>
      <c r="E67" s="17"/>
      <c r="F67" s="17"/>
      <c r="G67" s="17"/>
      <c r="H67" s="17"/>
      <c r="I67" s="17"/>
      <c r="J67" s="96"/>
      <c r="K67" s="13"/>
      <c r="L67" t="b" s="1042">
        <v>0</v>
      </c>
      <c r="M67" s="142"/>
      <c r="N67" s="142"/>
      <c r="O67" s="146"/>
      <c r="P67" s="710"/>
      <c r="Q67" s="710"/>
      <c r="R67" s="710"/>
      <c r="S67" s="710"/>
      <c r="T67" s="710"/>
      <c r="U67" s="710"/>
      <c r="V67" s="710"/>
      <c r="W67" s="710"/>
      <c r="X67" s="710"/>
      <c r="Y67" s="13"/>
      <c r="Z67" s="13"/>
      <c r="AA67" s="13"/>
      <c r="AB67" s="13"/>
      <c r="AC67" s="13"/>
      <c r="AD67" s="13"/>
      <c r="AE67" s="13"/>
      <c r="AF67" s="13"/>
      <c r="AG67" s="13"/>
      <c r="AH67" s="13"/>
      <c r="AI67" s="13"/>
      <c r="AJ67" s="13"/>
      <c r="AK67" s="13"/>
      <c r="AL67" s="13"/>
      <c r="AM67" s="13"/>
      <c r="AN67" s="13"/>
      <c r="AO67" s="13"/>
      <c r="AP67" s="13"/>
      <c r="AQ67" s="13"/>
      <c r="AR67" s="13"/>
      <c r="AS67" s="13"/>
      <c r="AT67" s="14"/>
    </row>
    <row r="68" ht="24.95" customHeight="1" hidden="1">
      <c r="A68" s="28"/>
      <c r="B68" t="s" s="897">
        <f>IF(AND($L$67=TRUE,L68=FALSE),IF('Adatlap'!$L$1="Magyar","Jelölje be!","Please, check!"),"")</f>
      </c>
      <c r="C68" t="s" s="900">
        <f>C$13</f>
        <v>866</v>
      </c>
      <c r="D68" s="9"/>
      <c r="E68" s="9"/>
      <c r="F68" s="9"/>
      <c r="G68" s="9"/>
      <c r="H68" s="9"/>
      <c r="I68" s="9"/>
      <c r="J68" s="153"/>
      <c r="K68" s="13"/>
      <c r="L68" t="b" s="1042">
        <v>0</v>
      </c>
      <c r="M68" s="142"/>
      <c r="N68" s="142"/>
      <c r="O68" s="142"/>
      <c r="P68" s="317"/>
      <c r="Q68" s="1085"/>
      <c r="R68" s="1086"/>
      <c r="S68" s="1086"/>
      <c r="T68" s="1086"/>
      <c r="U68" s="1086"/>
      <c r="V68" s="1086"/>
      <c r="W68" s="1086"/>
      <c r="X68" s="1086"/>
      <c r="Y68" s="110"/>
      <c r="Z68" s="13"/>
      <c r="AA68" s="13"/>
      <c r="AB68" s="13"/>
      <c r="AC68" s="13"/>
      <c r="AD68" s="13"/>
      <c r="AE68" s="13"/>
      <c r="AF68" s="13"/>
      <c r="AG68" s="13"/>
      <c r="AH68" s="13"/>
      <c r="AI68" s="13"/>
      <c r="AJ68" s="13"/>
      <c r="AK68" s="13"/>
      <c r="AL68" s="13"/>
      <c r="AM68" s="13"/>
      <c r="AN68" s="13"/>
      <c r="AO68" s="13"/>
      <c r="AP68" s="13"/>
      <c r="AQ68" s="13"/>
      <c r="AR68" s="13"/>
      <c r="AS68" s="13"/>
      <c r="AT68" s="14"/>
    </row>
    <row r="69" ht="8.1" customHeight="1" hidden="1">
      <c r="A69" s="28"/>
      <c r="B69" s="13"/>
      <c r="C69" s="13"/>
      <c r="D69" s="13"/>
      <c r="E69" s="13"/>
      <c r="F69" s="13"/>
      <c r="G69" s="13"/>
      <c r="H69" s="13"/>
      <c r="I69" s="13"/>
      <c r="J69" s="13"/>
      <c r="K69" s="13"/>
      <c r="L69" s="1039"/>
      <c r="M69" s="142"/>
      <c r="N69" s="142"/>
      <c r="O69" s="142"/>
      <c r="P69" s="237"/>
      <c r="Q69" s="238"/>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4"/>
    </row>
    <row r="70" ht="24.95" customHeight="1" hidden="1">
      <c r="A70" s="28"/>
      <c r="B70" t="s" s="897">
        <f>IF(AND($L$67=TRUE,L70=FALSE),IF('Adatlap'!$L$1="Magyar","Jelölje be!","Please, check!"),"")</f>
      </c>
      <c r="C70" t="s" s="900">
        <f>C$15</f>
        <v>867</v>
      </c>
      <c r="D70" s="13"/>
      <c r="E70" s="13"/>
      <c r="F70" s="13"/>
      <c r="G70" s="13"/>
      <c r="H70" s="13"/>
      <c r="I70" s="13"/>
      <c r="J70" s="153"/>
      <c r="K70" s="13"/>
      <c r="L70" t="b" s="1042">
        <v>0</v>
      </c>
      <c r="M70" s="142"/>
      <c r="N70" s="142"/>
      <c r="O70" s="142"/>
      <c r="P70" s="237"/>
      <c r="Q70" s="238"/>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4"/>
    </row>
    <row r="71" ht="8.1" customHeight="1" hidden="1">
      <c r="A71" s="28"/>
      <c r="B71" s="13"/>
      <c r="C71" s="13"/>
      <c r="D71" s="13"/>
      <c r="E71" s="13"/>
      <c r="F71" s="13"/>
      <c r="G71" s="13"/>
      <c r="H71" s="13"/>
      <c r="I71" s="13"/>
      <c r="J71" s="13"/>
      <c r="K71" s="13"/>
      <c r="L71" s="1039"/>
      <c r="M71" s="142"/>
      <c r="N71" s="142"/>
      <c r="O71" s="142"/>
      <c r="P71" s="237"/>
      <c r="Q71" s="238"/>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4"/>
    </row>
    <row r="72" ht="24.95" customHeight="1" hidden="1">
      <c r="A72" s="28"/>
      <c r="B72" t="s" s="897">
        <f>IF(AND($L$67=TRUE,L72=FALSE),IF('Adatlap'!$L$1="Magyar","Jelölje be!","Please, check!"),"")</f>
      </c>
      <c r="C72" t="s" s="900">
        <f>C$17</f>
        <v>868</v>
      </c>
      <c r="D72" s="13"/>
      <c r="E72" s="13"/>
      <c r="F72" s="13"/>
      <c r="G72" s="13"/>
      <c r="H72" s="13"/>
      <c r="I72" s="13"/>
      <c r="J72" s="153"/>
      <c r="K72" s="13"/>
      <c r="L72" t="b" s="1042">
        <v>0</v>
      </c>
      <c r="M72" s="142"/>
      <c r="N72" s="142"/>
      <c r="O72" s="142"/>
      <c r="P72" s="237"/>
      <c r="Q72" s="238"/>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4"/>
    </row>
    <row r="73" ht="8.45" customHeight="1" hidden="1">
      <c r="A73" s="28"/>
      <c r="B73" s="13"/>
      <c r="C73" s="13"/>
      <c r="D73" s="13"/>
      <c r="E73" s="13"/>
      <c r="F73" s="13"/>
      <c r="G73" s="13"/>
      <c r="H73" s="13"/>
      <c r="I73" s="13"/>
      <c r="J73" s="13"/>
      <c r="K73" s="13"/>
      <c r="L73" s="1039"/>
      <c r="M73" s="142"/>
      <c r="N73" s="142"/>
      <c r="O73" s="142"/>
      <c r="P73" s="237"/>
      <c r="Q73" s="238"/>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4"/>
    </row>
    <row r="74" ht="24.95" customHeight="1" hidden="1">
      <c r="A74" t="s" s="777">
        <f>IF(AND(L67=FALSE,L74=FALSE),IF('Adatlap'!L1="Magyar","Jelölje be!","Please, check!"),"")</f>
        <v>399</v>
      </c>
      <c r="B74" t="s" s="710">
        <f>B$19</f>
        <v>869</v>
      </c>
      <c r="C74" s="13"/>
      <c r="D74" s="13"/>
      <c r="E74" s="13"/>
      <c r="F74" s="13"/>
      <c r="G74" s="13"/>
      <c r="H74" s="13"/>
      <c r="I74" s="13"/>
      <c r="J74" s="96"/>
      <c r="K74" s="13"/>
      <c r="L74" t="b" s="1042">
        <v>0</v>
      </c>
      <c r="M74" s="142"/>
      <c r="N74" s="142"/>
      <c r="O74" s="142"/>
      <c r="P74" s="237"/>
      <c r="Q74" s="238"/>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4"/>
    </row>
    <row r="75" ht="12.75" customHeight="1" hidden="1">
      <c r="A75" s="28"/>
      <c r="B75" s="13"/>
      <c r="C75" s="13"/>
      <c r="D75" s="13"/>
      <c r="E75" s="13"/>
      <c r="F75" s="13"/>
      <c r="G75" s="13"/>
      <c r="H75" s="13"/>
      <c r="I75" s="13"/>
      <c r="J75" s="13"/>
      <c r="K75" s="13"/>
      <c r="L75" s="1039"/>
      <c r="M75" s="142"/>
      <c r="N75" s="142"/>
      <c r="O75" s="142"/>
      <c r="P75" s="237"/>
      <c r="Q75" s="238"/>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4"/>
    </row>
    <row r="76" ht="12.75" customHeight="1" hidden="1">
      <c r="A76" t="s" s="853">
        <f>A$21</f>
        <v>870</v>
      </c>
      <c r="B76" t="s" s="854">
        <f>B$21</f>
        <v>871</v>
      </c>
      <c r="C76" s="13"/>
      <c r="D76" s="13"/>
      <c r="E76" s="13"/>
      <c r="F76" s="13"/>
      <c r="G76" s="13"/>
      <c r="H76" s="13"/>
      <c r="I76" s="13"/>
      <c r="J76" s="855"/>
      <c r="K76" s="13"/>
      <c r="L76" s="1039"/>
      <c r="M76" s="142"/>
      <c r="N76" s="142"/>
      <c r="O76" s="142"/>
      <c r="P76" s="237"/>
      <c r="Q76" s="238"/>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4"/>
    </row>
    <row r="77" ht="12.75" customHeight="1" hidden="1">
      <c r="A77" s="28"/>
      <c r="B77" s="13"/>
      <c r="C77" s="13"/>
      <c r="D77" s="13"/>
      <c r="E77" s="13"/>
      <c r="F77" s="13"/>
      <c r="G77" s="13"/>
      <c r="H77" s="13"/>
      <c r="I77" s="13"/>
      <c r="J77" s="13"/>
      <c r="K77" s="13"/>
      <c r="L77" s="1039"/>
      <c r="M77" s="142"/>
      <c r="N77" s="142"/>
      <c r="O77" s="142"/>
      <c r="P77" s="237"/>
      <c r="Q77" s="238"/>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4"/>
    </row>
    <row r="78" ht="24.95" customHeight="1" hidden="1">
      <c r="A78" t="s" s="777">
        <f>IF(AND(L78=FALSE,L84=FALSE),IF('Adatlap'!$L$1="Magyar","Jelölje be!","Please, check!"),"")</f>
        <v>399</v>
      </c>
      <c r="B78" t="s" s="710">
        <f>B$23</f>
        <v>872</v>
      </c>
      <c r="C78" s="13"/>
      <c r="D78" s="13"/>
      <c r="E78" s="13"/>
      <c r="F78" s="13"/>
      <c r="G78" s="13"/>
      <c r="H78" s="13"/>
      <c r="I78" s="13"/>
      <c r="J78" s="96"/>
      <c r="K78" s="13"/>
      <c r="L78" t="b" s="1042">
        <v>0</v>
      </c>
      <c r="M78" s="142"/>
      <c r="N78" s="142"/>
      <c r="O78" s="142"/>
      <c r="P78" s="237"/>
      <c r="Q78" s="238"/>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4"/>
    </row>
    <row r="79" ht="12.75" customHeight="1" hidden="1">
      <c r="A79" s="28"/>
      <c r="B79" s="13"/>
      <c r="C79" s="1021"/>
      <c r="D79" s="1021"/>
      <c r="E79" s="1021"/>
      <c r="F79" s="1021"/>
      <c r="G79" s="1021"/>
      <c r="H79" s="1021"/>
      <c r="I79" s="1021"/>
      <c r="J79" s="1021"/>
      <c r="K79" s="13"/>
      <c r="L79" s="1039"/>
      <c r="M79" s="142"/>
      <c r="N79" s="142"/>
      <c r="O79" s="142"/>
      <c r="P79" s="237"/>
      <c r="Q79" s="238"/>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4"/>
    </row>
    <row r="80" ht="24.95" customHeight="1" hidden="1">
      <c r="A80" s="28"/>
      <c r="B80" t="s" s="897">
        <f>B25</f>
      </c>
      <c r="C80" t="s" s="900">
        <f>C$25</f>
        <v>873</v>
      </c>
      <c r="D80" s="13"/>
      <c r="E80" s="13"/>
      <c r="F80" s="13"/>
      <c r="G80" s="13"/>
      <c r="H80" s="13"/>
      <c r="I80" s="13"/>
      <c r="J80" s="153"/>
      <c r="K80" s="13"/>
      <c r="L80" t="b" s="1042">
        <v>0</v>
      </c>
      <c r="M80" s="142"/>
      <c r="N80" s="142"/>
      <c r="O80" s="142"/>
      <c r="P80" s="237"/>
      <c r="Q80" s="238"/>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4"/>
    </row>
    <row r="81" ht="8.1" customHeight="1" hidden="1">
      <c r="A81" s="28"/>
      <c r="B81" s="13"/>
      <c r="C81" s="13"/>
      <c r="D81" s="13"/>
      <c r="E81" s="13"/>
      <c r="F81" s="13"/>
      <c r="G81" s="13"/>
      <c r="H81" s="13"/>
      <c r="I81" s="13"/>
      <c r="J81" s="13"/>
      <c r="K81" s="13"/>
      <c r="L81" s="1039"/>
      <c r="M81" s="142"/>
      <c r="N81" s="142"/>
      <c r="O81" s="142"/>
      <c r="P81" s="237"/>
      <c r="Q81" s="238"/>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4"/>
    </row>
    <row r="82" ht="24.95" customHeight="1" hidden="1">
      <c r="A82" s="28"/>
      <c r="B82" t="s" s="897">
        <f>B27</f>
      </c>
      <c r="C82" t="s" s="1002">
        <f>C$27</f>
        <v>874</v>
      </c>
      <c r="D82" s="714"/>
      <c r="E82" s="714"/>
      <c r="F82" s="714"/>
      <c r="G82" s="714"/>
      <c r="H82" s="714"/>
      <c r="I82" s="714"/>
      <c r="J82" s="714"/>
      <c r="K82" s="13"/>
      <c r="L82" t="b" s="1042">
        <v>0</v>
      </c>
      <c r="M82" s="142"/>
      <c r="N82" s="142"/>
      <c r="O82" s="142"/>
      <c r="P82" s="237"/>
      <c r="Q82" s="238"/>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4"/>
    </row>
    <row r="83" ht="8.1" customHeight="1" hidden="1">
      <c r="A83" s="28"/>
      <c r="B83" s="13"/>
      <c r="C83" s="13"/>
      <c r="D83" s="13"/>
      <c r="E83" s="13"/>
      <c r="F83" s="13"/>
      <c r="G83" s="13"/>
      <c r="H83" s="13"/>
      <c r="I83" s="13"/>
      <c r="J83" s="13"/>
      <c r="K83" s="13"/>
      <c r="L83" s="1039"/>
      <c r="M83" s="142"/>
      <c r="N83" s="142"/>
      <c r="O83" s="142"/>
      <c r="P83" s="237"/>
      <c r="Q83" s="238"/>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4"/>
    </row>
    <row r="84" ht="24.95" customHeight="1">
      <c r="A84" t="s" s="777">
        <f>IF(AND(L78=FALSE,L84=FALSE),IF('Adatlap'!$L$1="Magyar","Jelölje be!","Please, check!"),"")</f>
        <v>399</v>
      </c>
      <c r="B84" t="s" s="710">
        <f>B$29</f>
        <v>875</v>
      </c>
      <c r="C84" s="17"/>
      <c r="D84" s="17"/>
      <c r="E84" s="17"/>
      <c r="F84" s="17"/>
      <c r="G84" s="17"/>
      <c r="H84" s="17"/>
      <c r="I84" s="17"/>
      <c r="J84" s="96"/>
      <c r="K84" s="13"/>
      <c r="L84" t="b" s="1042">
        <v>0</v>
      </c>
      <c r="M84" s="142"/>
      <c r="N84" s="142"/>
      <c r="O84" s="142"/>
      <c r="P84" s="236"/>
      <c r="Q84" s="238"/>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4"/>
    </row>
    <row r="85" ht="12.75" customHeight="1">
      <c r="A85" s="28"/>
      <c r="B85" s="13"/>
      <c r="C85" s="9"/>
      <c r="D85" s="9"/>
      <c r="E85" s="9"/>
      <c r="F85" s="9"/>
      <c r="G85" s="9"/>
      <c r="H85" s="9"/>
      <c r="I85" s="9"/>
      <c r="J85" s="96"/>
      <c r="K85" s="13"/>
      <c r="L85" s="1039"/>
      <c r="M85" s="142"/>
      <c r="N85" s="142"/>
      <c r="O85" s="142"/>
      <c r="P85" s="236"/>
      <c r="Q85" s="238"/>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4"/>
    </row>
    <row r="86" ht="12.75" customHeight="1" hidden="1">
      <c r="A86" s="28"/>
      <c r="B86" s="96"/>
      <c r="C86" s="96"/>
      <c r="D86" s="96"/>
      <c r="E86" s="96"/>
      <c r="F86" s="96"/>
      <c r="G86" s="96"/>
      <c r="H86" s="96"/>
      <c r="I86" s="96"/>
      <c r="J86" s="96"/>
      <c r="K86" s="13"/>
      <c r="L86" s="1039"/>
      <c r="M86" s="142"/>
      <c r="N86" s="142"/>
      <c r="O86" s="142"/>
      <c r="P86" s="237"/>
      <c r="Q86" s="238"/>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4"/>
    </row>
    <row r="87" ht="12.75" customHeight="1">
      <c r="A87" t="s" s="853">
        <f>A$32</f>
        <v>559</v>
      </c>
      <c r="B87" t="s" s="1087">
        <f>B$32</f>
        <v>876</v>
      </c>
      <c r="C87" s="1088"/>
      <c r="D87" s="1088"/>
      <c r="E87" s="1088"/>
      <c r="F87" s="1088"/>
      <c r="G87" s="1088"/>
      <c r="H87" s="1088"/>
      <c r="I87" s="1088"/>
      <c r="J87" s="1088"/>
      <c r="K87" s="13"/>
      <c r="L87" s="1039"/>
      <c r="M87" s="142"/>
      <c r="N87" s="142"/>
      <c r="O87" s="142"/>
      <c r="P87" s="236"/>
      <c r="Q87" s="238"/>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4"/>
    </row>
    <row r="88" ht="12.75" customHeight="1">
      <c r="A88" s="28"/>
      <c r="B88" s="96"/>
      <c r="C88" s="96"/>
      <c r="D88" s="96"/>
      <c r="E88" s="96"/>
      <c r="F88" s="96"/>
      <c r="G88" s="96"/>
      <c r="H88" s="96"/>
      <c r="I88" s="96"/>
      <c r="J88" s="96"/>
      <c r="K88" s="13"/>
      <c r="L88" s="1039"/>
      <c r="M88" s="142"/>
      <c r="N88" s="142"/>
      <c r="O88" s="142"/>
      <c r="P88" s="236"/>
      <c r="Q88" s="238"/>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4"/>
    </row>
    <row r="89" ht="27.75" customHeight="1">
      <c r="A89" t="s" s="777">
        <v>399</v>
      </c>
      <c r="B89" t="s" s="900">
        <f>B$34</f>
        <v>830</v>
      </c>
      <c r="C89" s="13"/>
      <c r="D89" s="13"/>
      <c r="E89" s="13"/>
      <c r="F89" s="13"/>
      <c r="G89" s="13"/>
      <c r="H89" s="13"/>
      <c r="I89" s="13"/>
      <c r="J89" s="153"/>
      <c r="K89" s="13"/>
      <c r="L89" t="b" s="1042">
        <v>0</v>
      </c>
      <c r="M89" s="142"/>
      <c r="N89" s="142"/>
      <c r="O89" t="s" s="1050">
        <f>IF(AND(L84=TRUE,L89=FALSE,L94=FALSE),IF('Adatlap'!$L$1="Magyar","Jelölje be!","Please, check!"),"")</f>
      </c>
      <c r="P89" t="s" s="365">
        <f>IF(AND(L89=FALSE,L94=FALSE),IF('Adatlap'!$L$1="Magyar","Jelölje be!","Please, check!"),"")</f>
        <v>399</v>
      </c>
      <c r="Q89" s="1051">
        <f>IF(AND(L84=TRUE,L89=FALSE,L94=FALSE),1,0)</f>
        <v>0</v>
      </c>
      <c r="R89" s="34">
        <f>IF(AND(L89=FALSE,L94=FALSE),1,0)</f>
        <v>1</v>
      </c>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4"/>
    </row>
    <row r="90" ht="8.1" customHeight="1">
      <c r="A90" s="928"/>
      <c r="B90" s="153"/>
      <c r="C90" s="153"/>
      <c r="D90" s="153"/>
      <c r="E90" s="153"/>
      <c r="F90" s="153"/>
      <c r="G90" s="153"/>
      <c r="H90" s="153"/>
      <c r="I90" s="153"/>
      <c r="J90" s="153"/>
      <c r="K90" s="13"/>
      <c r="L90" s="1039"/>
      <c r="M90" s="142"/>
      <c r="N90" s="142"/>
      <c r="O90" s="142"/>
      <c r="P90" s="236"/>
      <c r="Q90" s="238"/>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4"/>
    </row>
    <row r="91" ht="12.75" customHeight="1">
      <c r="A91" s="928"/>
      <c r="B91" t="s" s="758">
        <f>B$36</f>
        <v>831</v>
      </c>
      <c r="C91" s="13"/>
      <c r="D91" s="13"/>
      <c r="E91" s="13"/>
      <c r="F91" s="13"/>
      <c r="G91" s="13"/>
      <c r="H91" s="13"/>
      <c r="I91" s="13"/>
      <c r="J91" s="13"/>
      <c r="K91" s="13"/>
      <c r="L91" s="1039"/>
      <c r="M91" s="142"/>
      <c r="N91" s="142"/>
      <c r="O91" s="142"/>
      <c r="P91" s="236"/>
      <c r="Q91" s="238"/>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4"/>
    </row>
    <row r="92" ht="24.95" customHeight="1">
      <c r="A92" s="928"/>
      <c r="B92" t="s" s="897">
        <f>IF(AND($L$89=TRUE,L92=FALSE,L93=FALSE),IF('Adatlap'!$L$1="Magyar","Jelölje be!","Please, check!"),"")</f>
      </c>
      <c r="C92" t="s" s="758">
        <f>C$37</f>
        <v>832</v>
      </c>
      <c r="D92" s="494"/>
      <c r="E92" s="494"/>
      <c r="F92" s="494"/>
      <c r="G92" s="494"/>
      <c r="H92" s="494"/>
      <c r="I92" s="494"/>
      <c r="J92" s="494"/>
      <c r="K92" s="13"/>
      <c r="L92" t="b" s="1042">
        <v>0</v>
      </c>
      <c r="M92" s="142"/>
      <c r="N92" s="142"/>
      <c r="O92" s="142"/>
      <c r="P92" s="236"/>
      <c r="Q92" s="238"/>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4"/>
    </row>
    <row r="93" ht="24.95" customHeight="1">
      <c r="A93" s="28"/>
      <c r="B93" t="s" s="897">
        <f>IF(AND($L$89=TRUE,L92=FALSE,L93=FALSE),IF('Adatlap'!$L$1="Magyar","Jelölje be!","Please, check!"),"")</f>
      </c>
      <c r="C93" t="s" s="491">
        <f>C$38</f>
        <v>833</v>
      </c>
      <c r="D93" s="175"/>
      <c r="E93" s="175"/>
      <c r="F93" s="175"/>
      <c r="G93" s="175"/>
      <c r="H93" s="175"/>
      <c r="I93" s="175"/>
      <c r="J93" s="175"/>
      <c r="K93" s="13"/>
      <c r="L93" t="b" s="1042">
        <v>0</v>
      </c>
      <c r="M93" s="142"/>
      <c r="N93" s="142"/>
      <c r="O93" s="142"/>
      <c r="P93" s="236"/>
      <c r="Q93" s="238"/>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4"/>
    </row>
    <row r="94" ht="34.5" customHeight="1">
      <c r="A94" t="s" s="777">
        <v>399</v>
      </c>
      <c r="B94" t="s" s="710">
        <f>B39</f>
        <v>834</v>
      </c>
      <c r="C94" s="13"/>
      <c r="D94" s="13"/>
      <c r="E94" s="13"/>
      <c r="F94" s="13"/>
      <c r="G94" s="13"/>
      <c r="H94" s="13"/>
      <c r="I94" s="13"/>
      <c r="J94" s="96"/>
      <c r="K94" s="13"/>
      <c r="L94" t="b" s="1042">
        <v>0</v>
      </c>
      <c r="M94" s="142"/>
      <c r="N94" s="142"/>
      <c r="O94" s="142"/>
      <c r="P94" s="236"/>
      <c r="Q94" s="238"/>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4"/>
    </row>
    <row r="95" ht="24.95" customHeight="1">
      <c r="A95" s="928"/>
      <c r="B95" t="s" s="758">
        <f>B$40</f>
        <v>831</v>
      </c>
      <c r="C95" s="13"/>
      <c r="D95" s="13"/>
      <c r="E95" s="13"/>
      <c r="F95" s="13"/>
      <c r="G95" s="13"/>
      <c r="H95" s="13"/>
      <c r="I95" s="13"/>
      <c r="J95" s="13"/>
      <c r="K95" s="13"/>
      <c r="L95" s="1039"/>
      <c r="M95" s="142"/>
      <c r="N95" s="142"/>
      <c r="O95" s="142"/>
      <c r="P95" s="236"/>
      <c r="Q95" s="238"/>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4"/>
    </row>
    <row r="96" ht="24.95" customHeight="1">
      <c r="A96" s="928"/>
      <c r="B96" t="s" s="897">
        <f>IF(AND(L94=TRUE,L96=FALSE,L97=FALSE),IF('Adatlap'!$L$1="Magyar","Jelölje be!","Please, check!"),"")</f>
      </c>
      <c r="C96" t="s" s="758">
        <f>C$41</f>
        <v>832</v>
      </c>
      <c r="D96" s="153"/>
      <c r="E96" s="153"/>
      <c r="F96" s="153"/>
      <c r="G96" s="153"/>
      <c r="H96" s="153"/>
      <c r="I96" s="153"/>
      <c r="J96" s="153"/>
      <c r="K96" s="13"/>
      <c r="L96" t="b" s="1042">
        <v>0</v>
      </c>
      <c r="M96" s="142"/>
      <c r="N96" s="142"/>
      <c r="O96" s="142"/>
      <c r="P96" s="236"/>
      <c r="Q96" s="238"/>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4"/>
    </row>
    <row r="97" ht="24.95" customHeight="1">
      <c r="A97" s="28"/>
      <c r="B97" t="s" s="897">
        <f>IF(AND(L94=TRUE,L96=FALSE,L97=FALSE),IF('Adatlap'!$L$1="Magyar","Jelölje be!","Please, check!"),"")</f>
      </c>
      <c r="C97" t="s" s="758">
        <f>C$42</f>
        <v>833</v>
      </c>
      <c r="D97" s="96"/>
      <c r="E97" s="799"/>
      <c r="F97" s="799"/>
      <c r="G97" s="799"/>
      <c r="H97" s="799"/>
      <c r="I97" s="799"/>
      <c r="J97" s="799"/>
      <c r="K97" s="13"/>
      <c r="L97" t="b" s="1042">
        <v>0</v>
      </c>
      <c r="M97" s="142"/>
      <c r="N97" s="142"/>
      <c r="O97" s="142"/>
      <c r="P97" s="236"/>
      <c r="Q97" s="238"/>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4"/>
    </row>
    <row r="98" ht="12.75" customHeight="1">
      <c r="A98" s="928"/>
      <c r="B98" s="153"/>
      <c r="C98" s="153"/>
      <c r="D98" s="153"/>
      <c r="E98" s="153"/>
      <c r="F98" s="153"/>
      <c r="G98" s="153"/>
      <c r="H98" s="153"/>
      <c r="I98" s="153"/>
      <c r="J98" s="153"/>
      <c r="K98" s="13"/>
      <c r="L98" s="1039"/>
      <c r="M98" s="142"/>
      <c r="N98" s="142"/>
      <c r="O98" s="142"/>
      <c r="P98" s="236"/>
      <c r="Q98" s="238"/>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4"/>
    </row>
    <row r="99" ht="24.95" customHeight="1">
      <c r="A99" s="28"/>
      <c r="B99" t="s" s="897">
        <f>IF(AND($L$94=TRUE,L99=FALSE),IF('Adatlap'!$L$1="Magyar","Jelölje be!","Please, check!"),"")</f>
      </c>
      <c r="C99" t="s" s="900">
        <f>C$44</f>
        <v>877</v>
      </c>
      <c r="D99" s="13"/>
      <c r="E99" s="13"/>
      <c r="F99" s="13"/>
      <c r="G99" s="13"/>
      <c r="H99" s="13"/>
      <c r="I99" s="13"/>
      <c r="J99" s="153"/>
      <c r="K99" s="13"/>
      <c r="L99" t="b" s="1042">
        <v>0</v>
      </c>
      <c r="M99" s="142"/>
      <c r="N99" s="142"/>
      <c r="O99" t="s" s="1052">
        <f>O44</f>
        <v>878</v>
      </c>
      <c r="P99" t="s" s="1053">
        <f>P44</f>
        <v>879</v>
      </c>
      <c r="Q99" t="s" s="1052">
        <f>Q44</f>
        <v>880</v>
      </c>
      <c r="R99" t="s" s="1089">
        <f>R44</f>
        <v>849</v>
      </c>
      <c r="S99" t="s" s="1089">
        <f>S44</f>
        <v>850</v>
      </c>
      <c r="T99" t="s" s="1089">
        <f>T44</f>
        <v>851</v>
      </c>
      <c r="U99" t="s" s="1089">
        <f>U44</f>
        <v>881</v>
      </c>
      <c r="V99" t="s" s="1089">
        <f>V44</f>
        <v>882</v>
      </c>
      <c r="W99" t="s" s="1089">
        <f>W44</f>
        <v>852</v>
      </c>
      <c r="X99" t="s" s="1089">
        <f>X44</f>
        <v>853</v>
      </c>
      <c r="Y99" s="1090"/>
      <c r="Z99" s="13"/>
      <c r="AA99" s="13"/>
      <c r="AB99" s="13"/>
      <c r="AC99" s="13"/>
      <c r="AD99" s="13"/>
      <c r="AE99" s="13"/>
      <c r="AF99" s="13"/>
      <c r="AG99" s="13"/>
      <c r="AH99" s="13"/>
      <c r="AI99" s="13"/>
      <c r="AJ99" s="13"/>
      <c r="AK99" s="13"/>
      <c r="AL99" s="13"/>
      <c r="AM99" s="13"/>
      <c r="AN99" s="13"/>
      <c r="AO99" s="13"/>
      <c r="AP99" s="13"/>
      <c r="AQ99" s="13"/>
      <c r="AR99" s="13"/>
      <c r="AS99" s="13"/>
      <c r="AT99" s="14"/>
    </row>
    <row r="100" ht="12.75" customHeight="1">
      <c r="A100" s="28"/>
      <c r="B100" s="1057"/>
      <c r="C100" s="1058"/>
      <c r="D100" s="1059"/>
      <c r="E100" s="39"/>
      <c r="F100" s="39"/>
      <c r="G100" s="39"/>
      <c r="H100" s="39"/>
      <c r="I100" s="39"/>
      <c r="J100" s="13"/>
      <c r="K100" s="13"/>
      <c r="L100" s="1039"/>
      <c r="M100" s="142"/>
      <c r="N100" s="142"/>
      <c r="O100" s="1060"/>
      <c r="P100" s="1061"/>
      <c r="Q100" s="1060"/>
      <c r="R100" s="1060"/>
      <c r="S100" s="1060"/>
      <c r="T100" s="1060"/>
      <c r="U100" s="1060"/>
      <c r="V100" s="1060"/>
      <c r="W100" s="1060"/>
      <c r="X100" s="1060"/>
      <c r="Y100" s="1062"/>
      <c r="Z100" s="13"/>
      <c r="AA100" s="13"/>
      <c r="AB100" s="13"/>
      <c r="AC100" s="13"/>
      <c r="AD100" s="13"/>
      <c r="AE100" s="13"/>
      <c r="AF100" s="13"/>
      <c r="AG100" s="13"/>
      <c r="AH100" s="13"/>
      <c r="AI100" s="13"/>
      <c r="AJ100" s="13"/>
      <c r="AK100" s="13"/>
      <c r="AL100" s="13"/>
      <c r="AM100" s="13"/>
      <c r="AN100" s="13"/>
      <c r="AO100" s="13"/>
      <c r="AP100" s="13"/>
      <c r="AQ100" s="13"/>
      <c r="AR100" s="13"/>
      <c r="AS100" s="13"/>
      <c r="AT100" s="14"/>
    </row>
    <row r="101" ht="12.75" customHeight="1">
      <c r="A101" s="28"/>
      <c r="B101" t="s" s="1091">
        <f>B$46</f>
        <v>883</v>
      </c>
      <c r="C101" s="1092"/>
      <c r="D101" s="1093"/>
      <c r="E101" s="1094"/>
      <c r="F101" t="s" s="1066">
        <f>F$46</f>
        <v>884</v>
      </c>
      <c r="G101" s="1095"/>
      <c r="H101" t="s" s="1066">
        <f>H$46</f>
        <v>885</v>
      </c>
      <c r="I101" s="1095"/>
      <c r="J101" s="1068"/>
      <c r="K101" s="13"/>
      <c r="L101" s="1039"/>
      <c r="M101" s="142"/>
      <c r="N101" s="142"/>
      <c r="O101" s="1060"/>
      <c r="P101" s="1061"/>
      <c r="Q101" s="1060"/>
      <c r="R101" s="1060"/>
      <c r="S101" s="1060"/>
      <c r="T101" s="1060"/>
      <c r="U101" s="1060"/>
      <c r="V101" s="1060"/>
      <c r="W101" s="1060"/>
      <c r="X101" s="1060"/>
      <c r="Y101" s="1062"/>
      <c r="Z101" s="13"/>
      <c r="AA101" s="13"/>
      <c r="AB101" s="13"/>
      <c r="AC101" s="13"/>
      <c r="AD101" s="13"/>
      <c r="AE101" s="13"/>
      <c r="AF101" s="13"/>
      <c r="AG101" s="13"/>
      <c r="AH101" s="13"/>
      <c r="AI101" s="13"/>
      <c r="AJ101" s="13"/>
      <c r="AK101" s="13"/>
      <c r="AL101" s="13"/>
      <c r="AM101" s="13"/>
      <c r="AN101" s="13"/>
      <c r="AO101" s="13"/>
      <c r="AP101" s="13"/>
      <c r="AQ101" s="13"/>
      <c r="AR101" s="13"/>
      <c r="AS101" s="13"/>
      <c r="AT101" s="14"/>
    </row>
    <row r="102" ht="12.75" customHeight="1">
      <c r="A102" s="28"/>
      <c r="B102" s="68"/>
      <c r="C102" s="1096"/>
      <c r="D102" s="1096"/>
      <c r="E102" s="1097"/>
      <c r="F102" t="s" s="1069">
        <f>F$47</f>
        <v>848</v>
      </c>
      <c r="G102" s="1098"/>
      <c r="H102" t="s" s="1069">
        <f>H$47</f>
        <v>848</v>
      </c>
      <c r="I102" s="1098"/>
      <c r="J102" s="1068"/>
      <c r="K102" s="13"/>
      <c r="L102" s="1039"/>
      <c r="M102" s="142"/>
      <c r="N102" s="142"/>
      <c r="O102" s="1060"/>
      <c r="P102" s="1061"/>
      <c r="Q102" s="1060"/>
      <c r="R102" s="1060"/>
      <c r="S102" s="1060"/>
      <c r="T102" s="1060"/>
      <c r="U102" s="1060"/>
      <c r="V102" s="1060"/>
      <c r="W102" s="1060"/>
      <c r="X102" s="1060"/>
      <c r="Y102" s="1099"/>
      <c r="Z102" s="13"/>
      <c r="AA102" s="13"/>
      <c r="AB102" s="13"/>
      <c r="AC102" s="13"/>
      <c r="AD102" s="13"/>
      <c r="AE102" s="13"/>
      <c r="AF102" s="13"/>
      <c r="AG102" s="13"/>
      <c r="AH102" s="13"/>
      <c r="AI102" s="13"/>
      <c r="AJ102" s="13"/>
      <c r="AK102" s="13"/>
      <c r="AL102" s="13"/>
      <c r="AM102" s="13"/>
      <c r="AN102" s="13"/>
      <c r="AO102" s="13"/>
      <c r="AP102" s="13"/>
      <c r="AQ102" s="13"/>
      <c r="AR102" s="13"/>
      <c r="AS102" s="13"/>
      <c r="AT102" s="14"/>
    </row>
    <row r="103" ht="27" customHeight="1">
      <c r="A103" s="28"/>
      <c r="B103" t="s" s="1100">
        <f>B48</f>
        <v>614</v>
      </c>
      <c r="C103" s="849"/>
      <c r="D103" s="849"/>
      <c r="E103" s="849"/>
      <c r="F103" s="1072">
        <f>'Kiszerelés 1-4'!F42</f>
        <v>0</v>
      </c>
      <c r="G103" s="1101"/>
      <c r="H103" s="286">
        <f>'Kiszerelés 1-4'!F43</f>
      </c>
      <c r="I103" s="1101"/>
      <c r="J103" s="72"/>
      <c r="K103" s="13"/>
      <c r="L103" s="1039"/>
      <c r="M103" s="142"/>
      <c r="N103" s="142"/>
      <c r="O103" t="b" s="377">
        <f>O48</f>
        <v>0</v>
      </c>
      <c r="P103" t="b" s="297">
        <f>P48</f>
        <v>0</v>
      </c>
      <c r="Q103" t="b" s="298">
        <f>Q48</f>
        <v>0</v>
      </c>
      <c r="R103" t="b" s="377">
        <f>R48</f>
        <v>0</v>
      </c>
      <c r="S103" t="b" s="377">
        <f>S48</f>
        <v>0</v>
      </c>
      <c r="T103" t="b" s="377">
        <f>T48</f>
        <v>0</v>
      </c>
      <c r="U103" t="b" s="377">
        <f>U48</f>
        <v>0</v>
      </c>
      <c r="V103" t="b" s="377">
        <f>V48</f>
        <v>1</v>
      </c>
      <c r="W103" t="b" s="377">
        <f>W48</f>
        <v>0</v>
      </c>
      <c r="X103" t="b" s="385">
        <f>X48</f>
        <v>0</v>
      </c>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4"/>
    </row>
    <row r="104" ht="12.75" customHeight="1">
      <c r="A104" s="28"/>
      <c r="B104" s="1073"/>
      <c r="C104" s="93"/>
      <c r="D104" s="882"/>
      <c r="E104" s="69"/>
      <c r="F104" s="69"/>
      <c r="G104" s="69"/>
      <c r="H104" s="69"/>
      <c r="I104" s="69"/>
      <c r="J104" s="13"/>
      <c r="K104" s="13"/>
      <c r="L104" s="1039"/>
      <c r="M104" s="142"/>
      <c r="N104" s="142"/>
      <c r="O104" t="s" s="1074">
        <f>O49</f>
        <v>878</v>
      </c>
      <c r="P104" t="s" s="1075">
        <f>P49</f>
        <v>879</v>
      </c>
      <c r="Q104" t="s" s="1102">
        <f>Q49</f>
        <v>880</v>
      </c>
      <c r="R104" t="s" s="1103">
        <f>R49</f>
        <v>849</v>
      </c>
      <c r="S104" t="s" s="1103">
        <f>S49</f>
        <v>850</v>
      </c>
      <c r="T104" t="s" s="1103">
        <f>T49</f>
        <v>851</v>
      </c>
      <c r="U104" t="s" s="1103">
        <f>U49</f>
        <v>881</v>
      </c>
      <c r="V104" t="s" s="1103">
        <f>V49</f>
        <v>882</v>
      </c>
      <c r="W104" t="s" s="1103">
        <f>W49</f>
        <v>852</v>
      </c>
      <c r="X104" t="s" s="1104">
        <f>X49</f>
        <v>853</v>
      </c>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4"/>
    </row>
    <row r="105" ht="24.95" customHeight="1">
      <c r="A105" s="28"/>
      <c r="B105" t="s" s="897">
        <f>IF(AND($L$94=TRUE,L105=FALSE),IF('Adatlap'!$L$1="Magyar","Jelölje be!","Please, check!"),"")</f>
      </c>
      <c r="C105" t="s" s="710">
        <f>C$50</f>
        <v>886</v>
      </c>
      <c r="D105" s="13"/>
      <c r="E105" s="13"/>
      <c r="F105" s="13"/>
      <c r="G105" s="13"/>
      <c r="H105" s="13"/>
      <c r="I105" s="13"/>
      <c r="J105" s="96"/>
      <c r="K105" s="13"/>
      <c r="L105" t="b" s="1042">
        <v>0</v>
      </c>
      <c r="M105" s="142"/>
      <c r="N105" s="142"/>
      <c r="O105" s="142"/>
      <c r="P105" s="236"/>
      <c r="Q105" s="238"/>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4"/>
    </row>
    <row r="106" ht="26.1" customHeight="1">
      <c r="A106" t="s" s="853">
        <f>A$51</f>
        <v>629</v>
      </c>
      <c r="B106" t="s" s="1077">
        <f>B$51</f>
        <v>887</v>
      </c>
      <c r="C106" s="185"/>
      <c r="D106" s="185"/>
      <c r="E106" s="185"/>
      <c r="F106" s="185"/>
      <c r="G106" s="185"/>
      <c r="H106" s="185"/>
      <c r="I106" s="185"/>
      <c r="J106" s="13"/>
      <c r="K106" s="13"/>
      <c r="L106" s="1039"/>
      <c r="M106" s="142"/>
      <c r="N106" s="142"/>
      <c r="O106" s="142"/>
      <c r="P106" s="236"/>
      <c r="Q106" s="238"/>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4"/>
    </row>
    <row r="107" ht="12.75" customHeight="1">
      <c r="A107" s="28"/>
      <c r="B107" s="937"/>
      <c r="C107" s="494"/>
      <c r="D107" s="153"/>
      <c r="E107" s="13"/>
      <c r="F107" s="13"/>
      <c r="G107" s="13"/>
      <c r="H107" s="13"/>
      <c r="I107" s="13"/>
      <c r="J107" s="13"/>
      <c r="K107" s="13"/>
      <c r="L107" s="1039"/>
      <c r="M107" s="142"/>
      <c r="N107" s="142"/>
      <c r="O107" s="142"/>
      <c r="P107" s="236"/>
      <c r="Q107" s="238"/>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4"/>
    </row>
    <row r="108" ht="13.65" customHeight="1">
      <c r="A108" t="s" s="1078">
        <f>IF(AND($L$84=TRUE,L108=FALSE),IF('Adatlap'!$L$1="Magyar","Jelölje be!","Please, check!"),"")</f>
      </c>
      <c r="B108" t="s" s="900">
        <f>B$53</f>
        <v>888</v>
      </c>
      <c r="C108" s="13"/>
      <c r="D108" s="13"/>
      <c r="E108" s="13"/>
      <c r="F108" s="13"/>
      <c r="G108" s="13"/>
      <c r="H108" s="13"/>
      <c r="I108" s="13"/>
      <c r="J108" s="153"/>
      <c r="K108" s="13"/>
      <c r="L108" t="b" s="1042">
        <v>0</v>
      </c>
      <c r="M108" s="142"/>
      <c r="N108" s="142"/>
      <c r="O108" s="142"/>
      <c r="P108" s="236"/>
      <c r="Q108" s="238"/>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4"/>
    </row>
    <row r="109" ht="12.75" customHeight="1">
      <c r="A109" s="13"/>
      <c r="B109" s="39"/>
      <c r="C109" s="39"/>
      <c r="D109" s="39"/>
      <c r="E109" s="39"/>
      <c r="F109" s="39"/>
      <c r="G109" s="39"/>
      <c r="H109" s="39"/>
      <c r="I109" s="39"/>
      <c r="J109" s="13"/>
      <c r="K109" s="13"/>
      <c r="L109" s="1039"/>
      <c r="M109" s="142"/>
      <c r="N109" s="142"/>
      <c r="O109" s="142"/>
      <c r="P109" s="236"/>
      <c r="Q109" s="238"/>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4"/>
    </row>
    <row r="110" ht="24.95" customHeight="1">
      <c r="A110" s="1065"/>
      <c r="B110" t="s" s="1080">
        <f>B$55</f>
        <v>857</v>
      </c>
      <c r="C110" s="1095"/>
      <c r="D110" t="s" s="1080">
        <f>IF('Kiszerelés 1-4'!D47="","",'Kiszerelés 1-4'!D47:F47)</f>
      </c>
      <c r="E110" s="890"/>
      <c r="F110" s="68"/>
      <c r="G110" s="68"/>
      <c r="H110" s="68"/>
      <c r="I110" s="730"/>
      <c r="J110" s="72"/>
      <c r="K110" s="13"/>
      <c r="L110" s="1039"/>
      <c r="M110" s="142"/>
      <c r="N110" s="142"/>
      <c r="O110" s="142"/>
      <c r="P110" s="236"/>
      <c r="Q110" s="238"/>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4"/>
    </row>
    <row r="111" ht="24.95" customHeight="1">
      <c r="A111" s="1065"/>
      <c r="B111" t="s" s="1080">
        <f>B$56</f>
        <v>858</v>
      </c>
      <c r="C111" s="1098"/>
      <c r="D111" s="1105">
        <f>'Kiszerelés 1-4'!D48:F48</f>
        <v>0</v>
      </c>
      <c r="E111" s="1081"/>
      <c r="F111" s="1081"/>
      <c r="G111" s="1081"/>
      <c r="H111" s="1081"/>
      <c r="I111" s="1081"/>
      <c r="J111" s="72"/>
      <c r="K111" s="13"/>
      <c r="L111" s="1039"/>
      <c r="M111" s="142"/>
      <c r="N111" s="142"/>
      <c r="O111" s="142"/>
      <c r="P111" s="236"/>
      <c r="Q111" s="238"/>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4"/>
    </row>
    <row r="112" ht="24.95" customHeight="1">
      <c r="A112" s="1065"/>
      <c r="B112" t="s" s="1080">
        <f>B$57</f>
        <v>859</v>
      </c>
      <c r="C112" s="1098"/>
      <c r="D112" s="1105">
        <f>'Kiszerelés 1-4'!D49:F49</f>
        <v>0</v>
      </c>
      <c r="E112" s="1081"/>
      <c r="F112" s="1081"/>
      <c r="G112" s="1081"/>
      <c r="H112" s="1081"/>
      <c r="I112" s="1081"/>
      <c r="J112" s="72"/>
      <c r="K112" s="13"/>
      <c r="L112" s="1039"/>
      <c r="M112" s="142"/>
      <c r="N112" s="142"/>
      <c r="O112" s="142"/>
      <c r="P112" s="236"/>
      <c r="Q112" s="238"/>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4"/>
    </row>
    <row r="113" ht="24.95" customHeight="1">
      <c r="A113" s="1065"/>
      <c r="B113" t="s" s="1080">
        <f>B$58</f>
        <v>860</v>
      </c>
      <c r="C113" s="1098"/>
      <c r="D113" s="1105">
        <f>'Kiszerelés 1-4'!D50:F50</f>
        <v>0</v>
      </c>
      <c r="E113" s="1081"/>
      <c r="F113" s="1081"/>
      <c r="G113" s="1081"/>
      <c r="H113" s="1081"/>
      <c r="I113" s="1081"/>
      <c r="J113" s="72"/>
      <c r="K113" s="13"/>
      <c r="L113" s="1039"/>
      <c r="M113" s="142"/>
      <c r="N113" s="142"/>
      <c r="O113" s="142"/>
      <c r="P113" s="236"/>
      <c r="Q113" s="238"/>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4"/>
    </row>
    <row r="114" ht="24.95" customHeight="1">
      <c r="A114" s="1065"/>
      <c r="B114" t="s" s="1080">
        <f>B$59</f>
        <v>889</v>
      </c>
      <c r="C114" s="1101"/>
      <c r="D114" s="1082"/>
      <c r="E114" s="1082"/>
      <c r="F114" s="1082"/>
      <c r="G114" s="1082"/>
      <c r="H114" s="1082"/>
      <c r="I114" s="1082"/>
      <c r="J114" s="72"/>
      <c r="K114" s="13"/>
      <c r="L114" s="1039"/>
      <c r="M114" s="142"/>
      <c r="N114" s="142"/>
      <c r="O114" s="142"/>
      <c r="P114" s="236"/>
      <c r="Q114" s="238"/>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4"/>
    </row>
    <row r="115" ht="12.75" customHeight="1">
      <c r="A115" s="28"/>
      <c r="B115" s="69"/>
      <c r="C115" s="69"/>
      <c r="D115" s="69"/>
      <c r="E115" s="69"/>
      <c r="F115" s="69"/>
      <c r="G115" s="69"/>
      <c r="H115" s="69"/>
      <c r="I115" s="69"/>
      <c r="J115" s="13"/>
      <c r="K115" s="13"/>
      <c r="L115" s="1039"/>
      <c r="M115" s="142"/>
      <c r="N115" s="142"/>
      <c r="O115" s="142"/>
      <c r="P115" s="236"/>
      <c r="Q115" s="238"/>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4"/>
    </row>
    <row r="116" ht="24.95" customHeight="1">
      <c r="A116" s="28"/>
      <c r="B116" t="s" s="897">
        <f>IF(AND(L116=FALSE,L108=TRUE),IF('Adatlap'!$L$1="Magyar","Jelölje be!","Please, check!"),"")</f>
      </c>
      <c r="C116" t="s" s="710">
        <f>C$61</f>
        <v>890</v>
      </c>
      <c r="D116" s="96"/>
      <c r="E116" s="96"/>
      <c r="F116" s="96"/>
      <c r="G116" s="96"/>
      <c r="H116" s="96"/>
      <c r="I116" s="96"/>
      <c r="J116" s="96"/>
      <c r="K116" s="13"/>
      <c r="L116" t="b" s="1042">
        <v>0</v>
      </c>
      <c r="M116" s="142"/>
      <c r="N116" s="142"/>
      <c r="O116" s="142"/>
      <c r="P116" s="236"/>
      <c r="Q116" s="238"/>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4"/>
    </row>
    <row r="117" ht="12.75" customHeight="1">
      <c r="A117" s="28"/>
      <c r="B117" s="13"/>
      <c r="C117" s="13"/>
      <c r="D117" s="13"/>
      <c r="E117" s="13"/>
      <c r="F117" s="13"/>
      <c r="G117" s="13"/>
      <c r="H117" s="13"/>
      <c r="I117" s="13"/>
      <c r="J117" s="13"/>
      <c r="K117" s="13"/>
      <c r="L117" s="1039"/>
      <c r="M117" s="142"/>
      <c r="N117" s="142"/>
      <c r="O117" s="142"/>
      <c r="P117" s="236"/>
      <c r="Q117" s="238"/>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4"/>
    </row>
    <row r="118" ht="13.65" customHeight="1">
      <c r="A118" t="s" s="1045">
        <f>'Kiszerelés 1-4'!J10</f>
        <v>891</v>
      </c>
      <c r="B118" s="1046"/>
      <c r="C118" t="s" s="1047">
        <f>IF('Kiszerelés 1-4'!J11="","",'Kiszerelés 1-4'!J11)</f>
      </c>
      <c r="D118" s="1048"/>
      <c r="E118" s="1048"/>
      <c r="F118" s="1048"/>
      <c r="G118" s="1048"/>
      <c r="H118" s="1048"/>
      <c r="I118" s="1048"/>
      <c r="J118" s="1048"/>
      <c r="K118" s="13"/>
      <c r="L118" s="1039"/>
      <c r="M118" s="142"/>
      <c r="N118" s="142"/>
      <c r="O118" s="142"/>
      <c r="P118" s="236"/>
      <c r="Q118" s="238"/>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4"/>
    </row>
    <row r="119" ht="12.75" customHeight="1">
      <c r="A119" s="28"/>
      <c r="B119" s="13"/>
      <c r="C119" s="13"/>
      <c r="D119" s="13"/>
      <c r="E119" s="13"/>
      <c r="F119" s="13"/>
      <c r="G119" s="13"/>
      <c r="H119" s="13"/>
      <c r="I119" s="13"/>
      <c r="J119" s="13"/>
      <c r="K119" s="13"/>
      <c r="L119" s="1039"/>
      <c r="M119" s="142"/>
      <c r="N119" s="142"/>
      <c r="O119" s="142"/>
      <c r="P119" s="236"/>
      <c r="Q119" s="238"/>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4"/>
    </row>
    <row r="120" ht="9" customHeight="1" hidden="1">
      <c r="A120" t="s" s="853">
        <f>A10</f>
        <v>559</v>
      </c>
      <c r="B120" t="s" s="854">
        <f>B10</f>
        <v>864</v>
      </c>
      <c r="C120" s="855"/>
      <c r="D120" s="855"/>
      <c r="E120" s="855"/>
      <c r="F120" s="855"/>
      <c r="G120" s="855"/>
      <c r="H120" s="855"/>
      <c r="I120" s="855"/>
      <c r="J120" s="855"/>
      <c r="K120" s="13"/>
      <c r="L120" s="1039"/>
      <c r="M120" s="142"/>
      <c r="N120" s="142"/>
      <c r="O120" s="142"/>
      <c r="P120" s="237"/>
      <c r="Q120" s="238"/>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4"/>
    </row>
    <row r="121" ht="12.75" customHeight="1" hidden="1">
      <c r="A121" s="28"/>
      <c r="B121" s="13"/>
      <c r="C121" s="13"/>
      <c r="D121" s="13"/>
      <c r="E121" s="13"/>
      <c r="F121" s="13"/>
      <c r="G121" s="13"/>
      <c r="H121" s="13"/>
      <c r="I121" s="13"/>
      <c r="J121" s="13"/>
      <c r="K121" s="13"/>
      <c r="L121" s="1039"/>
      <c r="M121" s="142"/>
      <c r="N121" s="142"/>
      <c r="O121" s="142"/>
      <c r="P121" s="237"/>
      <c r="Q121" s="238"/>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4"/>
    </row>
    <row r="122" ht="24.95" customHeight="1" hidden="1">
      <c r="A122" t="s" s="777">
        <f>IF(AND(L122=FALSE,L129=FALSE),IF('Adatlap'!$L$1="Magyar","Jelölje be!","Please, check!"),"")</f>
        <v>399</v>
      </c>
      <c r="B122" t="s" s="710">
        <f>B12</f>
        <v>865</v>
      </c>
      <c r="C122" s="96"/>
      <c r="D122" s="96"/>
      <c r="E122" s="96"/>
      <c r="F122" s="96"/>
      <c r="G122" s="96"/>
      <c r="H122" s="96"/>
      <c r="I122" s="96"/>
      <c r="J122" s="96"/>
      <c r="K122" s="13"/>
      <c r="L122" t="b" s="1042">
        <v>0</v>
      </c>
      <c r="M122" s="142"/>
      <c r="N122" s="142"/>
      <c r="O122" s="142"/>
      <c r="P122" s="237"/>
      <c r="Q122" s="238"/>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4"/>
    </row>
    <row r="123" ht="24.95" customHeight="1" hidden="1">
      <c r="A123" s="28"/>
      <c r="B123" t="s" s="897">
        <f>IF(AND($L$122=TRUE,L123=FALSE),IF('Adatlap'!$L$1="Magyar","Jelölje be!","Please, check!"),"")</f>
      </c>
      <c r="C123" t="s" s="900">
        <f>C68</f>
        <v>866</v>
      </c>
      <c r="D123" s="13"/>
      <c r="E123" s="13"/>
      <c r="F123" s="13"/>
      <c r="G123" s="13"/>
      <c r="H123" s="13"/>
      <c r="I123" s="13"/>
      <c r="J123" s="153"/>
      <c r="K123" s="13"/>
      <c r="L123" t="b" s="1042">
        <v>0</v>
      </c>
      <c r="M123" s="142"/>
      <c r="N123" s="142"/>
      <c r="O123" s="142"/>
      <c r="P123" s="237"/>
      <c r="Q123" s="238"/>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4"/>
    </row>
    <row r="124" ht="8.1" customHeight="1" hidden="1">
      <c r="A124" s="28"/>
      <c r="B124" s="13"/>
      <c r="C124" s="13"/>
      <c r="D124" s="13"/>
      <c r="E124" s="13"/>
      <c r="F124" s="13"/>
      <c r="G124" s="13"/>
      <c r="H124" s="13"/>
      <c r="I124" s="13"/>
      <c r="J124" s="13"/>
      <c r="K124" s="13"/>
      <c r="L124" s="1039"/>
      <c r="M124" s="142"/>
      <c r="N124" s="142"/>
      <c r="O124" s="142"/>
      <c r="P124" s="237"/>
      <c r="Q124" s="238"/>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4"/>
    </row>
    <row r="125" ht="24.95" customHeight="1" hidden="1">
      <c r="A125" s="28"/>
      <c r="B125" t="s" s="897">
        <f>IF(AND($L$122=TRUE,L125=FALSE),IF('Adatlap'!$L$1="Magyar","Jelölje be!","Please, check!"),"")</f>
      </c>
      <c r="C125" t="s" s="900">
        <f>C70</f>
        <v>867</v>
      </c>
      <c r="D125" s="13"/>
      <c r="E125" s="13"/>
      <c r="F125" s="13"/>
      <c r="G125" s="13"/>
      <c r="H125" s="13"/>
      <c r="I125" s="13"/>
      <c r="J125" s="153"/>
      <c r="K125" s="13"/>
      <c r="L125" t="b" s="1042">
        <v>0</v>
      </c>
      <c r="M125" s="142"/>
      <c r="N125" s="142"/>
      <c r="O125" s="142"/>
      <c r="P125" s="237"/>
      <c r="Q125" s="238"/>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4"/>
    </row>
    <row r="126" ht="8.1" customHeight="1" hidden="1">
      <c r="A126" s="28"/>
      <c r="B126" s="13"/>
      <c r="C126" s="13"/>
      <c r="D126" s="13"/>
      <c r="E126" s="13"/>
      <c r="F126" s="13"/>
      <c r="G126" s="13"/>
      <c r="H126" s="13"/>
      <c r="I126" s="13"/>
      <c r="J126" s="13"/>
      <c r="K126" s="13"/>
      <c r="L126" s="1039"/>
      <c r="M126" s="142"/>
      <c r="N126" s="142"/>
      <c r="O126" s="142"/>
      <c r="P126" s="237"/>
      <c r="Q126" s="238"/>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4"/>
    </row>
    <row r="127" ht="24.95" customHeight="1" hidden="1">
      <c r="A127" s="28"/>
      <c r="B127" t="s" s="897">
        <f>IF(AND($L$122=TRUE,L127=FALSE),IF('Adatlap'!$L$1="Magyar","Jelölje be!","Please, check!"),"")</f>
      </c>
      <c r="C127" t="s" s="900">
        <f>C72</f>
        <v>868</v>
      </c>
      <c r="D127" s="13"/>
      <c r="E127" s="13"/>
      <c r="F127" s="13"/>
      <c r="G127" s="13"/>
      <c r="H127" s="13"/>
      <c r="I127" s="13"/>
      <c r="J127" s="153"/>
      <c r="K127" s="13"/>
      <c r="L127" t="b" s="1042">
        <v>0</v>
      </c>
      <c r="M127" s="142"/>
      <c r="N127" s="142"/>
      <c r="O127" s="142"/>
      <c r="P127" s="237"/>
      <c r="Q127" s="238"/>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4"/>
    </row>
    <row r="128" ht="12.75" customHeight="1" hidden="1">
      <c r="A128" s="28"/>
      <c r="B128" s="13"/>
      <c r="C128" s="13"/>
      <c r="D128" s="13"/>
      <c r="E128" s="13"/>
      <c r="F128" s="13"/>
      <c r="G128" s="13"/>
      <c r="H128" s="13"/>
      <c r="I128" s="13"/>
      <c r="J128" s="13"/>
      <c r="K128" s="13"/>
      <c r="L128" s="1039"/>
      <c r="M128" s="142"/>
      <c r="N128" s="142"/>
      <c r="O128" s="142"/>
      <c r="P128" s="237"/>
      <c r="Q128" s="238"/>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4"/>
    </row>
    <row r="129" ht="24.95" customHeight="1" hidden="1">
      <c r="A129" t="s" s="777">
        <f>IF(AND(L122=FALSE,L129=FALSE),IF('Adatlap'!$L$1="Magyar","Jelölje be!","Please, check!"),"")</f>
        <v>399</v>
      </c>
      <c r="B129" t="s" s="710">
        <f>B19</f>
        <v>869</v>
      </c>
      <c r="C129" s="96"/>
      <c r="D129" s="96"/>
      <c r="E129" s="96"/>
      <c r="F129" s="96"/>
      <c r="G129" s="96"/>
      <c r="H129" s="96"/>
      <c r="I129" s="96"/>
      <c r="J129" s="96"/>
      <c r="K129" s="13"/>
      <c r="L129" t="b" s="1042">
        <v>0</v>
      </c>
      <c r="M129" s="142"/>
      <c r="N129" s="142"/>
      <c r="O129" s="142"/>
      <c r="P129" s="237"/>
      <c r="Q129" s="238"/>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4"/>
    </row>
    <row r="130" ht="12.75" customHeight="1" hidden="1">
      <c r="A130" s="28"/>
      <c r="B130" s="13"/>
      <c r="C130" s="13"/>
      <c r="D130" s="13"/>
      <c r="E130" s="13"/>
      <c r="F130" s="13"/>
      <c r="G130" s="13"/>
      <c r="H130" s="13"/>
      <c r="I130" s="13"/>
      <c r="J130" s="13"/>
      <c r="K130" s="13"/>
      <c r="L130" s="1039"/>
      <c r="M130" s="142"/>
      <c r="N130" s="142"/>
      <c r="O130" s="142"/>
      <c r="P130" s="237"/>
      <c r="Q130" s="238"/>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4"/>
    </row>
    <row r="131" ht="9" customHeight="1" hidden="1">
      <c r="A131" t="s" s="853">
        <v>823</v>
      </c>
      <c r="B131" t="s" s="854">
        <f>B21</f>
        <v>871</v>
      </c>
      <c r="C131" s="855"/>
      <c r="D131" s="855"/>
      <c r="E131" s="855"/>
      <c r="F131" s="855"/>
      <c r="G131" s="855"/>
      <c r="H131" s="855"/>
      <c r="I131" s="855"/>
      <c r="J131" s="855"/>
      <c r="K131" s="13"/>
      <c r="L131" s="1039"/>
      <c r="M131" s="142"/>
      <c r="N131" s="142"/>
      <c r="O131" s="457"/>
      <c r="P131" s="237"/>
      <c r="Q131" s="238"/>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4"/>
    </row>
    <row r="132" ht="12.75" customHeight="1" hidden="1">
      <c r="A132" s="28"/>
      <c r="B132" s="13"/>
      <c r="C132" s="13"/>
      <c r="D132" s="13"/>
      <c r="E132" s="13"/>
      <c r="F132" s="13"/>
      <c r="G132" s="13"/>
      <c r="H132" s="13"/>
      <c r="I132" s="13"/>
      <c r="J132" s="13"/>
      <c r="K132" s="13"/>
      <c r="L132" s="1039"/>
      <c r="M132" s="142"/>
      <c r="N132" s="142"/>
      <c r="O132" s="142"/>
      <c r="P132" s="237"/>
      <c r="Q132" s="238"/>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4"/>
    </row>
    <row r="133" ht="24.95" customHeight="1" hidden="1">
      <c r="A133" t="s" s="777">
        <f>IF(AND(L133=FALSE,L139=FALSE),IF('Adatlap'!$L$1="Magyar","Jelölje be!","Please, check!"),"")</f>
        <v>399</v>
      </c>
      <c r="B133" t="s" s="710">
        <f>B23</f>
        <v>872</v>
      </c>
      <c r="C133" s="96"/>
      <c r="D133" s="96"/>
      <c r="E133" s="96"/>
      <c r="F133" s="96"/>
      <c r="G133" s="96"/>
      <c r="H133" s="96"/>
      <c r="I133" s="96"/>
      <c r="J133" s="96"/>
      <c r="K133" s="13"/>
      <c r="L133" t="b" s="1042">
        <v>0</v>
      </c>
      <c r="M133" s="142"/>
      <c r="N133" s="142"/>
      <c r="O133" s="142"/>
      <c r="P133" s="237"/>
      <c r="Q133" s="238"/>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4"/>
    </row>
    <row r="134" ht="12.75" customHeight="1" hidden="1">
      <c r="A134" s="28"/>
      <c r="B134" s="13"/>
      <c r="C134" s="1021"/>
      <c r="D134" s="1021"/>
      <c r="E134" s="1021"/>
      <c r="F134" s="1021"/>
      <c r="G134" s="1021"/>
      <c r="H134" s="1021"/>
      <c r="I134" s="1021"/>
      <c r="J134" s="1021"/>
      <c r="K134" s="13"/>
      <c r="L134" s="1039"/>
      <c r="M134" s="142"/>
      <c r="N134" s="142"/>
      <c r="O134" s="142"/>
      <c r="P134" s="237"/>
      <c r="Q134" s="238"/>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4"/>
    </row>
    <row r="135" ht="24.95" customHeight="1" hidden="1">
      <c r="A135" s="28"/>
      <c r="B135" t="s" s="897">
        <f>IF(AND($L$133=TRUE,L135=FALSE),IF('Adatlap'!$L$1="Magyar","Jelölje be!","Please, check!"),"")</f>
      </c>
      <c r="C135" t="s" s="900">
        <f>C80</f>
        <v>873</v>
      </c>
      <c r="D135" s="13"/>
      <c r="E135" s="13"/>
      <c r="F135" s="13"/>
      <c r="G135" s="13"/>
      <c r="H135" s="13"/>
      <c r="I135" s="13"/>
      <c r="J135" s="153"/>
      <c r="K135" s="13"/>
      <c r="L135" t="b" s="1042">
        <v>0</v>
      </c>
      <c r="M135" s="142"/>
      <c r="N135" s="142"/>
      <c r="O135" s="142"/>
      <c r="P135" s="237"/>
      <c r="Q135" s="238"/>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4"/>
    </row>
    <row r="136" ht="8.1" customHeight="1" hidden="1">
      <c r="A136" s="28"/>
      <c r="B136" s="13"/>
      <c r="C136" s="13"/>
      <c r="D136" s="13"/>
      <c r="E136" s="13"/>
      <c r="F136" s="13"/>
      <c r="G136" s="13"/>
      <c r="H136" s="13"/>
      <c r="I136" s="13"/>
      <c r="J136" s="13"/>
      <c r="K136" s="13"/>
      <c r="L136" s="1039"/>
      <c r="M136" s="142"/>
      <c r="N136" s="142"/>
      <c r="O136" s="142"/>
      <c r="P136" s="237"/>
      <c r="Q136" s="238"/>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4"/>
    </row>
    <row r="137" ht="24.95" customHeight="1" hidden="1">
      <c r="A137" s="28"/>
      <c r="B137" t="s" s="897">
        <f>IF(AND(L133=TRUE,L137=FALSE),IF('Adatlap'!$L$1="Magyar","Jelölje be!","Please, check!"),"")</f>
      </c>
      <c r="C137" t="s" s="710">
        <f>C82</f>
        <v>874</v>
      </c>
      <c r="D137" s="13"/>
      <c r="E137" s="13"/>
      <c r="F137" s="13"/>
      <c r="G137" s="13"/>
      <c r="H137" s="13"/>
      <c r="I137" s="13"/>
      <c r="J137" s="96"/>
      <c r="K137" s="13"/>
      <c r="L137" t="b" s="1042">
        <v>0</v>
      </c>
      <c r="M137" s="142"/>
      <c r="N137" s="142"/>
      <c r="O137" s="142"/>
      <c r="P137" s="237"/>
      <c r="Q137" s="238"/>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4"/>
    </row>
    <row r="138" ht="8.1" customHeight="1" hidden="1">
      <c r="A138" s="28"/>
      <c r="B138" s="13"/>
      <c r="C138" s="13"/>
      <c r="D138" s="13"/>
      <c r="E138" s="13"/>
      <c r="F138" s="13"/>
      <c r="G138" s="13"/>
      <c r="H138" s="13"/>
      <c r="I138" s="13"/>
      <c r="J138" s="13"/>
      <c r="K138" s="13"/>
      <c r="L138" s="1039"/>
      <c r="M138" s="142"/>
      <c r="N138" s="142"/>
      <c r="O138" s="142"/>
      <c r="P138" s="237"/>
      <c r="Q138" s="238"/>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4"/>
    </row>
    <row r="139" ht="24.95" customHeight="1">
      <c r="A139" t="s" s="777">
        <f>IF(AND(L133=FALSE,L139=FALSE),IF('Adatlap'!$L$1="Magyar","Jelölje be!","Please, check!"),"")</f>
        <v>399</v>
      </c>
      <c r="B139" t="s" s="710">
        <f>B29</f>
        <v>875</v>
      </c>
      <c r="C139" s="96"/>
      <c r="D139" s="96"/>
      <c r="E139" s="96"/>
      <c r="F139" s="96"/>
      <c r="G139" s="96"/>
      <c r="H139" s="96"/>
      <c r="I139" s="96"/>
      <c r="J139" s="96"/>
      <c r="K139" s="13"/>
      <c r="L139" t="b" s="1042">
        <v>0</v>
      </c>
      <c r="M139" s="142"/>
      <c r="N139" s="142"/>
      <c r="O139" s="142"/>
      <c r="P139" s="236"/>
      <c r="Q139" s="238"/>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4"/>
    </row>
    <row r="140" ht="12.75" customHeight="1">
      <c r="A140" s="28"/>
      <c r="B140" s="96"/>
      <c r="C140" s="96"/>
      <c r="D140" s="96"/>
      <c r="E140" s="96"/>
      <c r="F140" s="96"/>
      <c r="G140" s="96"/>
      <c r="H140" s="96"/>
      <c r="I140" s="96"/>
      <c r="J140" s="96"/>
      <c r="K140" s="13"/>
      <c r="L140" s="1039"/>
      <c r="M140" s="142"/>
      <c r="N140" s="142"/>
      <c r="O140" s="142"/>
      <c r="P140" s="236"/>
      <c r="Q140" s="238"/>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4"/>
    </row>
    <row r="141" ht="12.75" customHeight="1" hidden="1">
      <c r="A141" s="28"/>
      <c r="B141" s="96"/>
      <c r="C141" s="96"/>
      <c r="D141" s="96"/>
      <c r="E141" s="96"/>
      <c r="F141" s="96"/>
      <c r="G141" s="96"/>
      <c r="H141" s="96"/>
      <c r="I141" s="96"/>
      <c r="J141" s="96"/>
      <c r="K141" s="13"/>
      <c r="L141" s="1039"/>
      <c r="M141" s="142"/>
      <c r="N141" s="142"/>
      <c r="O141" s="142"/>
      <c r="P141" s="237"/>
      <c r="Q141" s="238"/>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4"/>
    </row>
    <row r="142" ht="13.65" customHeight="1">
      <c r="A142" t="s" s="853">
        <f>A32</f>
        <v>559</v>
      </c>
      <c r="B142" t="s" s="854">
        <f>B32</f>
        <v>876</v>
      </c>
      <c r="C142" s="855"/>
      <c r="D142" s="855"/>
      <c r="E142" s="855"/>
      <c r="F142" s="855"/>
      <c r="G142" s="855"/>
      <c r="H142" s="855"/>
      <c r="I142" s="855"/>
      <c r="J142" s="855"/>
      <c r="K142" s="13"/>
      <c r="L142" s="1039"/>
      <c r="M142" s="142"/>
      <c r="N142" s="142"/>
      <c r="O142" s="142"/>
      <c r="P142" s="236"/>
      <c r="Q142" s="238"/>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4"/>
    </row>
    <row r="143" ht="12.75" customHeight="1">
      <c r="A143" s="28"/>
      <c r="B143" s="96"/>
      <c r="C143" s="96"/>
      <c r="D143" s="96"/>
      <c r="E143" s="96"/>
      <c r="F143" s="96"/>
      <c r="G143" s="96"/>
      <c r="H143" s="96"/>
      <c r="I143" s="96"/>
      <c r="J143" s="96"/>
      <c r="K143" s="13"/>
      <c r="L143" s="1039"/>
      <c r="M143" s="142"/>
      <c r="N143" s="142"/>
      <c r="O143" s="142"/>
      <c r="P143" s="236"/>
      <c r="Q143" s="238"/>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4"/>
    </row>
    <row r="144" ht="27.75" customHeight="1">
      <c r="A144" t="s" s="777">
        <v>399</v>
      </c>
      <c r="B144" t="s" s="710">
        <f>B34</f>
        <v>830</v>
      </c>
      <c r="C144" s="96"/>
      <c r="D144" s="96"/>
      <c r="E144" s="96"/>
      <c r="F144" s="96"/>
      <c r="G144" s="96"/>
      <c r="H144" s="96"/>
      <c r="I144" s="96"/>
      <c r="J144" s="96"/>
      <c r="K144" s="13"/>
      <c r="L144" t="b" s="1042">
        <v>0</v>
      </c>
      <c r="M144" s="142"/>
      <c r="N144" s="142"/>
      <c r="O144" t="s" s="1050">
        <f>IF(AND(L139=TRUE,L144=FALSE,L149=FALSE),IF('Adatlap'!$L$1="Magyar","Jelölje be!","Please, check!"),"")</f>
      </c>
      <c r="P144" t="s" s="365">
        <f>IF(AND(L144=FALSE,L149=FALSE),IF('Adatlap'!$L$1="Magyar","Jelölje be!","Please, check!"),"")</f>
        <v>399</v>
      </c>
      <c r="Q144" s="1051">
        <f>IF(AND(L139=TRUE,L144=FALSE,L149=FALSE),1,0)</f>
        <v>0</v>
      </c>
      <c r="R144" s="34">
        <f>IF(AND(L144=FALSE,L149=FALSE),1,0)</f>
        <v>1</v>
      </c>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4"/>
    </row>
    <row r="145" ht="8.1" customHeight="1">
      <c r="A145" s="928"/>
      <c r="B145" s="153"/>
      <c r="C145" s="153"/>
      <c r="D145" s="153"/>
      <c r="E145" s="153"/>
      <c r="F145" s="153"/>
      <c r="G145" s="153"/>
      <c r="H145" s="153"/>
      <c r="I145" s="153"/>
      <c r="J145" s="153"/>
      <c r="K145" s="13"/>
      <c r="L145" s="1039"/>
      <c r="M145" s="142"/>
      <c r="N145" s="142"/>
      <c r="O145" s="142"/>
      <c r="P145" s="236"/>
      <c r="Q145" s="238"/>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4"/>
    </row>
    <row r="146" ht="12.75" customHeight="1">
      <c r="A146" s="928"/>
      <c r="B146" t="s" s="758">
        <f>B91</f>
        <v>831</v>
      </c>
      <c r="C146" s="13"/>
      <c r="D146" s="13"/>
      <c r="E146" s="13"/>
      <c r="F146" s="13"/>
      <c r="G146" s="13"/>
      <c r="H146" s="13"/>
      <c r="I146" s="13"/>
      <c r="J146" s="13"/>
      <c r="K146" s="13"/>
      <c r="L146" s="1039"/>
      <c r="M146" s="142"/>
      <c r="N146" s="142"/>
      <c r="O146" s="142"/>
      <c r="P146" s="236"/>
      <c r="Q146" s="238"/>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4"/>
    </row>
    <row r="147" ht="24.95" customHeight="1">
      <c r="A147" s="928"/>
      <c r="B147" t="s" s="897">
        <f>IF(AND($L$144=TRUE,L147=FALSE,L148=FALSE),IF('Adatlap'!$L$1="Magyar","Jelölje be!","Please, check!"),"")</f>
      </c>
      <c r="C147" t="s" s="900">
        <f>C92</f>
        <v>832</v>
      </c>
      <c r="D147" s="17"/>
      <c r="E147" s="17"/>
      <c r="F147" s="17"/>
      <c r="G147" s="17"/>
      <c r="H147" s="17"/>
      <c r="I147" s="17"/>
      <c r="J147" s="153"/>
      <c r="K147" s="13"/>
      <c r="L147" t="b" s="1042">
        <v>0</v>
      </c>
      <c r="M147" s="142"/>
      <c r="N147" s="142"/>
      <c r="O147" s="142"/>
      <c r="P147" s="236"/>
      <c r="Q147" s="238"/>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4"/>
    </row>
    <row r="148" ht="24.95" customHeight="1">
      <c r="A148" s="28"/>
      <c r="B148" t="s" s="897">
        <f>IF(AND($L$144=TRUE,L147=FALSE,L148=FALSE),IF('Adatlap'!$L$1="Magyar","Jelölje be!","Please, check!"),"")</f>
      </c>
      <c r="C148" t="s" s="710">
        <f>C93</f>
        <v>892</v>
      </c>
      <c r="D148" s="9"/>
      <c r="E148" s="9"/>
      <c r="F148" s="9"/>
      <c r="G148" s="9"/>
      <c r="H148" s="9"/>
      <c r="I148" s="9"/>
      <c r="J148" s="96"/>
      <c r="K148" s="13"/>
      <c r="L148" t="b" s="1042">
        <v>0</v>
      </c>
      <c r="M148" s="142"/>
      <c r="N148" s="142"/>
      <c r="O148" s="142"/>
      <c r="P148" s="236"/>
      <c r="Q148" s="238"/>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4"/>
    </row>
    <row r="149" ht="24.95" customHeight="1">
      <c r="A149" t="s" s="777">
        <v>399</v>
      </c>
      <c r="B149" t="s" s="710">
        <f>B39</f>
        <v>834</v>
      </c>
      <c r="C149" s="96"/>
      <c r="D149" s="96"/>
      <c r="E149" s="96"/>
      <c r="F149" s="96"/>
      <c r="G149" s="96"/>
      <c r="H149" s="96"/>
      <c r="I149" s="96"/>
      <c r="J149" s="96"/>
      <c r="K149" s="13"/>
      <c r="L149" t="b" s="1042">
        <v>0</v>
      </c>
      <c r="M149" s="142"/>
      <c r="N149" s="142"/>
      <c r="O149" s="142"/>
      <c r="P149" s="236"/>
      <c r="Q149" s="238"/>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4"/>
    </row>
    <row r="150" ht="24.95" customHeight="1">
      <c r="A150" s="928"/>
      <c r="B150" t="s" s="758">
        <f>B146</f>
        <v>831</v>
      </c>
      <c r="C150" s="13"/>
      <c r="D150" s="13"/>
      <c r="E150" s="13"/>
      <c r="F150" s="13"/>
      <c r="G150" s="13"/>
      <c r="H150" s="13"/>
      <c r="I150" s="13"/>
      <c r="J150" s="13"/>
      <c r="K150" s="13"/>
      <c r="L150" s="1039"/>
      <c r="M150" s="142"/>
      <c r="N150" s="142"/>
      <c r="O150" s="142"/>
      <c r="P150" s="236"/>
      <c r="Q150" s="238"/>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4"/>
    </row>
    <row r="151" ht="24.95" customHeight="1">
      <c r="A151" s="928"/>
      <c r="B151" t="s" s="897">
        <f>IF(AND(L149=TRUE,L151=FALSE,L152=FALSE),IF('Adatlap'!$L$1="Magyar","Jelölje be!","Please, check!"),"")</f>
      </c>
      <c r="C151" t="s" s="491">
        <f>C147</f>
        <v>832</v>
      </c>
      <c r="D151" s="153"/>
      <c r="E151" s="153"/>
      <c r="F151" s="153"/>
      <c r="G151" s="153"/>
      <c r="H151" s="153"/>
      <c r="I151" s="153"/>
      <c r="J151" s="153"/>
      <c r="K151" s="13"/>
      <c r="L151" t="b" s="1042">
        <v>0</v>
      </c>
      <c r="M151" s="142"/>
      <c r="N151" s="142"/>
      <c r="O151" s="457"/>
      <c r="P151" s="236"/>
      <c r="Q151" s="238"/>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4"/>
    </row>
    <row r="152" ht="24.95" customHeight="1">
      <c r="A152" s="28"/>
      <c r="B152" t="s" s="897">
        <f>IF(AND(L149=TRUE,L151=FALSE,L152=FALSE),IF('Adatlap'!$L$1="Magyar","Jelölje be!","Please, check!"),"")</f>
      </c>
      <c r="C152" t="s" s="1002">
        <f>C148</f>
        <v>833</v>
      </c>
      <c r="D152" s="96"/>
      <c r="E152" s="799"/>
      <c r="F152" s="799"/>
      <c r="G152" s="799"/>
      <c r="H152" s="799"/>
      <c r="I152" s="799"/>
      <c r="J152" s="799"/>
      <c r="K152" s="13"/>
      <c r="L152" t="b" s="1042">
        <v>0</v>
      </c>
      <c r="M152" s="142"/>
      <c r="N152" s="142"/>
      <c r="O152" s="1106"/>
      <c r="P152" s="236"/>
      <c r="Q152" s="238"/>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4"/>
    </row>
    <row r="153" ht="12.75" customHeight="1">
      <c r="A153" s="928"/>
      <c r="B153" s="153"/>
      <c r="C153" s="153"/>
      <c r="D153" s="153"/>
      <c r="E153" s="153"/>
      <c r="F153" s="153"/>
      <c r="G153" s="153"/>
      <c r="H153" s="153"/>
      <c r="I153" s="153"/>
      <c r="J153" s="153"/>
      <c r="K153" s="13"/>
      <c r="L153" s="1039"/>
      <c r="M153" s="142"/>
      <c r="N153" s="142"/>
      <c r="O153" s="142"/>
      <c r="P153" s="236"/>
      <c r="Q153" s="238"/>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4"/>
    </row>
    <row r="154" ht="24.95" customHeight="1">
      <c r="A154" s="28"/>
      <c r="B154" t="s" s="897">
        <f>IF(AND(L149=TRUE,L154=FALSE),IF('Adatlap'!$L$1="Magyar","Jelölje be!","Please, check!"),"")</f>
      </c>
      <c r="C154" t="s" s="900">
        <f>C99</f>
        <v>877</v>
      </c>
      <c r="D154" s="13"/>
      <c r="E154" s="13"/>
      <c r="F154" s="13"/>
      <c r="G154" s="13"/>
      <c r="H154" s="13"/>
      <c r="I154" s="13"/>
      <c r="J154" s="153"/>
      <c r="K154" s="13"/>
      <c r="L154" t="b" s="1042">
        <v>0</v>
      </c>
      <c r="M154" s="142"/>
      <c r="N154" s="142"/>
      <c r="O154" s="1060"/>
      <c r="P154" s="1061"/>
      <c r="Q154" s="1060"/>
      <c r="R154" s="1107"/>
      <c r="S154" s="1107"/>
      <c r="T154" s="1107"/>
      <c r="U154" s="1107"/>
      <c r="V154" s="1107"/>
      <c r="W154" s="1107"/>
      <c r="X154" s="1090"/>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4"/>
    </row>
    <row r="155" ht="12.75" customHeight="1">
      <c r="A155" s="28"/>
      <c r="B155" s="1057"/>
      <c r="C155" s="1058"/>
      <c r="D155" s="1059"/>
      <c r="E155" s="39"/>
      <c r="F155" s="39"/>
      <c r="G155" s="39"/>
      <c r="H155" s="39"/>
      <c r="I155" s="39"/>
      <c r="J155" s="13"/>
      <c r="K155" s="13"/>
      <c r="L155" s="1039"/>
      <c r="M155" s="142"/>
      <c r="N155" s="142"/>
      <c r="O155" s="1060"/>
      <c r="P155" s="1061"/>
      <c r="Q155" s="1060"/>
      <c r="R155" s="1060"/>
      <c r="S155" s="1060"/>
      <c r="T155" s="1060"/>
      <c r="U155" s="1060"/>
      <c r="V155" s="1060"/>
      <c r="W155" s="1060"/>
      <c r="X155" s="1062"/>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4"/>
    </row>
    <row r="156" ht="12.75" customHeight="1">
      <c r="A156" s="1065"/>
      <c r="B156" t="s" s="954">
        <f>B46</f>
        <v>883</v>
      </c>
      <c r="C156" s="955"/>
      <c r="D156" s="955"/>
      <c r="E156" s="955"/>
      <c r="F156" t="s" s="1066">
        <f>F46</f>
        <v>884</v>
      </c>
      <c r="G156" s="1067"/>
      <c r="H156" t="s" s="1066">
        <f>H46</f>
        <v>885</v>
      </c>
      <c r="I156" s="1067"/>
      <c r="J156" s="1068"/>
      <c r="K156" s="13"/>
      <c r="L156" s="1039"/>
      <c r="M156" s="142"/>
      <c r="N156" s="142"/>
      <c r="O156" s="1060"/>
      <c r="P156" s="1061"/>
      <c r="Q156" s="1060"/>
      <c r="R156" s="1060"/>
      <c r="S156" s="1060"/>
      <c r="T156" s="1060"/>
      <c r="U156" s="1060"/>
      <c r="V156" s="1060"/>
      <c r="W156" s="1060"/>
      <c r="X156" s="1062"/>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4"/>
    </row>
    <row r="157" ht="12.75" customHeight="1">
      <c r="A157" s="1065"/>
      <c r="B157" s="955"/>
      <c r="C157" s="955"/>
      <c r="D157" s="955"/>
      <c r="E157" s="955"/>
      <c r="F157" t="s" s="1069">
        <f>F47</f>
        <v>848</v>
      </c>
      <c r="G157" s="1070"/>
      <c r="H157" t="s" s="1069">
        <f>H47</f>
        <v>848</v>
      </c>
      <c r="I157" s="1070"/>
      <c r="J157" s="1068"/>
      <c r="K157" s="13"/>
      <c r="L157" s="1039"/>
      <c r="M157" s="142"/>
      <c r="N157" s="142"/>
      <c r="O157" s="1060"/>
      <c r="P157" s="1061"/>
      <c r="Q157" s="1060"/>
      <c r="R157" s="1060"/>
      <c r="S157" s="1060"/>
      <c r="T157" s="1060"/>
      <c r="U157" s="1060"/>
      <c r="V157" s="1060"/>
      <c r="W157" s="1060"/>
      <c r="X157" s="1062"/>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4"/>
    </row>
    <row r="158" ht="27" customHeight="1">
      <c r="A158" s="1065"/>
      <c r="B158" t="s" s="1071">
        <f>B48</f>
        <v>614</v>
      </c>
      <c r="C158" s="849"/>
      <c r="D158" s="849"/>
      <c r="E158" s="849"/>
      <c r="F158" s="1072">
        <f>'Kiszerelés 1-4'!M21</f>
        <v>0</v>
      </c>
      <c r="G158" s="286"/>
      <c r="H158" s="286">
        <f>'Kiszerelés 1-4'!M22</f>
      </c>
      <c r="I158" s="286"/>
      <c r="J158" s="72"/>
      <c r="K158" s="13"/>
      <c r="L158" s="1039"/>
      <c r="M158" s="142"/>
      <c r="N158" s="142"/>
      <c r="O158" s="142"/>
      <c r="P158" s="236"/>
      <c r="Q158" s="237"/>
      <c r="R158" s="142"/>
      <c r="S158" s="142"/>
      <c r="T158" s="142"/>
      <c r="U158" s="142"/>
      <c r="V158" s="142"/>
      <c r="W158" s="142"/>
      <c r="X158" s="146"/>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4"/>
    </row>
    <row r="159" ht="12.75" customHeight="1">
      <c r="A159" s="28"/>
      <c r="B159" s="1073"/>
      <c r="C159" s="93"/>
      <c r="D159" s="882"/>
      <c r="E159" s="69"/>
      <c r="F159" s="69"/>
      <c r="G159" s="69"/>
      <c r="H159" s="69"/>
      <c r="I159" s="69"/>
      <c r="J159" s="13"/>
      <c r="K159" s="13"/>
      <c r="L159" s="1039"/>
      <c r="M159" s="142"/>
      <c r="N159" s="142"/>
      <c r="O159" s="1108"/>
      <c r="P159" s="1109"/>
      <c r="Q159" s="1110"/>
      <c r="R159" s="1111"/>
      <c r="S159" s="1111"/>
      <c r="T159" s="1111"/>
      <c r="U159" s="1111"/>
      <c r="V159" s="1111"/>
      <c r="W159" s="1111"/>
      <c r="X159" s="1112"/>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4"/>
    </row>
    <row r="160" ht="13.65" customHeight="1">
      <c r="A160" s="28"/>
      <c r="B160" t="s" s="897">
        <f>IF(AND($L$149=TRUE,L160=FALSE),IF('Adatlap'!$L$1="Magyar","Jelölje be!","Please, check!"),"")</f>
      </c>
      <c r="C160" t="s" s="900">
        <f>C105</f>
        <v>886</v>
      </c>
      <c r="D160" s="13"/>
      <c r="E160" s="13"/>
      <c r="F160" s="13"/>
      <c r="G160" s="13"/>
      <c r="H160" s="13"/>
      <c r="I160" s="13"/>
      <c r="J160" s="153"/>
      <c r="K160" s="13"/>
      <c r="L160" t="b" s="1042">
        <v>0</v>
      </c>
      <c r="M160" s="142"/>
      <c r="N160" s="142"/>
      <c r="O160" s="142"/>
      <c r="P160" s="236"/>
      <c r="Q160" s="238"/>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4"/>
    </row>
    <row r="161" ht="26.1" customHeight="1">
      <c r="A161" t="s" s="853">
        <f>A$51</f>
        <v>629</v>
      </c>
      <c r="B161" t="s" s="998">
        <f>B51</f>
        <v>887</v>
      </c>
      <c r="C161" s="999"/>
      <c r="D161" s="999"/>
      <c r="E161" s="999"/>
      <c r="F161" s="999"/>
      <c r="G161" s="999"/>
      <c r="H161" s="999"/>
      <c r="I161" s="999"/>
      <c r="J161" s="999"/>
      <c r="K161" s="13"/>
      <c r="L161" s="1039"/>
      <c r="M161" s="142"/>
      <c r="N161" s="142"/>
      <c r="O161" s="142"/>
      <c r="P161" s="236"/>
      <c r="Q161" s="238"/>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4"/>
    </row>
    <row r="162" ht="12.75" customHeight="1">
      <c r="A162" s="28"/>
      <c r="B162" s="937"/>
      <c r="C162" s="494"/>
      <c r="D162" s="153"/>
      <c r="E162" s="13"/>
      <c r="F162" s="13"/>
      <c r="G162" s="13"/>
      <c r="H162" s="13"/>
      <c r="I162" s="13"/>
      <c r="J162" s="13"/>
      <c r="K162" s="13"/>
      <c r="L162" s="1039"/>
      <c r="M162" s="142"/>
      <c r="N162" s="142"/>
      <c r="O162" s="142"/>
      <c r="P162" s="236"/>
      <c r="Q162" s="238"/>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4"/>
    </row>
    <row r="163" ht="13.65" customHeight="1">
      <c r="A163" t="s" s="1078">
        <f>IF(AND($L$139=TRUE,L163=FALSE),IF('Adatlap'!$L$1="Magyar","Jelölje be!","Please, check!"),"")</f>
      </c>
      <c r="B163" t="s" s="710">
        <f>B53</f>
        <v>888</v>
      </c>
      <c r="C163" s="96"/>
      <c r="D163" s="96"/>
      <c r="E163" s="96"/>
      <c r="F163" s="96"/>
      <c r="G163" s="96"/>
      <c r="H163" s="96"/>
      <c r="I163" s="96"/>
      <c r="J163" s="96"/>
      <c r="K163" s="13"/>
      <c r="L163" t="b" s="1042">
        <v>0</v>
      </c>
      <c r="M163" s="142"/>
      <c r="N163" s="142"/>
      <c r="O163" s="142"/>
      <c r="P163" s="236"/>
      <c r="Q163" s="238"/>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4"/>
    </row>
    <row r="164" ht="12.75" customHeight="1">
      <c r="A164" s="1079"/>
      <c r="B164" s="39"/>
      <c r="C164" s="39"/>
      <c r="D164" s="39"/>
      <c r="E164" s="39"/>
      <c r="F164" s="39"/>
      <c r="G164" s="39"/>
      <c r="H164" s="39"/>
      <c r="I164" s="39"/>
      <c r="J164" s="13"/>
      <c r="K164" s="13"/>
      <c r="L164" s="1039"/>
      <c r="M164" s="142"/>
      <c r="N164" s="142"/>
      <c r="O164" s="142"/>
      <c r="P164" s="236"/>
      <c r="Q164" s="238"/>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4"/>
    </row>
    <row r="165" ht="24.95" customHeight="1">
      <c r="A165" s="1065"/>
      <c r="B165" t="s" s="1080">
        <f t="shared" si="92"/>
        <v>857</v>
      </c>
      <c r="C165" s="1081"/>
      <c r="D165" s="1105">
        <f>'Kiszerelés 1-4'!K26</f>
        <v>0</v>
      </c>
      <c r="E165" s="1081"/>
      <c r="F165" s="1081"/>
      <c r="G165" s="1081"/>
      <c r="H165" s="1081"/>
      <c r="I165" s="1081"/>
      <c r="J165" s="72"/>
      <c r="K165" s="13"/>
      <c r="L165" s="1039"/>
      <c r="M165" s="142"/>
      <c r="N165" s="142"/>
      <c r="O165" s="142"/>
      <c r="P165" s="236"/>
      <c r="Q165" s="238"/>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4"/>
    </row>
    <row r="166" ht="24.95" customHeight="1">
      <c r="A166" s="1065"/>
      <c r="B166" t="s" s="1080">
        <f t="shared" si="94"/>
        <v>858</v>
      </c>
      <c r="C166" s="1081"/>
      <c r="D166" s="1105">
        <f>'Kiszerelés 1-4'!K27</f>
        <v>0</v>
      </c>
      <c r="E166" s="1081"/>
      <c r="F166" s="1081"/>
      <c r="G166" s="1081"/>
      <c r="H166" s="1081"/>
      <c r="I166" s="1081"/>
      <c r="J166" s="72"/>
      <c r="K166" s="13"/>
      <c r="L166" s="1039"/>
      <c r="M166" s="142"/>
      <c r="N166" s="142"/>
      <c r="O166" s="142"/>
      <c r="P166" s="236"/>
      <c r="Q166" s="238"/>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4"/>
    </row>
    <row r="167" ht="24.95" customHeight="1">
      <c r="A167" s="1065"/>
      <c r="B167" t="s" s="1080">
        <f t="shared" si="96"/>
        <v>859</v>
      </c>
      <c r="C167" s="1081"/>
      <c r="D167" s="1105">
        <f>'Kiszerelés 1-4'!K28</f>
        <v>0</v>
      </c>
      <c r="E167" s="1081"/>
      <c r="F167" s="1081"/>
      <c r="G167" s="1081"/>
      <c r="H167" s="1081"/>
      <c r="I167" s="1081"/>
      <c r="J167" s="72"/>
      <c r="K167" s="13"/>
      <c r="L167" s="1039"/>
      <c r="M167" s="142"/>
      <c r="N167" s="142"/>
      <c r="O167" s="142"/>
      <c r="P167" s="236"/>
      <c r="Q167" s="238"/>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4"/>
    </row>
    <row r="168" ht="24.95" customHeight="1">
      <c r="A168" s="1065"/>
      <c r="B168" t="s" s="1080">
        <f t="shared" si="98"/>
        <v>860</v>
      </c>
      <c r="C168" s="1081"/>
      <c r="D168" s="1105">
        <f>'Kiszerelés 1-4'!K29</f>
        <v>0</v>
      </c>
      <c r="E168" s="1081"/>
      <c r="F168" s="1081"/>
      <c r="G168" s="1081"/>
      <c r="H168" s="1081"/>
      <c r="I168" s="1081"/>
      <c r="J168" s="72"/>
      <c r="K168" s="13"/>
      <c r="L168" s="1039"/>
      <c r="M168" s="142"/>
      <c r="N168" s="142"/>
      <c r="O168" s="142"/>
      <c r="P168" s="236"/>
      <c r="Q168" s="238"/>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4"/>
    </row>
    <row r="169" ht="24.95" customHeight="1">
      <c r="A169" s="1065"/>
      <c r="B169" t="s" s="1080">
        <f>B59</f>
        <v>889</v>
      </c>
      <c r="C169" s="1081"/>
      <c r="D169" s="1082"/>
      <c r="E169" s="1082"/>
      <c r="F169" s="1082"/>
      <c r="G169" s="1082"/>
      <c r="H169" s="1082"/>
      <c r="I169" s="1082"/>
      <c r="J169" s="72"/>
      <c r="K169" s="13"/>
      <c r="L169" s="1039"/>
      <c r="M169" s="142"/>
      <c r="N169" s="142"/>
      <c r="O169" s="142"/>
      <c r="P169" s="236"/>
      <c r="Q169" s="238"/>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4"/>
    </row>
    <row r="170" ht="12.75" customHeight="1">
      <c r="A170" s="28"/>
      <c r="B170" s="69"/>
      <c r="C170" s="69"/>
      <c r="D170" s="69"/>
      <c r="E170" s="69"/>
      <c r="F170" s="69"/>
      <c r="G170" s="69"/>
      <c r="H170" s="69"/>
      <c r="I170" s="69"/>
      <c r="J170" s="13"/>
      <c r="K170" s="13"/>
      <c r="L170" s="1039"/>
      <c r="M170" s="142"/>
      <c r="N170" s="142"/>
      <c r="O170" s="142"/>
      <c r="P170" s="236"/>
      <c r="Q170" s="238"/>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4"/>
    </row>
    <row r="171" ht="24.95" customHeight="1">
      <c r="A171" s="28"/>
      <c r="B171" t="s" s="897">
        <f>IF(AND(L171=FALSE,L163=TRUE),IF('Adatlap'!$L$1="Magyar","Jelölje be!","Please, check!"),"")</f>
      </c>
      <c r="C171" t="s" s="900">
        <f>C116</f>
        <v>890</v>
      </c>
      <c r="D171" s="13"/>
      <c r="E171" s="13"/>
      <c r="F171" s="13"/>
      <c r="G171" s="13"/>
      <c r="H171" s="13"/>
      <c r="I171" s="13"/>
      <c r="J171" s="153"/>
      <c r="K171" s="13"/>
      <c r="L171" t="b" s="1042">
        <v>0</v>
      </c>
      <c r="M171" s="142"/>
      <c r="N171" s="142"/>
      <c r="O171" s="142"/>
      <c r="P171" s="236"/>
      <c r="Q171" s="238"/>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4"/>
    </row>
    <row r="172" ht="12.75" customHeight="1">
      <c r="A172" s="28"/>
      <c r="B172" s="13"/>
      <c r="C172" s="13"/>
      <c r="D172" s="13"/>
      <c r="E172" s="13"/>
      <c r="F172" s="13"/>
      <c r="G172" s="13"/>
      <c r="H172" s="13"/>
      <c r="I172" s="13"/>
      <c r="J172" s="13"/>
      <c r="K172" s="13"/>
      <c r="L172" s="1039"/>
      <c r="M172" s="142"/>
      <c r="N172" s="142"/>
      <c r="O172" s="142"/>
      <c r="P172" s="236"/>
      <c r="Q172" s="238"/>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4"/>
    </row>
    <row r="173" ht="21" customHeight="1">
      <c r="A173" t="s" s="1083">
        <f>'Kiszerelés 1-4'!J31</f>
        <v>893</v>
      </c>
      <c r="B173" s="1084"/>
      <c r="C173" t="s" s="1077">
        <f>IF('Kiszerelés 1-4'!J32="","",'Kiszerelés 1-4'!J32)</f>
      </c>
      <c r="D173" s="185"/>
      <c r="E173" s="185"/>
      <c r="F173" s="185"/>
      <c r="G173" s="185"/>
      <c r="H173" s="185"/>
      <c r="I173" s="185"/>
      <c r="J173" s="13"/>
      <c r="K173" s="13"/>
      <c r="L173" s="1039"/>
      <c r="M173" s="142"/>
      <c r="N173" s="142"/>
      <c r="O173" s="142"/>
      <c r="P173" s="236"/>
      <c r="Q173" s="238"/>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4"/>
    </row>
    <row r="174" ht="12.95" customHeight="1">
      <c r="A174" s="28"/>
      <c r="B174" s="13"/>
      <c r="C174" s="13"/>
      <c r="D174" s="13"/>
      <c r="E174" s="13"/>
      <c r="F174" s="13"/>
      <c r="G174" s="13"/>
      <c r="H174" s="13"/>
      <c r="I174" s="13"/>
      <c r="J174" s="13"/>
      <c r="K174" s="13"/>
      <c r="L174" s="1039"/>
      <c r="M174" s="142"/>
      <c r="N174" s="142"/>
      <c r="O174" s="142"/>
      <c r="P174" s="236"/>
      <c r="Q174" s="238"/>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4"/>
    </row>
    <row r="175" ht="12.95" customHeight="1" hidden="1">
      <c r="A175" t="s" s="853">
        <f>A$10</f>
        <v>559</v>
      </c>
      <c r="B175" t="s" s="1077">
        <f>B$10</f>
        <v>864</v>
      </c>
      <c r="C175" s="185"/>
      <c r="D175" s="185"/>
      <c r="E175" s="185"/>
      <c r="F175" s="185"/>
      <c r="G175" s="185"/>
      <c r="H175" s="185"/>
      <c r="I175" s="185"/>
      <c r="J175" s="13"/>
      <c r="K175" s="13"/>
      <c r="L175" s="1039"/>
      <c r="M175" s="142"/>
      <c r="N175" s="142"/>
      <c r="O175" s="142"/>
      <c r="P175" s="237"/>
      <c r="Q175" s="238"/>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4"/>
    </row>
    <row r="176" ht="12.95" customHeight="1" hidden="1">
      <c r="A176" s="28"/>
      <c r="B176" s="13"/>
      <c r="C176" s="13"/>
      <c r="D176" s="13"/>
      <c r="E176" s="13"/>
      <c r="F176" s="13"/>
      <c r="G176" s="13"/>
      <c r="H176" s="13"/>
      <c r="I176" s="13"/>
      <c r="J176" s="13"/>
      <c r="K176" s="13"/>
      <c r="L176" s="1039"/>
      <c r="M176" s="142"/>
      <c r="N176" s="142"/>
      <c r="O176" s="142"/>
      <c r="P176" s="237"/>
      <c r="Q176" s="238"/>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4"/>
    </row>
    <row r="177" ht="24.95" customHeight="1" hidden="1">
      <c r="A177" t="s" s="777">
        <f>IF(AND(L177=FALSE,L184=FALSE),IF('Adatlap'!$L$1="Magyar","Jelölje be!","Please, check!"),"")</f>
        <v>399</v>
      </c>
      <c r="B177" t="s" s="710">
        <f>B$12</f>
        <v>865</v>
      </c>
      <c r="C177" s="13"/>
      <c r="D177" s="17"/>
      <c r="E177" s="17"/>
      <c r="F177" s="17"/>
      <c r="G177" s="17"/>
      <c r="H177" s="17"/>
      <c r="I177" s="17"/>
      <c r="J177" s="96"/>
      <c r="K177" s="13"/>
      <c r="L177" t="b" s="1042">
        <v>0</v>
      </c>
      <c r="M177" s="142"/>
      <c r="N177" s="142"/>
      <c r="O177" s="142"/>
      <c r="P177" s="237"/>
      <c r="Q177" s="238"/>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4"/>
    </row>
    <row r="178" ht="24.95" customHeight="1" hidden="1">
      <c r="A178" s="28"/>
      <c r="B178" t="s" s="897">
        <f>IF(AND($L$177=TRUE,L178=FALSE),IF('Adatlap'!$L$1="Magyar","Jelölje be!","Please, check!"),"")</f>
      </c>
      <c r="C178" t="s" s="900">
        <f>C$13</f>
        <v>866</v>
      </c>
      <c r="D178" s="9"/>
      <c r="E178" s="9"/>
      <c r="F178" s="9"/>
      <c r="G178" s="9"/>
      <c r="H178" s="9"/>
      <c r="I178" s="9"/>
      <c r="J178" s="153"/>
      <c r="K178" s="13"/>
      <c r="L178" t="b" s="1042">
        <v>0</v>
      </c>
      <c r="M178" t="s" s="386">
        <v>894</v>
      </c>
      <c r="N178" s="142"/>
      <c r="O178" s="142"/>
      <c r="P178" s="237"/>
      <c r="Q178" s="238"/>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4"/>
    </row>
    <row r="179" ht="8.1" customHeight="1" hidden="1">
      <c r="A179" s="28"/>
      <c r="B179" s="13"/>
      <c r="C179" s="13"/>
      <c r="D179" s="13"/>
      <c r="E179" s="13"/>
      <c r="F179" s="13"/>
      <c r="G179" s="13"/>
      <c r="H179" s="13"/>
      <c r="I179" s="13"/>
      <c r="J179" s="13"/>
      <c r="K179" s="13"/>
      <c r="L179" s="1039"/>
      <c r="M179" s="142"/>
      <c r="N179" s="142"/>
      <c r="O179" s="142"/>
      <c r="P179" s="237"/>
      <c r="Q179" s="238"/>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4"/>
    </row>
    <row r="180" ht="24.95" customHeight="1" hidden="1">
      <c r="A180" s="28"/>
      <c r="B180" t="s" s="897">
        <f>IF(AND($L$177=TRUE,L180=FALSE),IF('Adatlap'!$L$1="Magyar","Jelölje be!","Please, check!"),"")</f>
      </c>
      <c r="C180" t="s" s="900">
        <f>C$15</f>
        <v>867</v>
      </c>
      <c r="D180" s="13"/>
      <c r="E180" s="13"/>
      <c r="F180" s="13"/>
      <c r="G180" s="13"/>
      <c r="H180" s="13"/>
      <c r="I180" s="13"/>
      <c r="J180" s="153"/>
      <c r="K180" s="13"/>
      <c r="L180" t="b" s="1042">
        <v>0</v>
      </c>
      <c r="M180" s="142"/>
      <c r="N180" s="142"/>
      <c r="O180" s="142"/>
      <c r="P180" s="237"/>
      <c r="Q180" s="238"/>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4"/>
    </row>
    <row r="181" ht="8.1" customHeight="1" hidden="1">
      <c r="A181" s="28"/>
      <c r="B181" s="13"/>
      <c r="C181" s="13"/>
      <c r="D181" s="13"/>
      <c r="E181" s="13"/>
      <c r="F181" s="13"/>
      <c r="G181" s="13"/>
      <c r="H181" s="13"/>
      <c r="I181" s="13"/>
      <c r="J181" s="13"/>
      <c r="K181" s="13"/>
      <c r="L181" s="1039"/>
      <c r="M181" s="142"/>
      <c r="N181" s="142"/>
      <c r="O181" s="142"/>
      <c r="P181" s="237"/>
      <c r="Q181" s="238"/>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4"/>
    </row>
    <row r="182" ht="24.95" customHeight="1" hidden="1">
      <c r="A182" s="28"/>
      <c r="B182" t="s" s="897">
        <f>IF(AND($L$177=TRUE,L182=FALSE),IF('Adatlap'!$L$1="Magyar","Jelölje be!","Please, check!"),"")</f>
      </c>
      <c r="C182" t="s" s="900">
        <f>C$17</f>
        <v>868</v>
      </c>
      <c r="D182" s="13"/>
      <c r="E182" s="13"/>
      <c r="F182" s="13"/>
      <c r="G182" s="13"/>
      <c r="H182" s="13"/>
      <c r="I182" s="13"/>
      <c r="J182" s="153"/>
      <c r="K182" s="13"/>
      <c r="L182" t="b" s="1042">
        <v>0</v>
      </c>
      <c r="M182" s="142"/>
      <c r="N182" s="142"/>
      <c r="O182" s="142"/>
      <c r="P182" s="237"/>
      <c r="Q182" s="238"/>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4"/>
    </row>
    <row r="183" ht="12.95" customHeight="1" hidden="1">
      <c r="A183" s="28"/>
      <c r="B183" s="13"/>
      <c r="C183" s="13"/>
      <c r="D183" s="13"/>
      <c r="E183" s="13"/>
      <c r="F183" s="13"/>
      <c r="G183" s="13"/>
      <c r="H183" s="13"/>
      <c r="I183" s="13"/>
      <c r="J183" s="13"/>
      <c r="K183" s="13"/>
      <c r="L183" s="1039"/>
      <c r="M183" s="142"/>
      <c r="N183" s="142"/>
      <c r="O183" s="142"/>
      <c r="P183" s="237"/>
      <c r="Q183" s="238"/>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4"/>
    </row>
    <row r="184" ht="24.95" customHeight="1" hidden="1">
      <c r="A184" t="s" s="777">
        <f>IF(AND(L177=FALSE,L184=FALSE),IF('Adatlap'!$L$1="Magyar","Jelölje be!","Please, check!"),"")</f>
        <v>399</v>
      </c>
      <c r="B184" t="s" s="710">
        <f>B$19</f>
        <v>869</v>
      </c>
      <c r="C184" s="13"/>
      <c r="D184" s="13"/>
      <c r="E184" s="13"/>
      <c r="F184" s="13"/>
      <c r="G184" s="13"/>
      <c r="H184" s="13"/>
      <c r="I184" s="13"/>
      <c r="J184" s="96"/>
      <c r="K184" s="13"/>
      <c r="L184" t="b" s="1042">
        <v>0</v>
      </c>
      <c r="M184" s="142"/>
      <c r="N184" s="142"/>
      <c r="O184" s="142"/>
      <c r="P184" s="237"/>
      <c r="Q184" s="238"/>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4"/>
    </row>
    <row r="185" ht="12.95" customHeight="1" hidden="1">
      <c r="A185" s="28"/>
      <c r="B185" s="13"/>
      <c r="C185" s="13"/>
      <c r="D185" s="13"/>
      <c r="E185" s="13"/>
      <c r="F185" s="13"/>
      <c r="G185" s="13"/>
      <c r="H185" s="13"/>
      <c r="I185" s="13"/>
      <c r="J185" s="13"/>
      <c r="K185" s="13"/>
      <c r="L185" s="1039"/>
      <c r="M185" s="142"/>
      <c r="N185" s="142"/>
      <c r="O185" s="142"/>
      <c r="P185" s="237"/>
      <c r="Q185" s="238"/>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4"/>
    </row>
    <row r="186" ht="12.95" customHeight="1" hidden="1">
      <c r="A186" t="s" s="853">
        <v>823</v>
      </c>
      <c r="B186" t="s" s="854">
        <f>B$21</f>
        <v>871</v>
      </c>
      <c r="C186" s="13"/>
      <c r="D186" s="13"/>
      <c r="E186" s="13"/>
      <c r="F186" s="13"/>
      <c r="G186" s="13"/>
      <c r="H186" s="13"/>
      <c r="I186" s="13"/>
      <c r="J186" s="855"/>
      <c r="K186" s="13"/>
      <c r="L186" s="1039"/>
      <c r="M186" s="142"/>
      <c r="N186" s="142"/>
      <c r="O186" s="142"/>
      <c r="P186" s="237"/>
      <c r="Q186" s="238"/>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4"/>
    </row>
    <row r="187" ht="12.95" customHeight="1" hidden="1">
      <c r="A187" s="28"/>
      <c r="B187" s="13"/>
      <c r="C187" s="13"/>
      <c r="D187" s="13"/>
      <c r="E187" s="13"/>
      <c r="F187" s="13"/>
      <c r="G187" s="13"/>
      <c r="H187" s="13"/>
      <c r="I187" s="13"/>
      <c r="J187" s="13"/>
      <c r="K187" s="13"/>
      <c r="L187" s="1039"/>
      <c r="M187" s="142"/>
      <c r="N187" s="142"/>
      <c r="O187" s="142"/>
      <c r="P187" s="237"/>
      <c r="Q187" s="238"/>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4"/>
    </row>
    <row r="188" ht="24.95" customHeight="1" hidden="1">
      <c r="A188" t="s" s="777">
        <f>IF(AND(L188=FALSE,L194=FALSE),IF('Adatlap'!$L$1="Magyar","Jelölje be!","Please, check!"),"")</f>
        <v>399</v>
      </c>
      <c r="B188" t="s" s="710">
        <f>B$23</f>
        <v>872</v>
      </c>
      <c r="C188" s="13"/>
      <c r="D188" s="13"/>
      <c r="E188" s="13"/>
      <c r="F188" s="13"/>
      <c r="G188" s="13"/>
      <c r="H188" s="13"/>
      <c r="I188" s="13"/>
      <c r="J188" s="96"/>
      <c r="K188" s="13"/>
      <c r="L188" t="b" s="1042">
        <v>0</v>
      </c>
      <c r="M188" s="142"/>
      <c r="N188" s="142"/>
      <c r="O188" s="142"/>
      <c r="P188" s="237"/>
      <c r="Q188" s="238"/>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4"/>
    </row>
    <row r="189" ht="12.95" customHeight="1" hidden="1">
      <c r="A189" s="28"/>
      <c r="B189" s="13"/>
      <c r="C189" s="1021"/>
      <c r="D189" s="1021"/>
      <c r="E189" s="1021"/>
      <c r="F189" s="1021"/>
      <c r="G189" s="1021"/>
      <c r="H189" s="1021"/>
      <c r="I189" s="1021"/>
      <c r="J189" s="1021"/>
      <c r="K189" s="13"/>
      <c r="L189" s="1039"/>
      <c r="M189" s="142"/>
      <c r="N189" s="142"/>
      <c r="O189" s="142"/>
      <c r="P189" s="237"/>
      <c r="Q189" s="238"/>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4"/>
    </row>
    <row r="190" ht="24.95" customHeight="1" hidden="1">
      <c r="A190" s="28"/>
      <c r="B190" t="s" s="897">
        <f>IF(AND($L$188=TRUE,L190=FALSE),IF('Adatlap'!$L$1="Magyar","Jelölje be!","Please, check!"),"")</f>
      </c>
      <c r="C190" t="s" s="900">
        <f>C$25</f>
        <v>873</v>
      </c>
      <c r="D190" s="13"/>
      <c r="E190" s="13"/>
      <c r="F190" s="13"/>
      <c r="G190" s="13"/>
      <c r="H190" s="13"/>
      <c r="I190" s="13"/>
      <c r="J190" s="153"/>
      <c r="K190" s="13"/>
      <c r="L190" t="b" s="1042">
        <v>0</v>
      </c>
      <c r="M190" s="142"/>
      <c r="N190" s="142"/>
      <c r="O190" s="142"/>
      <c r="P190" s="237"/>
      <c r="Q190" s="238"/>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4"/>
    </row>
    <row r="191" ht="8.1" customHeight="1" hidden="1">
      <c r="A191" s="28"/>
      <c r="B191" s="13"/>
      <c r="C191" s="13"/>
      <c r="D191" s="13"/>
      <c r="E191" s="13"/>
      <c r="F191" s="13"/>
      <c r="G191" s="13"/>
      <c r="H191" s="13"/>
      <c r="I191" s="13"/>
      <c r="J191" s="13"/>
      <c r="K191" s="13"/>
      <c r="L191" s="1039"/>
      <c r="M191" s="142"/>
      <c r="N191" s="142"/>
      <c r="O191" s="142"/>
      <c r="P191" s="237"/>
      <c r="Q191" s="238"/>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4"/>
    </row>
    <row r="192" ht="24.95" customHeight="1" hidden="1">
      <c r="A192" s="28"/>
      <c r="B192" t="s" s="897">
        <f>IF(AND($L$188=TRUE,L192=FALSE),IF('Adatlap'!$L$1="Magyar","Jelölje be!","Please, check!"),"")</f>
      </c>
      <c r="C192" t="s" s="1002">
        <f>C$27</f>
        <v>874</v>
      </c>
      <c r="D192" s="714"/>
      <c r="E192" s="714"/>
      <c r="F192" s="714"/>
      <c r="G192" s="714"/>
      <c r="H192" s="714"/>
      <c r="I192" s="714"/>
      <c r="J192" s="714"/>
      <c r="K192" s="13"/>
      <c r="L192" t="b" s="1042">
        <v>0</v>
      </c>
      <c r="M192" s="142"/>
      <c r="N192" s="142"/>
      <c r="O192" s="142"/>
      <c r="P192" s="237"/>
      <c r="Q192" s="238"/>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4"/>
    </row>
    <row r="193" ht="8.1" customHeight="1" hidden="1">
      <c r="A193" s="28"/>
      <c r="B193" s="13"/>
      <c r="C193" s="13"/>
      <c r="D193" s="13"/>
      <c r="E193" s="13"/>
      <c r="F193" s="13"/>
      <c r="G193" s="13"/>
      <c r="H193" s="13"/>
      <c r="I193" s="13"/>
      <c r="J193" s="13"/>
      <c r="K193" s="13"/>
      <c r="L193" s="1039"/>
      <c r="M193" s="142"/>
      <c r="N193" s="142"/>
      <c r="O193" s="142"/>
      <c r="P193" s="237"/>
      <c r="Q193" s="238"/>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4"/>
    </row>
    <row r="194" ht="25.5" customHeight="1">
      <c r="A194" t="s" s="777">
        <f>IF(AND(L188=FALSE,L194=FALSE),IF('Adatlap'!$L$1="Magyar","Jelölje be!","Please, check!"),"")</f>
        <v>399</v>
      </c>
      <c r="B194" t="s" s="710">
        <f>B$29</f>
        <v>875</v>
      </c>
      <c r="C194" s="17"/>
      <c r="D194" s="17"/>
      <c r="E194" s="17"/>
      <c r="F194" s="17"/>
      <c r="G194" s="17"/>
      <c r="H194" s="17"/>
      <c r="I194" s="17"/>
      <c r="J194" s="96"/>
      <c r="K194" s="13"/>
      <c r="L194" t="b" s="1042">
        <v>0</v>
      </c>
      <c r="M194" s="142"/>
      <c r="N194" s="142"/>
      <c r="O194" s="142"/>
      <c r="P194" s="236"/>
      <c r="Q194" s="238"/>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4"/>
    </row>
    <row r="195" ht="15.75" customHeight="1">
      <c r="A195" s="1113"/>
      <c r="B195" s="13"/>
      <c r="C195" s="9"/>
      <c r="D195" s="9"/>
      <c r="E195" s="9"/>
      <c r="F195" s="9"/>
      <c r="G195" s="9"/>
      <c r="H195" s="9"/>
      <c r="I195" s="9"/>
      <c r="J195" s="96"/>
      <c r="K195" s="13"/>
      <c r="L195" s="1039"/>
      <c r="M195" s="142"/>
      <c r="N195" s="142"/>
      <c r="O195" s="142"/>
      <c r="P195" s="236"/>
      <c r="Q195" s="238"/>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4"/>
    </row>
    <row r="196" ht="12.95" customHeight="1" hidden="1">
      <c r="A196" s="28"/>
      <c r="B196" s="96"/>
      <c r="C196" s="96"/>
      <c r="D196" s="96"/>
      <c r="E196" s="96"/>
      <c r="F196" s="96"/>
      <c r="G196" s="96"/>
      <c r="H196" s="96"/>
      <c r="I196" s="96"/>
      <c r="J196" s="96"/>
      <c r="K196" s="13"/>
      <c r="L196" s="1039"/>
      <c r="M196" s="142"/>
      <c r="N196" s="142"/>
      <c r="O196" s="142"/>
      <c r="P196" s="237"/>
      <c r="Q196" s="238"/>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4"/>
    </row>
    <row r="197" ht="12.95" customHeight="1">
      <c r="A197" t="s" s="853">
        <f>A$32</f>
        <v>559</v>
      </c>
      <c r="B197" t="s" s="1087">
        <f>B$32</f>
        <v>876</v>
      </c>
      <c r="C197" s="1088"/>
      <c r="D197" s="1088"/>
      <c r="E197" s="1088"/>
      <c r="F197" s="1088"/>
      <c r="G197" s="1088"/>
      <c r="H197" s="1088"/>
      <c r="I197" s="1088"/>
      <c r="J197" s="1088"/>
      <c r="K197" s="13"/>
      <c r="L197" s="1039"/>
      <c r="M197" s="142"/>
      <c r="N197" s="142"/>
      <c r="O197" s="142"/>
      <c r="P197" s="236"/>
      <c r="Q197" s="238"/>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4"/>
    </row>
    <row r="198" ht="12.95" customHeight="1">
      <c r="A198" s="28"/>
      <c r="B198" s="96"/>
      <c r="C198" s="96"/>
      <c r="D198" s="96"/>
      <c r="E198" s="96"/>
      <c r="F198" s="96"/>
      <c r="G198" s="96"/>
      <c r="H198" s="96"/>
      <c r="I198" s="96"/>
      <c r="J198" s="96"/>
      <c r="K198" s="13"/>
      <c r="L198" s="1039"/>
      <c r="M198" s="142"/>
      <c r="N198" s="142"/>
      <c r="O198" s="142"/>
      <c r="P198" s="236"/>
      <c r="Q198" s="238"/>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4"/>
    </row>
    <row r="199" ht="27.95" customHeight="1">
      <c r="A199" t="s" s="777">
        <v>399</v>
      </c>
      <c r="B199" t="s" s="900">
        <f>B$34</f>
        <v>830</v>
      </c>
      <c r="C199" s="13"/>
      <c r="D199" s="13"/>
      <c r="E199" s="13"/>
      <c r="F199" s="13"/>
      <c r="G199" s="13"/>
      <c r="H199" s="13"/>
      <c r="I199" s="13"/>
      <c r="J199" s="153"/>
      <c r="K199" s="13"/>
      <c r="L199" t="b" s="1042">
        <v>0</v>
      </c>
      <c r="M199" s="142"/>
      <c r="N199" s="142"/>
      <c r="O199" t="s" s="1050">
        <f>IF(AND(L194=TRUE,L199=FALSE,L204=FALSE),IF('Adatlap'!$L$1="Magyar","Jelölje be!","Please, check!"),"")</f>
      </c>
      <c r="P199" t="s" s="365">
        <f>IF(AND(L199=FALSE,L204=FALSE),IF('Adatlap'!$L$1="Magyar","Jelölje be!","Please, check!"),"")</f>
        <v>399</v>
      </c>
      <c r="Q199" s="1051">
        <f>IF(AND(L194=TRUE,L199=FALSE,L204=FALSE),1,0)</f>
        <v>0</v>
      </c>
      <c r="R199" s="34">
        <f>IF(AND(L199=FALSE,L204=FALSE),1,0)</f>
        <v>1</v>
      </c>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4"/>
    </row>
    <row r="200" ht="8.1" customHeight="1">
      <c r="A200" s="928"/>
      <c r="B200" s="153"/>
      <c r="C200" s="153"/>
      <c r="D200" s="153"/>
      <c r="E200" s="153"/>
      <c r="F200" s="153"/>
      <c r="G200" s="153"/>
      <c r="H200" s="153"/>
      <c r="I200" s="153"/>
      <c r="J200" s="153"/>
      <c r="K200" s="13"/>
      <c r="L200" s="1039"/>
      <c r="M200" s="142"/>
      <c r="N200" s="142"/>
      <c r="O200" s="142"/>
      <c r="P200" s="236"/>
      <c r="Q200" s="238"/>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4"/>
    </row>
    <row r="201" ht="12.95" customHeight="1">
      <c r="A201" s="928"/>
      <c r="B201" t="s" s="758">
        <f>B$36</f>
        <v>831</v>
      </c>
      <c r="C201" s="13"/>
      <c r="D201" s="13"/>
      <c r="E201" s="13"/>
      <c r="F201" s="13"/>
      <c r="G201" s="13"/>
      <c r="H201" s="13"/>
      <c r="I201" s="13"/>
      <c r="J201" s="13"/>
      <c r="K201" s="13"/>
      <c r="L201" s="1039"/>
      <c r="M201" s="142"/>
      <c r="N201" s="142"/>
      <c r="O201" s="142"/>
      <c r="P201" s="236"/>
      <c r="Q201" s="238"/>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4"/>
    </row>
    <row r="202" ht="24.95" customHeight="1">
      <c r="A202" s="928"/>
      <c r="B202" t="s" s="897">
        <f>IF(AND(L199=TRUE,L202=FALSE,L203=FALSE),IF('Adatlap'!$L$1="Magyar","Jelölje be!","Please, check!"),"")</f>
      </c>
      <c r="C202" t="s" s="758">
        <f>C$37</f>
        <v>832</v>
      </c>
      <c r="D202" s="494"/>
      <c r="E202" s="494"/>
      <c r="F202" s="494"/>
      <c r="G202" s="494"/>
      <c r="H202" s="494"/>
      <c r="I202" s="494"/>
      <c r="J202" s="494"/>
      <c r="K202" s="13"/>
      <c r="L202" t="b" s="1042">
        <v>0</v>
      </c>
      <c r="M202" s="142"/>
      <c r="N202" s="142"/>
      <c r="O202" s="142"/>
      <c r="P202" s="236"/>
      <c r="Q202" s="238"/>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4"/>
    </row>
    <row r="203" ht="24.95" customHeight="1">
      <c r="A203" s="28"/>
      <c r="B203" t="s" s="897">
        <f>IF(AND($L$199=TRUE,L202=FALSE,L203=FALSE),IF('Adatlap'!$L$1="Magyar","Jelölje be!","Please, check!"),"")</f>
      </c>
      <c r="C203" t="s" s="491">
        <f>C$38</f>
        <v>833</v>
      </c>
      <c r="D203" s="175"/>
      <c r="E203" s="175"/>
      <c r="F203" s="175"/>
      <c r="G203" s="175"/>
      <c r="H203" s="175"/>
      <c r="I203" s="175"/>
      <c r="J203" s="175"/>
      <c r="K203" s="13"/>
      <c r="L203" t="b" s="1042">
        <v>0</v>
      </c>
      <c r="M203" s="142"/>
      <c r="N203" s="142"/>
      <c r="O203" s="142"/>
      <c r="P203" s="236"/>
      <c r="Q203" s="238"/>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4"/>
    </row>
    <row r="204" ht="24.95" customHeight="1">
      <c r="A204" t="s" s="777">
        <v>399</v>
      </c>
      <c r="B204" t="s" s="710">
        <f>B39</f>
        <v>834</v>
      </c>
      <c r="C204" s="13"/>
      <c r="D204" s="13"/>
      <c r="E204" s="13"/>
      <c r="F204" s="13"/>
      <c r="G204" s="13"/>
      <c r="H204" s="13"/>
      <c r="I204" s="13"/>
      <c r="J204" s="96"/>
      <c r="K204" s="13"/>
      <c r="L204" t="b" s="1042">
        <v>0</v>
      </c>
      <c r="M204" s="142"/>
      <c r="N204" s="142"/>
      <c r="O204" s="142"/>
      <c r="P204" s="236"/>
      <c r="Q204" s="238"/>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4"/>
    </row>
    <row r="205" ht="24.95" customHeight="1">
      <c r="A205" s="928"/>
      <c r="B205" t="s" s="758">
        <f>B$40</f>
        <v>831</v>
      </c>
      <c r="C205" s="13"/>
      <c r="D205" s="13"/>
      <c r="E205" s="13"/>
      <c r="F205" s="13"/>
      <c r="G205" s="13"/>
      <c r="H205" s="13"/>
      <c r="I205" s="13"/>
      <c r="J205" s="13"/>
      <c r="K205" s="13"/>
      <c r="L205" s="1039"/>
      <c r="M205" s="142"/>
      <c r="N205" s="142"/>
      <c r="O205" s="142"/>
      <c r="P205" s="236"/>
      <c r="Q205" s="238"/>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4"/>
    </row>
    <row r="206" ht="24.95" customHeight="1">
      <c r="A206" s="928"/>
      <c r="B206" t="s" s="897">
        <f>IF(AND(L204=TRUE,L206=FALSE,L207=FALSE),IF('Adatlap'!$L$1="Magyar","Jelölje be!","Please, check!"),"")</f>
      </c>
      <c r="C206" t="s" s="758">
        <f>C$41</f>
        <v>832</v>
      </c>
      <c r="D206" s="153"/>
      <c r="E206" s="153"/>
      <c r="F206" s="153"/>
      <c r="G206" s="153"/>
      <c r="H206" s="153"/>
      <c r="I206" s="153"/>
      <c r="J206" s="153"/>
      <c r="K206" s="13"/>
      <c r="L206" t="b" s="1042">
        <v>0</v>
      </c>
      <c r="M206" s="142"/>
      <c r="N206" s="142"/>
      <c r="O206" s="142"/>
      <c r="P206" s="236"/>
      <c r="Q206" s="238"/>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4"/>
    </row>
    <row r="207" ht="24.95" customHeight="1">
      <c r="A207" s="28"/>
      <c r="B207" t="s" s="897">
        <f>IF(AND(L204=TRUE,L206=FALSE,L207=FALSE),IF('Adatlap'!$L$1="Magyar","Jelölje be!","Please, check!"),"")</f>
      </c>
      <c r="C207" t="s" s="758">
        <f>C$42</f>
        <v>833</v>
      </c>
      <c r="D207" s="96"/>
      <c r="E207" s="799"/>
      <c r="F207" s="799"/>
      <c r="G207" s="799"/>
      <c r="H207" s="799"/>
      <c r="I207" s="799"/>
      <c r="J207" s="799"/>
      <c r="K207" s="13"/>
      <c r="L207" t="b" s="1042">
        <v>0</v>
      </c>
      <c r="M207" s="142"/>
      <c r="N207" s="142"/>
      <c r="O207" s="142"/>
      <c r="P207" s="236"/>
      <c r="Q207" s="238"/>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4"/>
    </row>
    <row r="208" ht="12.95" customHeight="1">
      <c r="A208" s="928"/>
      <c r="B208" s="153"/>
      <c r="C208" s="153"/>
      <c r="D208" s="153"/>
      <c r="E208" s="153"/>
      <c r="F208" s="153"/>
      <c r="G208" s="153"/>
      <c r="H208" s="153"/>
      <c r="I208" s="153"/>
      <c r="J208" s="153"/>
      <c r="K208" s="13"/>
      <c r="L208" s="1039"/>
      <c r="M208" s="142"/>
      <c r="N208" s="142"/>
      <c r="O208" s="142"/>
      <c r="P208" s="236"/>
      <c r="Q208" s="238"/>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4"/>
    </row>
    <row r="209" ht="24" customHeight="1">
      <c r="A209" s="28"/>
      <c r="B209" t="s" s="897">
        <f>IF(AND(L204=TRUE,L209=FALSE),IF('Adatlap'!$L$1="Magyar","Jelölje be!","Please, check!"),"")</f>
      </c>
      <c r="C209" t="s" s="900">
        <f>C$44</f>
        <v>877</v>
      </c>
      <c r="D209" s="13"/>
      <c r="E209" s="13"/>
      <c r="F209" s="13"/>
      <c r="G209" s="13"/>
      <c r="H209" s="13"/>
      <c r="I209" s="13"/>
      <c r="J209" s="153"/>
      <c r="K209" s="13"/>
      <c r="L209" t="b" s="1042">
        <v>0</v>
      </c>
      <c r="M209" s="142"/>
      <c r="N209" s="142"/>
      <c r="O209" s="1060"/>
      <c r="P209" s="1061"/>
      <c r="Q209" s="1062"/>
      <c r="R209" s="1063"/>
      <c r="S209" s="1063"/>
      <c r="T209" s="1063"/>
      <c r="U209" s="1063"/>
      <c r="V209" s="106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4"/>
    </row>
    <row r="210" ht="12" customHeight="1">
      <c r="A210" s="28"/>
      <c r="B210" s="1057"/>
      <c r="C210" s="1058"/>
      <c r="D210" s="1059"/>
      <c r="E210" s="39"/>
      <c r="F210" s="39"/>
      <c r="G210" s="39"/>
      <c r="H210" s="39"/>
      <c r="I210" s="39"/>
      <c r="J210" s="13"/>
      <c r="K210" s="13"/>
      <c r="L210" s="1039"/>
      <c r="M210" s="142"/>
      <c r="N210" s="142"/>
      <c r="O210" s="1060"/>
      <c r="P210" s="1061"/>
      <c r="Q210" s="1062"/>
      <c r="R210" s="1063"/>
      <c r="S210" s="1063"/>
      <c r="T210" s="1063"/>
      <c r="U210" s="1063"/>
      <c r="V210" s="106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4"/>
    </row>
    <row r="211" ht="12.95" customHeight="1">
      <c r="A211" s="28"/>
      <c r="B211" t="s" s="1091">
        <f>B$46</f>
        <v>883</v>
      </c>
      <c r="C211" s="1092"/>
      <c r="D211" s="1093"/>
      <c r="E211" s="1094"/>
      <c r="F211" t="s" s="1066">
        <f>F$46</f>
        <v>884</v>
      </c>
      <c r="G211" s="1095"/>
      <c r="H211" t="s" s="1066">
        <f>H$46</f>
        <v>885</v>
      </c>
      <c r="I211" s="1095"/>
      <c r="J211" s="1068"/>
      <c r="K211" s="13"/>
      <c r="L211" s="1039"/>
      <c r="M211" s="142"/>
      <c r="N211" s="142"/>
      <c r="O211" s="1060"/>
      <c r="P211" s="1061"/>
      <c r="Q211" s="1062"/>
      <c r="R211" s="1063"/>
      <c r="S211" s="1063"/>
      <c r="T211" s="1063"/>
      <c r="U211" s="1063"/>
      <c r="V211" s="106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4"/>
    </row>
    <row r="212" ht="12.95" customHeight="1">
      <c r="A212" s="28"/>
      <c r="B212" s="68"/>
      <c r="C212" s="1096"/>
      <c r="D212" s="1096"/>
      <c r="E212" s="1097"/>
      <c r="F212" t="s" s="1069">
        <f>F$47</f>
        <v>848</v>
      </c>
      <c r="G212" s="1098"/>
      <c r="H212" t="s" s="1069">
        <f>H$47</f>
        <v>848</v>
      </c>
      <c r="I212" s="1098"/>
      <c r="J212" s="1068"/>
      <c r="K212" s="13"/>
      <c r="L212" s="1039"/>
      <c r="M212" s="142"/>
      <c r="N212" s="142"/>
      <c r="O212" s="1060"/>
      <c r="P212" s="1061"/>
      <c r="Q212" s="1062"/>
      <c r="R212" s="1063"/>
      <c r="S212" s="1063"/>
      <c r="T212" s="1063"/>
      <c r="U212" s="1063"/>
      <c r="V212" s="106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4"/>
    </row>
    <row r="213" ht="27" customHeight="1">
      <c r="A213" s="28"/>
      <c r="B213" t="s" s="1100">
        <f>B48</f>
        <v>614</v>
      </c>
      <c r="C213" s="849"/>
      <c r="D213" s="849"/>
      <c r="E213" s="849"/>
      <c r="F213" s="1072">
        <f>'Kiszerelés 1-4'!M42</f>
        <v>0</v>
      </c>
      <c r="G213" s="1101"/>
      <c r="H213" s="286">
        <f>'Kiszerelés 1-4'!M43</f>
      </c>
      <c r="I213" s="1101"/>
      <c r="J213" s="72"/>
      <c r="K213" s="13"/>
      <c r="L213" s="1039"/>
      <c r="M213" s="142"/>
      <c r="N213" s="142"/>
      <c r="O213" s="142"/>
      <c r="P213" s="236"/>
      <c r="Q213" s="237"/>
      <c r="R213" s="483"/>
      <c r="S213" s="483"/>
      <c r="T213" s="483"/>
      <c r="U213" s="483"/>
      <c r="V213" s="28"/>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4"/>
    </row>
    <row r="214" ht="12.95" customHeight="1">
      <c r="A214" s="28"/>
      <c r="B214" s="1073"/>
      <c r="C214" s="93"/>
      <c r="D214" s="882"/>
      <c r="E214" s="69"/>
      <c r="F214" s="69"/>
      <c r="G214" s="69"/>
      <c r="H214" s="69"/>
      <c r="I214" s="69"/>
      <c r="J214" s="13"/>
      <c r="K214" s="13"/>
      <c r="L214" s="1039"/>
      <c r="M214" s="142"/>
      <c r="N214" s="142"/>
      <c r="O214" s="1108"/>
      <c r="P214" s="1109"/>
      <c r="Q214" s="1114"/>
      <c r="R214" s="156"/>
      <c r="S214" s="156"/>
      <c r="T214" s="156"/>
      <c r="U214" s="156"/>
      <c r="V214" s="156"/>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4"/>
    </row>
    <row r="215" ht="21.95" customHeight="1">
      <c r="A215" s="28"/>
      <c r="B215" t="s" s="897">
        <f>IF(AND($L$204=TRUE,L215=FALSE),IF('Adatlap'!$L$1="Magyar","Jelölje be!","Please, check!"),"")</f>
      </c>
      <c r="C215" t="s" s="710">
        <f>C$50</f>
        <v>886</v>
      </c>
      <c r="D215" s="13"/>
      <c r="E215" s="13"/>
      <c r="F215" s="13"/>
      <c r="G215" s="13"/>
      <c r="H215" s="13"/>
      <c r="I215" s="13"/>
      <c r="J215" s="96"/>
      <c r="K215" s="13"/>
      <c r="L215" t="b" s="1042">
        <v>0</v>
      </c>
      <c r="M215" s="142"/>
      <c r="N215" s="142"/>
      <c r="O215" s="142"/>
      <c r="P215" s="236"/>
      <c r="Q215" s="238"/>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4"/>
    </row>
    <row r="216" ht="26.1" customHeight="1">
      <c r="A216" t="s" s="853">
        <f>A$51</f>
        <v>629</v>
      </c>
      <c r="B216" t="s" s="1077">
        <f>B$51</f>
        <v>887</v>
      </c>
      <c r="C216" s="185"/>
      <c r="D216" s="185"/>
      <c r="E216" s="185"/>
      <c r="F216" s="185"/>
      <c r="G216" s="185"/>
      <c r="H216" s="185"/>
      <c r="I216" s="185"/>
      <c r="J216" s="13"/>
      <c r="K216" s="13"/>
      <c r="L216" s="1039"/>
      <c r="M216" s="142"/>
      <c r="N216" s="142"/>
      <c r="O216" s="142"/>
      <c r="P216" s="236"/>
      <c r="Q216" s="238"/>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4"/>
    </row>
    <row r="217" ht="12.95" customHeight="1">
      <c r="A217" s="28"/>
      <c r="B217" s="937"/>
      <c r="C217" s="494"/>
      <c r="D217" s="153"/>
      <c r="E217" s="13"/>
      <c r="F217" s="13"/>
      <c r="G217" s="13"/>
      <c r="H217" s="13"/>
      <c r="I217" s="13"/>
      <c r="J217" s="13"/>
      <c r="K217" s="13"/>
      <c r="L217" s="1039"/>
      <c r="M217" s="142"/>
      <c r="N217" s="142"/>
      <c r="O217" s="142"/>
      <c r="P217" s="236"/>
      <c r="Q217" s="238"/>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4"/>
    </row>
    <row r="218" ht="12.95" customHeight="1">
      <c r="A218" t="s" s="1078">
        <f>IF(AND($L$194=TRUE,L218=FALSE),IF('Adatlap'!$L$1="Magyar","Jelölje be!","Please, check!"),"")</f>
      </c>
      <c r="B218" t="s" s="900">
        <f>B$53</f>
        <v>888</v>
      </c>
      <c r="C218" s="13"/>
      <c r="D218" s="13"/>
      <c r="E218" s="13"/>
      <c r="F218" s="13"/>
      <c r="G218" s="13"/>
      <c r="H218" s="13"/>
      <c r="I218" s="13"/>
      <c r="J218" s="153"/>
      <c r="K218" s="13"/>
      <c r="L218" t="b" s="1042">
        <v>0</v>
      </c>
      <c r="M218" s="142"/>
      <c r="N218" s="142"/>
      <c r="O218" s="142"/>
      <c r="P218" s="236"/>
      <c r="Q218" s="238"/>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4"/>
    </row>
    <row r="219" ht="12.95" customHeight="1">
      <c r="A219" s="13"/>
      <c r="B219" s="39"/>
      <c r="C219" s="39"/>
      <c r="D219" s="39"/>
      <c r="E219" s="39"/>
      <c r="F219" s="39"/>
      <c r="G219" s="39"/>
      <c r="H219" s="39"/>
      <c r="I219" s="39"/>
      <c r="J219" s="13"/>
      <c r="K219" s="13"/>
      <c r="L219" s="1039"/>
      <c r="M219" s="142"/>
      <c r="N219" s="142"/>
      <c r="O219" s="142"/>
      <c r="P219" s="236"/>
      <c r="Q219" s="238"/>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4"/>
    </row>
    <row r="220" ht="24.95" customHeight="1">
      <c r="A220" s="1065"/>
      <c r="B220" t="s" s="1080">
        <f>B$55</f>
        <v>857</v>
      </c>
      <c r="C220" s="1095"/>
      <c r="D220" s="1105">
        <f>'Kiszerelés 1-4'!K47</f>
        <v>0</v>
      </c>
      <c r="E220" s="1092"/>
      <c r="F220" s="1093"/>
      <c r="G220" s="1093"/>
      <c r="H220" s="1093"/>
      <c r="I220" s="1094"/>
      <c r="J220" s="72"/>
      <c r="K220" s="13"/>
      <c r="L220" s="1039"/>
      <c r="M220" s="142"/>
      <c r="N220" s="142"/>
      <c r="O220" s="142"/>
      <c r="P220" s="236"/>
      <c r="Q220" s="238"/>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4"/>
    </row>
    <row r="221" ht="24.95" customHeight="1">
      <c r="A221" s="1065"/>
      <c r="B221" t="s" s="1080">
        <f>B$56</f>
        <v>858</v>
      </c>
      <c r="C221" s="1098"/>
      <c r="D221" s="1105">
        <f>'Kiszerelés 1-4'!K48</f>
        <v>0</v>
      </c>
      <c r="E221" s="1115"/>
      <c r="F221" s="226"/>
      <c r="G221" s="226"/>
      <c r="H221" s="226"/>
      <c r="I221" s="1116"/>
      <c r="J221" s="72"/>
      <c r="K221" s="13"/>
      <c r="L221" s="1039"/>
      <c r="M221" s="142"/>
      <c r="N221" s="142"/>
      <c r="O221" s="142"/>
      <c r="P221" s="236"/>
      <c r="Q221" s="238"/>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4"/>
    </row>
    <row r="222" ht="24.95" customHeight="1">
      <c r="A222" s="1065"/>
      <c r="B222" t="s" s="1080">
        <f>B$57</f>
        <v>859</v>
      </c>
      <c r="C222" s="1098"/>
      <c r="D222" s="1105">
        <f>'Kiszerelés 1-4'!K49</f>
        <v>0</v>
      </c>
      <c r="E222" s="1115"/>
      <c r="F222" s="226"/>
      <c r="G222" s="226"/>
      <c r="H222" s="226"/>
      <c r="I222" s="1116"/>
      <c r="J222" s="72"/>
      <c r="K222" s="13"/>
      <c r="L222" s="1039"/>
      <c r="M222" s="142"/>
      <c r="N222" s="142"/>
      <c r="O222" s="142"/>
      <c r="P222" s="236"/>
      <c r="Q222" s="238"/>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4"/>
    </row>
    <row r="223" ht="24.95" customHeight="1">
      <c r="A223" s="1065"/>
      <c r="B223" t="s" s="1080">
        <f>B$58</f>
        <v>860</v>
      </c>
      <c r="C223" s="1098"/>
      <c r="D223" s="1105">
        <f>'Kiszerelés 1-4'!K50</f>
        <v>0</v>
      </c>
      <c r="E223" s="1117"/>
      <c r="F223" s="1096"/>
      <c r="G223" s="1096"/>
      <c r="H223" s="1096"/>
      <c r="I223" s="1097"/>
      <c r="J223" s="72"/>
      <c r="K223" s="13"/>
      <c r="L223" s="1039"/>
      <c r="M223" s="142"/>
      <c r="N223" s="142"/>
      <c r="O223" s="142"/>
      <c r="P223" s="236"/>
      <c r="Q223" s="238"/>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4"/>
    </row>
    <row r="224" ht="24.95" customHeight="1">
      <c r="A224" s="1065"/>
      <c r="B224" t="s" s="1080">
        <f>B$59</f>
        <v>889</v>
      </c>
      <c r="C224" s="1101"/>
      <c r="D224" s="1082"/>
      <c r="E224" s="1082"/>
      <c r="F224" s="1082"/>
      <c r="G224" s="1082"/>
      <c r="H224" s="1082"/>
      <c r="I224" s="1082"/>
      <c r="J224" s="72"/>
      <c r="K224" s="13"/>
      <c r="L224" s="1039"/>
      <c r="M224" s="142"/>
      <c r="N224" s="142"/>
      <c r="O224" s="142"/>
      <c r="P224" s="236"/>
      <c r="Q224" s="238"/>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4"/>
    </row>
    <row r="225" ht="12.95" customHeight="1">
      <c r="A225" s="28"/>
      <c r="B225" s="69"/>
      <c r="C225" s="69"/>
      <c r="D225" s="69"/>
      <c r="E225" s="69"/>
      <c r="F225" s="69"/>
      <c r="G225" s="69"/>
      <c r="H225" s="69"/>
      <c r="I225" s="69"/>
      <c r="J225" s="13"/>
      <c r="K225" s="13"/>
      <c r="L225" s="1039"/>
      <c r="M225" s="142"/>
      <c r="N225" s="142"/>
      <c r="O225" s="142"/>
      <c r="P225" s="236"/>
      <c r="Q225" s="238"/>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4"/>
    </row>
    <row r="226" ht="24.95" customHeight="1">
      <c r="A226" s="28"/>
      <c r="B226" t="s" s="897">
        <f>IF(AND(L226=FALSE,L218=TRUE),IF('Adatlap'!$L$1="Magyar","Jelölje be!","Please, check!"),"")</f>
      </c>
      <c r="C226" t="s" s="710">
        <f>C$61</f>
        <v>890</v>
      </c>
      <c r="D226" s="96"/>
      <c r="E226" s="96"/>
      <c r="F226" s="96"/>
      <c r="G226" s="96"/>
      <c r="H226" s="96"/>
      <c r="I226" s="96"/>
      <c r="J226" s="96"/>
      <c r="K226" s="13"/>
      <c r="L226" t="b" s="1042">
        <v>0</v>
      </c>
      <c r="M226" s="142"/>
      <c r="N226" s="142"/>
      <c r="O226" s="142"/>
      <c r="P226" s="236"/>
      <c r="Q226" s="238"/>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4"/>
    </row>
    <row r="227" ht="18" customHeight="1">
      <c r="A227" s="28"/>
      <c r="B227" s="13"/>
      <c r="C227" s="13"/>
      <c r="D227" s="13"/>
      <c r="E227" s="13"/>
      <c r="F227" s="13"/>
      <c r="G227" s="13"/>
      <c r="H227" s="13"/>
      <c r="I227" s="13"/>
      <c r="J227" s="13"/>
      <c r="K227" s="13"/>
      <c r="L227" s="1039"/>
      <c r="M227" s="142"/>
      <c r="N227" s="142"/>
      <c r="O227" s="142"/>
      <c r="P227" s="236"/>
      <c r="Q227" s="238"/>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4"/>
    </row>
    <row r="228" ht="21" customHeight="1">
      <c r="A228" t="s" s="1083">
        <f>'Kiszerelés 5-8'!C10</f>
        <v>895</v>
      </c>
      <c r="B228" s="1084"/>
      <c r="C228" s="185"/>
      <c r="D228" s="185"/>
      <c r="E228" s="185"/>
      <c r="F228" s="185"/>
      <c r="G228" s="185"/>
      <c r="H228" s="185"/>
      <c r="I228" s="185"/>
      <c r="J228" s="13"/>
      <c r="K228" s="13"/>
      <c r="L228" s="1039"/>
      <c r="M228" s="142"/>
      <c r="N228" s="142"/>
      <c r="O228" s="142"/>
      <c r="P228" s="236"/>
      <c r="Q228" s="238"/>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4"/>
    </row>
    <row r="229" ht="12.95" customHeight="1">
      <c r="A229" s="28"/>
      <c r="B229" s="13"/>
      <c r="C229" s="13"/>
      <c r="D229" s="13"/>
      <c r="E229" s="13"/>
      <c r="F229" s="13"/>
      <c r="G229" s="13"/>
      <c r="H229" s="13"/>
      <c r="I229" s="13"/>
      <c r="J229" s="13"/>
      <c r="K229" s="13"/>
      <c r="L229" s="1039"/>
      <c r="M229" s="142"/>
      <c r="N229" s="142"/>
      <c r="O229" s="142"/>
      <c r="P229" s="236"/>
      <c r="Q229" s="238"/>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4"/>
    </row>
    <row r="230" ht="12.95" customHeight="1" hidden="1">
      <c r="A230" t="s" s="853">
        <f>A$10</f>
        <v>559</v>
      </c>
      <c r="B230" t="s" s="1077">
        <f>B$10</f>
        <v>864</v>
      </c>
      <c r="C230" s="185"/>
      <c r="D230" s="185"/>
      <c r="E230" s="185"/>
      <c r="F230" s="185"/>
      <c r="G230" s="185"/>
      <c r="H230" s="185"/>
      <c r="I230" s="185"/>
      <c r="J230" s="13"/>
      <c r="K230" s="13"/>
      <c r="L230" s="1039"/>
      <c r="M230" s="142"/>
      <c r="N230" s="142"/>
      <c r="O230" s="142"/>
      <c r="P230" s="237"/>
      <c r="Q230" s="238"/>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4"/>
    </row>
    <row r="231" ht="12.95" customHeight="1" hidden="1">
      <c r="A231" s="28"/>
      <c r="B231" s="13"/>
      <c r="C231" s="13"/>
      <c r="D231" s="13"/>
      <c r="E231" s="13"/>
      <c r="F231" s="13"/>
      <c r="G231" s="13"/>
      <c r="H231" s="13"/>
      <c r="I231" s="13"/>
      <c r="J231" s="13"/>
      <c r="K231" s="13"/>
      <c r="L231" s="1039"/>
      <c r="M231" s="142"/>
      <c r="N231" s="142"/>
      <c r="O231" s="142"/>
      <c r="P231" s="237"/>
      <c r="Q231" s="238"/>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4"/>
    </row>
    <row r="232" ht="24.95" customHeight="1" hidden="1">
      <c r="A232" t="s" s="777">
        <f>IF(AND(L232=FALSE,L239=FALSE),IF('Adatlap'!$L$1="Magyar","Jelölje be!","Please, check!"),"")</f>
        <v>399</v>
      </c>
      <c r="B232" t="s" s="710">
        <f>B$12</f>
        <v>865</v>
      </c>
      <c r="C232" s="13"/>
      <c r="D232" s="17"/>
      <c r="E232" s="17"/>
      <c r="F232" s="17"/>
      <c r="G232" s="17"/>
      <c r="H232" s="17"/>
      <c r="I232" s="17"/>
      <c r="J232" s="96"/>
      <c r="K232" s="13"/>
      <c r="L232" t="b" s="1042">
        <v>0</v>
      </c>
      <c r="M232" s="142"/>
      <c r="N232" s="142"/>
      <c r="O232" s="142"/>
      <c r="P232" s="237"/>
      <c r="Q232" s="238"/>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4"/>
    </row>
    <row r="233" ht="24.95" customHeight="1" hidden="1">
      <c r="A233" s="28"/>
      <c r="B233" t="s" s="897">
        <f>IF(AND($L$232=TRUE,L233=FALSE),IF('Adatlap'!$L$1="Magyar","Jelölje be!","Please, check!"),"")</f>
      </c>
      <c r="C233" t="s" s="900">
        <f>C$13</f>
        <v>866</v>
      </c>
      <c r="D233" s="9"/>
      <c r="E233" s="9"/>
      <c r="F233" s="9"/>
      <c r="G233" s="9"/>
      <c r="H233" s="9"/>
      <c r="I233" s="9"/>
      <c r="J233" s="153"/>
      <c r="K233" s="13"/>
      <c r="L233" t="b" s="1042">
        <v>0</v>
      </c>
      <c r="M233" s="142"/>
      <c r="N233" s="142"/>
      <c r="O233" s="142"/>
      <c r="P233" s="237"/>
      <c r="Q233" s="238"/>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4"/>
    </row>
    <row r="234" ht="8.1" customHeight="1" hidden="1">
      <c r="A234" s="28"/>
      <c r="B234" s="13"/>
      <c r="C234" s="13"/>
      <c r="D234" s="13"/>
      <c r="E234" s="13"/>
      <c r="F234" s="13"/>
      <c r="G234" s="13"/>
      <c r="H234" s="13"/>
      <c r="I234" s="13"/>
      <c r="J234" s="13"/>
      <c r="K234" s="13"/>
      <c r="L234" s="1039"/>
      <c r="M234" s="142"/>
      <c r="N234" s="142"/>
      <c r="O234" s="142"/>
      <c r="P234" s="237"/>
      <c r="Q234" s="238"/>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4"/>
    </row>
    <row r="235" ht="24.95" customHeight="1" hidden="1">
      <c r="A235" s="28"/>
      <c r="B235" t="s" s="897">
        <f>IF(AND($L$232=TRUE,L235=FALSE),IF('Adatlap'!$L$1="Magyar","Jelölje be!","Please, check!"),"")</f>
      </c>
      <c r="C235" t="s" s="900">
        <f>C$15</f>
        <v>867</v>
      </c>
      <c r="D235" s="13"/>
      <c r="E235" s="13"/>
      <c r="F235" s="13"/>
      <c r="G235" s="13"/>
      <c r="H235" s="13"/>
      <c r="I235" s="13"/>
      <c r="J235" s="153"/>
      <c r="K235" s="13"/>
      <c r="L235" t="b" s="1042">
        <v>0</v>
      </c>
      <c r="M235" s="142"/>
      <c r="N235" s="142"/>
      <c r="O235" s="142"/>
      <c r="P235" s="237"/>
      <c r="Q235" s="238"/>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4"/>
    </row>
    <row r="236" ht="8.1" customHeight="1" hidden="1">
      <c r="A236" s="28"/>
      <c r="B236" s="13"/>
      <c r="C236" s="13"/>
      <c r="D236" s="13"/>
      <c r="E236" s="13"/>
      <c r="F236" s="13"/>
      <c r="G236" s="13"/>
      <c r="H236" s="13"/>
      <c r="I236" s="13"/>
      <c r="J236" s="13"/>
      <c r="K236" s="13"/>
      <c r="L236" s="1039"/>
      <c r="M236" s="142"/>
      <c r="N236" s="142"/>
      <c r="O236" s="142"/>
      <c r="P236" s="237"/>
      <c r="Q236" s="238"/>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4"/>
    </row>
    <row r="237" ht="24.95" customHeight="1" hidden="1">
      <c r="A237" s="28"/>
      <c r="B237" t="s" s="897">
        <f>IF(AND($L$232=TRUE,L237=FALSE),IF('Adatlap'!$L$1="Magyar","Jelölje be!","Please, check!"),"")</f>
      </c>
      <c r="C237" t="s" s="900">
        <f>C$17</f>
        <v>868</v>
      </c>
      <c r="D237" s="13"/>
      <c r="E237" s="13"/>
      <c r="F237" s="13"/>
      <c r="G237" s="13"/>
      <c r="H237" s="13"/>
      <c r="I237" s="13"/>
      <c r="J237" s="153"/>
      <c r="K237" s="13"/>
      <c r="L237" t="b" s="1042">
        <v>0</v>
      </c>
      <c r="M237" s="142"/>
      <c r="N237" s="142"/>
      <c r="O237" s="142"/>
      <c r="P237" s="237"/>
      <c r="Q237" s="238"/>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4"/>
    </row>
    <row r="238" ht="12.95" customHeight="1" hidden="1">
      <c r="A238" s="28"/>
      <c r="B238" s="13"/>
      <c r="C238" s="13"/>
      <c r="D238" s="13"/>
      <c r="E238" s="13"/>
      <c r="F238" s="13"/>
      <c r="G238" s="13"/>
      <c r="H238" s="13"/>
      <c r="I238" s="13"/>
      <c r="J238" s="13"/>
      <c r="K238" s="13"/>
      <c r="L238" s="1039"/>
      <c r="M238" s="142"/>
      <c r="N238" s="142"/>
      <c r="O238" s="142"/>
      <c r="P238" s="237"/>
      <c r="Q238" s="238"/>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4"/>
    </row>
    <row r="239" ht="24.95" customHeight="1" hidden="1">
      <c r="A239" t="s" s="777">
        <f>IF(AND(L232=FALSE,L239=FALSE),IF('Adatlap'!$L$1="Magyar","Jelölje be!","Please, check!"),"")</f>
        <v>399</v>
      </c>
      <c r="B239" t="s" s="710">
        <f>B$19</f>
        <v>869</v>
      </c>
      <c r="C239" s="13"/>
      <c r="D239" s="13"/>
      <c r="E239" s="13"/>
      <c r="F239" s="13"/>
      <c r="G239" s="13"/>
      <c r="H239" s="13"/>
      <c r="I239" s="13"/>
      <c r="J239" s="96"/>
      <c r="K239" s="13"/>
      <c r="L239" t="b" s="1042">
        <v>0</v>
      </c>
      <c r="M239" s="142"/>
      <c r="N239" s="142"/>
      <c r="O239" s="142"/>
      <c r="P239" s="237"/>
      <c r="Q239" s="238"/>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4"/>
    </row>
    <row r="240" ht="12.95" customHeight="1" hidden="1">
      <c r="A240" s="28"/>
      <c r="B240" s="13"/>
      <c r="C240" s="13"/>
      <c r="D240" s="13"/>
      <c r="E240" s="13"/>
      <c r="F240" s="13"/>
      <c r="G240" s="13"/>
      <c r="H240" s="13"/>
      <c r="I240" s="13"/>
      <c r="J240" s="13"/>
      <c r="K240" s="13"/>
      <c r="L240" s="1039"/>
      <c r="M240" s="142"/>
      <c r="N240" s="142"/>
      <c r="O240" s="142"/>
      <c r="P240" s="237"/>
      <c r="Q240" s="238"/>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4"/>
    </row>
    <row r="241" ht="12.95" customHeight="1" hidden="1">
      <c r="A241" t="s" s="853">
        <v>823</v>
      </c>
      <c r="B241" t="s" s="854">
        <f>B$21</f>
        <v>871</v>
      </c>
      <c r="C241" s="13"/>
      <c r="D241" s="13"/>
      <c r="E241" s="13"/>
      <c r="F241" s="13"/>
      <c r="G241" s="13"/>
      <c r="H241" s="13"/>
      <c r="I241" s="13"/>
      <c r="J241" s="855"/>
      <c r="K241" s="13"/>
      <c r="L241" s="1039"/>
      <c r="M241" s="142"/>
      <c r="N241" s="142"/>
      <c r="O241" s="142"/>
      <c r="P241" s="237"/>
      <c r="Q241" s="238"/>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4"/>
    </row>
    <row r="242" ht="12.95" customHeight="1" hidden="1">
      <c r="A242" s="28"/>
      <c r="B242" s="13"/>
      <c r="C242" s="13"/>
      <c r="D242" s="13"/>
      <c r="E242" s="13"/>
      <c r="F242" s="13"/>
      <c r="G242" s="13"/>
      <c r="H242" s="13"/>
      <c r="I242" s="13"/>
      <c r="J242" s="13"/>
      <c r="K242" s="13"/>
      <c r="L242" s="1039"/>
      <c r="M242" s="142"/>
      <c r="N242" s="142"/>
      <c r="O242" s="142"/>
      <c r="P242" s="237"/>
      <c r="Q242" s="238"/>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4"/>
    </row>
    <row r="243" ht="24.95" customHeight="1" hidden="1">
      <c r="A243" t="s" s="777">
        <f>IF(AND(L243=FALSE,L249=FALSE),IF('Adatlap'!$L$1="Magyar","Jelölje be!","Please, check!"),"")</f>
        <v>399</v>
      </c>
      <c r="B243" t="s" s="710">
        <f>B$23</f>
        <v>872</v>
      </c>
      <c r="C243" s="13"/>
      <c r="D243" s="13"/>
      <c r="E243" s="13"/>
      <c r="F243" s="13"/>
      <c r="G243" s="13"/>
      <c r="H243" s="13"/>
      <c r="I243" s="13"/>
      <c r="J243" s="96"/>
      <c r="K243" s="13"/>
      <c r="L243" t="b" s="1042">
        <v>0</v>
      </c>
      <c r="M243" s="142"/>
      <c r="N243" s="142"/>
      <c r="O243" s="142"/>
      <c r="P243" s="237"/>
      <c r="Q243" s="238"/>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4"/>
    </row>
    <row r="244" ht="12.95" customHeight="1" hidden="1">
      <c r="A244" s="28"/>
      <c r="B244" s="13"/>
      <c r="C244" s="1021"/>
      <c r="D244" s="1021"/>
      <c r="E244" s="1021"/>
      <c r="F244" s="1021"/>
      <c r="G244" s="1021"/>
      <c r="H244" s="1021"/>
      <c r="I244" s="1021"/>
      <c r="J244" s="1021"/>
      <c r="K244" s="13"/>
      <c r="L244" s="1039"/>
      <c r="M244" s="142"/>
      <c r="N244" s="142"/>
      <c r="O244" s="142"/>
      <c r="P244" s="237"/>
      <c r="Q244" s="238"/>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4"/>
    </row>
    <row r="245" ht="24.95" customHeight="1" hidden="1">
      <c r="A245" s="28"/>
      <c r="B245" t="s" s="897">
        <f>IF(AND($L$243=TRUE,L245=FALSE),IF('Adatlap'!$L$1="Magyar","Jelölje be!","Please, check!"),"")</f>
      </c>
      <c r="C245" t="s" s="900">
        <f>C$25</f>
        <v>873</v>
      </c>
      <c r="D245" s="13"/>
      <c r="E245" s="13"/>
      <c r="F245" s="13"/>
      <c r="G245" s="13"/>
      <c r="H245" s="13"/>
      <c r="I245" s="13"/>
      <c r="J245" s="153"/>
      <c r="K245" s="13"/>
      <c r="L245" t="b" s="1042">
        <v>0</v>
      </c>
      <c r="M245" s="142"/>
      <c r="N245" s="142"/>
      <c r="O245" s="142"/>
      <c r="P245" s="237"/>
      <c r="Q245" s="238"/>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4"/>
    </row>
    <row r="246" ht="8.1" customHeight="1" hidden="1">
      <c r="A246" s="28"/>
      <c r="B246" s="13"/>
      <c r="C246" s="13"/>
      <c r="D246" s="13"/>
      <c r="E246" s="13"/>
      <c r="F246" s="13"/>
      <c r="G246" s="13"/>
      <c r="H246" s="13"/>
      <c r="I246" s="13"/>
      <c r="J246" s="13"/>
      <c r="K246" s="13"/>
      <c r="L246" s="1039"/>
      <c r="M246" s="142"/>
      <c r="N246" s="142"/>
      <c r="O246" s="142"/>
      <c r="P246" s="237"/>
      <c r="Q246" s="238"/>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4"/>
    </row>
    <row r="247" ht="24.95" customHeight="1" hidden="1">
      <c r="A247" s="28"/>
      <c r="B247" t="s" s="897">
        <f>IF(AND($L$243=TRUE,L247=FALSE),IF('Adatlap'!$L$1="Magyar","Jelölje be!","Please, check!"),"")</f>
      </c>
      <c r="C247" t="s" s="1002">
        <f>C$27</f>
        <v>874</v>
      </c>
      <c r="D247" s="714"/>
      <c r="E247" s="714"/>
      <c r="F247" s="714"/>
      <c r="G247" s="714"/>
      <c r="H247" s="714"/>
      <c r="I247" s="714"/>
      <c r="J247" s="714"/>
      <c r="K247" s="13"/>
      <c r="L247" t="b" s="1042">
        <v>0</v>
      </c>
      <c r="M247" s="142"/>
      <c r="N247" s="142"/>
      <c r="O247" s="142"/>
      <c r="P247" s="237"/>
      <c r="Q247" s="238"/>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4"/>
    </row>
    <row r="248" ht="8.1" customHeight="1" hidden="1">
      <c r="A248" s="28"/>
      <c r="B248" s="13"/>
      <c r="C248" s="13"/>
      <c r="D248" s="13"/>
      <c r="E248" s="13"/>
      <c r="F248" s="13"/>
      <c r="G248" s="13"/>
      <c r="H248" s="13"/>
      <c r="I248" s="13"/>
      <c r="J248" s="13"/>
      <c r="K248" s="13"/>
      <c r="L248" s="1039"/>
      <c r="M248" s="142"/>
      <c r="N248" s="142"/>
      <c r="O248" s="142"/>
      <c r="P248" s="237"/>
      <c r="Q248" s="238"/>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4"/>
    </row>
    <row r="249" ht="27" customHeight="1">
      <c r="A249" t="s" s="777">
        <f>IF(AND(L243=FALSE,L249=FALSE),IF('Adatlap'!$L$1="Magyar","Jelölje be!","Please, check!"),"")</f>
        <v>399</v>
      </c>
      <c r="B249" t="s" s="710">
        <f>B$29</f>
        <v>875</v>
      </c>
      <c r="C249" s="17"/>
      <c r="D249" s="17"/>
      <c r="E249" s="17"/>
      <c r="F249" s="17"/>
      <c r="G249" s="17"/>
      <c r="H249" s="17"/>
      <c r="I249" s="17"/>
      <c r="J249" s="96"/>
      <c r="K249" s="13"/>
      <c r="L249" t="b" s="1042">
        <v>0</v>
      </c>
      <c r="M249" s="142"/>
      <c r="N249" s="142"/>
      <c r="O249" s="142"/>
      <c r="P249" s="236"/>
      <c r="Q249" s="238"/>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4"/>
    </row>
    <row r="250" ht="14.25" customHeight="1">
      <c r="A250" s="1113"/>
      <c r="B250" s="13"/>
      <c r="C250" s="9"/>
      <c r="D250" s="9"/>
      <c r="E250" s="9"/>
      <c r="F250" s="9"/>
      <c r="G250" s="9"/>
      <c r="H250" s="9"/>
      <c r="I250" s="9"/>
      <c r="J250" s="96"/>
      <c r="K250" s="13"/>
      <c r="L250" s="1039"/>
      <c r="M250" s="142"/>
      <c r="N250" s="142"/>
      <c r="O250" s="142"/>
      <c r="P250" s="236"/>
      <c r="Q250" s="238"/>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4"/>
    </row>
    <row r="251" ht="12.95" customHeight="1" hidden="1">
      <c r="A251" s="28"/>
      <c r="B251" s="96"/>
      <c r="C251" s="96"/>
      <c r="D251" s="96"/>
      <c r="E251" s="96"/>
      <c r="F251" s="96"/>
      <c r="G251" s="96"/>
      <c r="H251" s="96"/>
      <c r="I251" s="96"/>
      <c r="J251" s="96"/>
      <c r="K251" s="13"/>
      <c r="L251" s="1039"/>
      <c r="M251" s="142"/>
      <c r="N251" s="142"/>
      <c r="O251" s="142"/>
      <c r="P251" s="237"/>
      <c r="Q251" s="238"/>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4"/>
    </row>
    <row r="252" ht="12.95" customHeight="1">
      <c r="A252" t="s" s="853">
        <f>A$32</f>
        <v>559</v>
      </c>
      <c r="B252" t="s" s="1087">
        <f>B$32</f>
        <v>876</v>
      </c>
      <c r="C252" s="1088"/>
      <c r="D252" s="1088"/>
      <c r="E252" s="1088"/>
      <c r="F252" s="1088"/>
      <c r="G252" s="1088"/>
      <c r="H252" s="1088"/>
      <c r="I252" s="1088"/>
      <c r="J252" s="1088"/>
      <c r="K252" s="13"/>
      <c r="L252" s="1039"/>
      <c r="M252" s="142"/>
      <c r="N252" s="142"/>
      <c r="O252" s="142"/>
      <c r="P252" s="236"/>
      <c r="Q252" s="238"/>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4"/>
    </row>
    <row r="253" ht="12.95" customHeight="1">
      <c r="A253" s="28"/>
      <c r="B253" s="96"/>
      <c r="C253" s="96"/>
      <c r="D253" s="96"/>
      <c r="E253" s="96"/>
      <c r="F253" s="96"/>
      <c r="G253" s="96"/>
      <c r="H253" s="96"/>
      <c r="I253" s="96"/>
      <c r="J253" s="96"/>
      <c r="K253" s="13"/>
      <c r="L253" s="1039"/>
      <c r="M253" s="142"/>
      <c r="N253" s="142"/>
      <c r="O253" s="142"/>
      <c r="P253" s="236"/>
      <c r="Q253" s="238"/>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4"/>
    </row>
    <row r="254" ht="27.95" customHeight="1">
      <c r="A254" t="s" s="777">
        <v>399</v>
      </c>
      <c r="B254" t="s" s="900">
        <f>B$34</f>
        <v>830</v>
      </c>
      <c r="C254" s="13"/>
      <c r="D254" s="13"/>
      <c r="E254" s="13"/>
      <c r="F254" s="13"/>
      <c r="G254" s="13"/>
      <c r="H254" s="13"/>
      <c r="I254" s="13"/>
      <c r="J254" s="153"/>
      <c r="K254" s="13"/>
      <c r="L254" t="b" s="1042">
        <v>0</v>
      </c>
      <c r="M254" s="142"/>
      <c r="N254" s="142"/>
      <c r="O254" t="s" s="1050">
        <f>IF(AND(L249=TRUE,L254=FALSE,L259=FALSE),IF('Adatlap'!$L$1="Magyar","Jelölje be!","Please, check!"),"")</f>
      </c>
      <c r="P254" t="s" s="365">
        <f>IF(AND(L254=FALSE,L259=FALSE),IF('Adatlap'!$L$1="Magyar","Jelölje be!","Please, check!"),"")</f>
        <v>399</v>
      </c>
      <c r="Q254" s="1051">
        <f>IF(AND(L249=TRUE,L254=FALSE,L259=FALSE),1,0)</f>
        <v>0</v>
      </c>
      <c r="R254" s="34">
        <f>IF(AND(L254=FALSE,L259=FALSE),1,0)</f>
        <v>1</v>
      </c>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4"/>
    </row>
    <row r="255" ht="8.1" customHeight="1">
      <c r="A255" s="928"/>
      <c r="B255" s="153"/>
      <c r="C255" s="153"/>
      <c r="D255" s="153"/>
      <c r="E255" s="153"/>
      <c r="F255" s="153"/>
      <c r="G255" s="153"/>
      <c r="H255" s="153"/>
      <c r="I255" s="153"/>
      <c r="J255" s="153"/>
      <c r="K255" s="13"/>
      <c r="L255" s="1039"/>
      <c r="M255" s="142"/>
      <c r="N255" s="142"/>
      <c r="O255" s="142"/>
      <c r="P255" s="236"/>
      <c r="Q255" s="238"/>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4"/>
    </row>
    <row r="256" ht="12.95" customHeight="1">
      <c r="A256" s="928"/>
      <c r="B256" t="s" s="758">
        <f>B$36</f>
        <v>831</v>
      </c>
      <c r="C256" s="13"/>
      <c r="D256" s="13"/>
      <c r="E256" s="13"/>
      <c r="F256" s="13"/>
      <c r="G256" s="13"/>
      <c r="H256" s="13"/>
      <c r="I256" s="13"/>
      <c r="J256" s="13"/>
      <c r="K256" s="13"/>
      <c r="L256" s="1039"/>
      <c r="M256" s="142"/>
      <c r="N256" s="142"/>
      <c r="O256" s="142"/>
      <c r="P256" s="236"/>
      <c r="Q256" s="238"/>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4"/>
    </row>
    <row r="257" ht="24.95" customHeight="1">
      <c r="A257" s="928"/>
      <c r="B257" t="s" s="897">
        <f>IF(AND(L254=TRUE,L257=FALSE,L258=FALSE),IF('Adatlap'!$L$1="Magyar","Jelölje be!","Please, check!"),"")</f>
      </c>
      <c r="C257" t="s" s="758">
        <f>C$37</f>
        <v>832</v>
      </c>
      <c r="D257" s="494"/>
      <c r="E257" s="494"/>
      <c r="F257" s="494"/>
      <c r="G257" s="494"/>
      <c r="H257" s="494"/>
      <c r="I257" s="494"/>
      <c r="J257" s="494"/>
      <c r="K257" s="13"/>
      <c r="L257" t="b" s="1042">
        <v>0</v>
      </c>
      <c r="M257" s="142"/>
      <c r="N257" s="142"/>
      <c r="O257" s="142"/>
      <c r="P257" s="236"/>
      <c r="Q257" s="238"/>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4"/>
    </row>
    <row r="258" ht="24.95" customHeight="1">
      <c r="A258" s="28"/>
      <c r="B258" t="s" s="897">
        <f>IF(AND($L$254=TRUE,L257=FALSE,L258=FALSE),IF('Adatlap'!$L$1="Magyar","Jelölje be!","Please, check!"),"")</f>
      </c>
      <c r="C258" t="s" s="491">
        <f>C$38</f>
        <v>833</v>
      </c>
      <c r="D258" s="175"/>
      <c r="E258" s="175"/>
      <c r="F258" s="175"/>
      <c r="G258" s="175"/>
      <c r="H258" s="175"/>
      <c r="I258" s="175"/>
      <c r="J258" s="175"/>
      <c r="K258" s="13"/>
      <c r="L258" t="b" s="1042">
        <v>0</v>
      </c>
      <c r="M258" s="142"/>
      <c r="N258" s="142"/>
      <c r="O258" s="142"/>
      <c r="P258" s="236"/>
      <c r="Q258" s="238"/>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4"/>
    </row>
    <row r="259" ht="24.95" customHeight="1">
      <c r="A259" t="s" s="777">
        <v>399</v>
      </c>
      <c r="B259" t="s" s="710">
        <f>B39</f>
        <v>834</v>
      </c>
      <c r="C259" s="13"/>
      <c r="D259" s="13"/>
      <c r="E259" s="13"/>
      <c r="F259" s="13"/>
      <c r="G259" s="13"/>
      <c r="H259" s="13"/>
      <c r="I259" s="13"/>
      <c r="J259" s="96"/>
      <c r="K259" s="13"/>
      <c r="L259" t="b" s="1042">
        <v>0</v>
      </c>
      <c r="M259" s="142"/>
      <c r="N259" s="142"/>
      <c r="O259" s="142"/>
      <c r="P259" s="236"/>
      <c r="Q259" s="238"/>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4"/>
    </row>
    <row r="260" ht="24.95" customHeight="1">
      <c r="A260" s="928"/>
      <c r="B260" t="s" s="758">
        <f>B$40</f>
        <v>831</v>
      </c>
      <c r="C260" s="13"/>
      <c r="D260" s="13"/>
      <c r="E260" s="13"/>
      <c r="F260" s="13"/>
      <c r="G260" s="13"/>
      <c r="H260" s="13"/>
      <c r="I260" s="13"/>
      <c r="J260" s="13"/>
      <c r="K260" s="13"/>
      <c r="L260" s="1039"/>
      <c r="M260" s="142"/>
      <c r="N260" s="142"/>
      <c r="O260" s="142"/>
      <c r="P260" s="236"/>
      <c r="Q260" s="238"/>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4"/>
    </row>
    <row r="261" ht="24.95" customHeight="1">
      <c r="A261" s="928"/>
      <c r="B261" t="s" s="897">
        <f>IF(AND(L259=TRUE,L261=FALSE,L262=FALSE),IF('Adatlap'!$L$1="Magyar","Jelölje be!","Please, check!"),"")</f>
      </c>
      <c r="C261" t="s" s="915">
        <f>C$41</f>
        <v>832</v>
      </c>
      <c r="D261" s="153"/>
      <c r="E261" s="153"/>
      <c r="F261" s="153"/>
      <c r="G261" s="153"/>
      <c r="H261" s="153"/>
      <c r="I261" s="153"/>
      <c r="J261" s="153"/>
      <c r="K261" s="13"/>
      <c r="L261" t="b" s="1042">
        <v>0</v>
      </c>
      <c r="M261" s="142"/>
      <c r="N261" s="142"/>
      <c r="O261" s="142"/>
      <c r="P261" s="236"/>
      <c r="Q261" s="238"/>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4"/>
    </row>
    <row r="262" ht="24.95" customHeight="1">
      <c r="A262" s="28"/>
      <c r="B262" t="s" s="897">
        <f>IF(AND(L259=TRUE,L261=FALSE,L262=FALSE),IF('Adatlap'!$L$1="Magyar","Jelölje be!","Please, check!"),"")</f>
      </c>
      <c r="C262" t="s" s="915">
        <f>C$42</f>
        <v>833</v>
      </c>
      <c r="D262" s="96"/>
      <c r="E262" s="799"/>
      <c r="F262" s="799"/>
      <c r="G262" s="799"/>
      <c r="H262" s="799"/>
      <c r="I262" s="799"/>
      <c r="J262" s="799"/>
      <c r="K262" s="13"/>
      <c r="L262" t="b" s="1042">
        <v>0</v>
      </c>
      <c r="M262" s="142"/>
      <c r="N262" s="142"/>
      <c r="O262" s="142"/>
      <c r="P262" s="236"/>
      <c r="Q262" s="238"/>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4"/>
    </row>
    <row r="263" ht="8.1" customHeight="1">
      <c r="A263" s="928"/>
      <c r="B263" s="153"/>
      <c r="C263" s="153"/>
      <c r="D263" s="153"/>
      <c r="E263" s="153"/>
      <c r="F263" s="153"/>
      <c r="G263" s="153"/>
      <c r="H263" s="153"/>
      <c r="I263" s="153"/>
      <c r="J263" s="153"/>
      <c r="K263" s="13"/>
      <c r="L263" s="1039"/>
      <c r="M263" s="142"/>
      <c r="N263" s="142"/>
      <c r="O263" s="142"/>
      <c r="P263" s="236"/>
      <c r="Q263" s="238"/>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4"/>
    </row>
    <row r="264" ht="24" customHeight="1">
      <c r="A264" s="28"/>
      <c r="B264" t="s" s="897">
        <f>IF(AND(L259=TRUE,L264=FALSE),IF('Adatlap'!$L$1="Magyar","Jelölje be!","Please, check!"),"")</f>
      </c>
      <c r="C264" t="s" s="900">
        <f>C$44</f>
        <v>877</v>
      </c>
      <c r="D264" s="13"/>
      <c r="E264" s="13"/>
      <c r="F264" s="13"/>
      <c r="G264" s="13"/>
      <c r="H264" s="13"/>
      <c r="I264" s="13"/>
      <c r="J264" s="153"/>
      <c r="K264" s="13"/>
      <c r="L264" t="b" s="1042">
        <v>0</v>
      </c>
      <c r="M264" s="142"/>
      <c r="N264" s="142"/>
      <c r="O264" s="1060"/>
      <c r="P264" s="1061"/>
      <c r="Q264" s="1062"/>
      <c r="R264" s="1063"/>
      <c r="S264" s="1063"/>
      <c r="T264" s="1063"/>
      <c r="U264" s="1063"/>
      <c r="V264" s="106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4"/>
    </row>
    <row r="265" ht="12" customHeight="1">
      <c r="A265" s="28"/>
      <c r="B265" s="1057"/>
      <c r="C265" s="1058"/>
      <c r="D265" s="1059"/>
      <c r="E265" s="39"/>
      <c r="F265" s="39"/>
      <c r="G265" s="39"/>
      <c r="H265" s="39"/>
      <c r="I265" s="39"/>
      <c r="J265" s="13"/>
      <c r="K265" s="13"/>
      <c r="L265" s="1039"/>
      <c r="M265" s="142"/>
      <c r="N265" s="142"/>
      <c r="O265" s="1060"/>
      <c r="P265" s="1061"/>
      <c r="Q265" s="1062"/>
      <c r="R265" s="1063"/>
      <c r="S265" s="1063"/>
      <c r="T265" s="1063"/>
      <c r="U265" s="1063"/>
      <c r="V265" s="106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4"/>
    </row>
    <row r="266" ht="12.95" customHeight="1">
      <c r="A266" s="28"/>
      <c r="B266" t="s" s="1091">
        <f>B$46</f>
        <v>883</v>
      </c>
      <c r="C266" s="1092"/>
      <c r="D266" s="1093"/>
      <c r="E266" s="1094"/>
      <c r="F266" t="s" s="1066">
        <f>F$46</f>
        <v>884</v>
      </c>
      <c r="G266" s="1095"/>
      <c r="H266" t="s" s="1066">
        <f>H$46</f>
        <v>885</v>
      </c>
      <c r="I266" s="1095"/>
      <c r="J266" s="1068"/>
      <c r="K266" s="13"/>
      <c r="L266" s="1039"/>
      <c r="M266" s="142"/>
      <c r="N266" s="142"/>
      <c r="O266" s="1060"/>
      <c r="P266" s="1061"/>
      <c r="Q266" s="1062"/>
      <c r="R266" s="1063"/>
      <c r="S266" s="1063"/>
      <c r="T266" s="1063"/>
      <c r="U266" s="1063"/>
      <c r="V266" s="106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4"/>
    </row>
    <row r="267" ht="12.95" customHeight="1">
      <c r="A267" s="28"/>
      <c r="B267" s="68"/>
      <c r="C267" s="1096"/>
      <c r="D267" s="1096"/>
      <c r="E267" s="1097"/>
      <c r="F267" t="s" s="1069">
        <f>F$47</f>
        <v>848</v>
      </c>
      <c r="G267" s="1098"/>
      <c r="H267" t="s" s="1069">
        <f>H$47</f>
        <v>848</v>
      </c>
      <c r="I267" s="1098"/>
      <c r="J267" s="1068"/>
      <c r="K267" s="13"/>
      <c r="L267" s="1039"/>
      <c r="M267" s="142"/>
      <c r="N267" s="142"/>
      <c r="O267" s="1060"/>
      <c r="P267" s="1061"/>
      <c r="Q267" s="1062"/>
      <c r="R267" s="1063"/>
      <c r="S267" s="1063"/>
      <c r="T267" s="1063"/>
      <c r="U267" s="1063"/>
      <c r="V267" s="106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4"/>
    </row>
    <row r="268" ht="27" customHeight="1">
      <c r="A268" s="28"/>
      <c r="B268" t="s" s="1100">
        <f>B48</f>
        <v>614</v>
      </c>
      <c r="C268" s="849"/>
      <c r="D268" s="849"/>
      <c r="E268" s="849"/>
      <c r="F268" s="1072">
        <f>'Kiszerelés 5-8'!F21</f>
        <v>0</v>
      </c>
      <c r="G268" s="1101"/>
      <c r="H268" s="286">
        <f>'Kiszerelés 5-8'!F22</f>
      </c>
      <c r="I268" s="1101"/>
      <c r="J268" s="72"/>
      <c r="K268" s="13"/>
      <c r="L268" s="1039"/>
      <c r="M268" s="142"/>
      <c r="N268" s="142"/>
      <c r="O268" s="142"/>
      <c r="P268" s="236"/>
      <c r="Q268" s="237"/>
      <c r="R268" s="483"/>
      <c r="S268" s="483"/>
      <c r="T268" s="483"/>
      <c r="U268" s="483"/>
      <c r="V268" s="28"/>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4"/>
    </row>
    <row r="269" ht="12.95" customHeight="1">
      <c r="A269" s="28"/>
      <c r="B269" s="1073"/>
      <c r="C269" s="93"/>
      <c r="D269" s="882"/>
      <c r="E269" s="69"/>
      <c r="F269" s="69"/>
      <c r="G269" s="69"/>
      <c r="H269" s="69"/>
      <c r="I269" s="69"/>
      <c r="J269" s="13"/>
      <c r="K269" s="13"/>
      <c r="L269" s="1039"/>
      <c r="M269" s="142"/>
      <c r="N269" s="142"/>
      <c r="O269" s="1108"/>
      <c r="P269" s="1109"/>
      <c r="Q269" s="1114"/>
      <c r="R269" s="156"/>
      <c r="S269" s="156"/>
      <c r="T269" s="156"/>
      <c r="U269" s="156"/>
      <c r="V269" s="156"/>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4"/>
    </row>
    <row r="270" ht="21.95" customHeight="1">
      <c r="A270" s="28"/>
      <c r="B270" t="s" s="897">
        <f>IF(AND($L$259=TRUE,L270=FALSE),IF('Adatlap'!$L$1="Magyar","Jelölje be!","Please, check!"),"")</f>
      </c>
      <c r="C270" t="s" s="710">
        <f>C$50</f>
        <v>886</v>
      </c>
      <c r="D270" s="13"/>
      <c r="E270" s="13"/>
      <c r="F270" s="13"/>
      <c r="G270" s="13"/>
      <c r="H270" s="13"/>
      <c r="I270" s="13"/>
      <c r="J270" s="96"/>
      <c r="K270" s="13"/>
      <c r="L270" t="b" s="1042">
        <v>0</v>
      </c>
      <c r="M270" s="142"/>
      <c r="N270" s="142"/>
      <c r="O270" s="142"/>
      <c r="P270" s="236"/>
      <c r="Q270" s="238"/>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4"/>
    </row>
    <row r="271" ht="26.1" customHeight="1">
      <c r="A271" t="s" s="853">
        <f>A$51</f>
        <v>629</v>
      </c>
      <c r="B271" t="s" s="1077">
        <f>B$51</f>
        <v>887</v>
      </c>
      <c r="C271" s="185"/>
      <c r="D271" s="185"/>
      <c r="E271" s="185"/>
      <c r="F271" s="185"/>
      <c r="G271" s="185"/>
      <c r="H271" s="185"/>
      <c r="I271" s="185"/>
      <c r="J271" s="13"/>
      <c r="K271" s="13"/>
      <c r="L271" s="1039"/>
      <c r="M271" s="142"/>
      <c r="N271" s="142"/>
      <c r="O271" s="142"/>
      <c r="P271" s="236"/>
      <c r="Q271" s="238"/>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4"/>
    </row>
    <row r="272" ht="12.95" customHeight="1">
      <c r="A272" s="28"/>
      <c r="B272" s="937"/>
      <c r="C272" s="494"/>
      <c r="D272" s="153"/>
      <c r="E272" s="13"/>
      <c r="F272" s="13"/>
      <c r="G272" s="13"/>
      <c r="H272" s="13"/>
      <c r="I272" s="13"/>
      <c r="J272" s="13"/>
      <c r="K272" s="13"/>
      <c r="L272" s="1039"/>
      <c r="M272" s="142"/>
      <c r="N272" s="142"/>
      <c r="O272" s="142"/>
      <c r="P272" s="236"/>
      <c r="Q272" s="238"/>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4"/>
    </row>
    <row r="273" ht="12.95" customHeight="1">
      <c r="A273" t="s" s="1078">
        <f>IF(AND($L$249=TRUE,L273=FALSE),IF('Adatlap'!$L$1="Magyar","Jelölje be!","Please, check!"),"")</f>
      </c>
      <c r="B273" t="s" s="900">
        <f>B$53</f>
        <v>888</v>
      </c>
      <c r="C273" s="13"/>
      <c r="D273" s="13"/>
      <c r="E273" s="13"/>
      <c r="F273" s="13"/>
      <c r="G273" s="13"/>
      <c r="H273" s="13"/>
      <c r="I273" s="13"/>
      <c r="J273" s="153"/>
      <c r="K273" s="13"/>
      <c r="L273" t="b" s="1042">
        <v>0</v>
      </c>
      <c r="M273" s="142"/>
      <c r="N273" s="142"/>
      <c r="O273" s="142"/>
      <c r="P273" s="236"/>
      <c r="Q273" s="238"/>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4"/>
    </row>
    <row r="274" ht="12.95" customHeight="1">
      <c r="A274" s="1079"/>
      <c r="B274" s="39"/>
      <c r="C274" s="39"/>
      <c r="D274" s="39"/>
      <c r="E274" s="39"/>
      <c r="F274" s="39"/>
      <c r="G274" s="39"/>
      <c r="H274" s="39"/>
      <c r="I274" s="39"/>
      <c r="J274" s="13"/>
      <c r="K274" s="13"/>
      <c r="L274" s="1039"/>
      <c r="M274" s="142"/>
      <c r="N274" s="142"/>
      <c r="O274" s="142"/>
      <c r="P274" s="236"/>
      <c r="Q274" s="238"/>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4"/>
    </row>
    <row r="275" ht="24.95" customHeight="1">
      <c r="A275" s="28"/>
      <c r="B275" t="s" s="1118">
        <f>B$55</f>
        <v>857</v>
      </c>
      <c r="C275" s="1095"/>
      <c r="D275" s="1105">
        <f>'Kiszerelés 5-8'!D26</f>
        <v>0</v>
      </c>
      <c r="E275" s="1092"/>
      <c r="F275" s="1093"/>
      <c r="G275" s="1093"/>
      <c r="H275" s="1093"/>
      <c r="I275" s="1094"/>
      <c r="J275" s="72"/>
      <c r="K275" s="13"/>
      <c r="L275" s="1039"/>
      <c r="M275" s="142"/>
      <c r="N275" s="142"/>
      <c r="O275" s="142"/>
      <c r="P275" s="236"/>
      <c r="Q275" s="238"/>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4"/>
    </row>
    <row r="276" ht="24.95" customHeight="1">
      <c r="A276" s="28"/>
      <c r="B276" t="s" s="1118">
        <f>B$56</f>
        <v>858</v>
      </c>
      <c r="C276" s="1098"/>
      <c r="D276" s="1105">
        <f>'Kiszerelés 5-8'!D27</f>
        <v>0</v>
      </c>
      <c r="E276" s="1115"/>
      <c r="F276" s="226"/>
      <c r="G276" s="226"/>
      <c r="H276" s="226"/>
      <c r="I276" s="1116"/>
      <c r="J276" s="72"/>
      <c r="K276" s="13"/>
      <c r="L276" s="1039"/>
      <c r="M276" s="142"/>
      <c r="N276" s="142"/>
      <c r="O276" s="142"/>
      <c r="P276" s="236"/>
      <c r="Q276" s="238"/>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4"/>
    </row>
    <row r="277" ht="24.95" customHeight="1">
      <c r="A277" s="28"/>
      <c r="B277" t="s" s="1118">
        <f>B$57</f>
        <v>859</v>
      </c>
      <c r="C277" s="1098"/>
      <c r="D277" s="1105">
        <f>'Kiszerelés 5-8'!D28</f>
        <v>0</v>
      </c>
      <c r="E277" s="1115"/>
      <c r="F277" s="226"/>
      <c r="G277" s="226"/>
      <c r="H277" s="226"/>
      <c r="I277" s="1116"/>
      <c r="J277" s="72"/>
      <c r="K277" s="13"/>
      <c r="L277" s="1039"/>
      <c r="M277" s="142"/>
      <c r="N277" s="142"/>
      <c r="O277" s="142"/>
      <c r="P277" s="236"/>
      <c r="Q277" s="238"/>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4"/>
    </row>
    <row r="278" ht="24.95" customHeight="1">
      <c r="A278" s="28"/>
      <c r="B278" t="s" s="1118">
        <f>B$58</f>
        <v>860</v>
      </c>
      <c r="C278" s="1098"/>
      <c r="D278" s="1105">
        <f>'Kiszerelés 5-8'!D29</f>
        <v>0</v>
      </c>
      <c r="E278" s="1117"/>
      <c r="F278" s="1096"/>
      <c r="G278" s="1096"/>
      <c r="H278" s="1096"/>
      <c r="I278" s="1097"/>
      <c r="J278" s="72"/>
      <c r="K278" s="13"/>
      <c r="L278" s="1039"/>
      <c r="M278" s="142"/>
      <c r="N278" s="142"/>
      <c r="O278" s="142"/>
      <c r="P278" s="236"/>
      <c r="Q278" s="238"/>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4"/>
    </row>
    <row r="279" ht="24.95" customHeight="1">
      <c r="A279" s="28"/>
      <c r="B279" t="s" s="1118">
        <f>B$59</f>
        <v>889</v>
      </c>
      <c r="C279" s="1101"/>
      <c r="D279" s="1082"/>
      <c r="E279" s="1082"/>
      <c r="F279" s="1082"/>
      <c r="G279" s="1082"/>
      <c r="H279" s="1082"/>
      <c r="I279" s="1082"/>
      <c r="J279" s="72"/>
      <c r="K279" s="13"/>
      <c r="L279" s="1039"/>
      <c r="M279" s="142"/>
      <c r="N279" s="142"/>
      <c r="O279" s="142"/>
      <c r="P279" s="236"/>
      <c r="Q279" s="238"/>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4"/>
    </row>
    <row r="280" ht="12.95" customHeight="1">
      <c r="A280" s="28"/>
      <c r="B280" s="69"/>
      <c r="C280" s="69"/>
      <c r="D280" s="69"/>
      <c r="E280" s="69"/>
      <c r="F280" s="69"/>
      <c r="G280" s="69"/>
      <c r="H280" s="69"/>
      <c r="I280" s="69"/>
      <c r="J280" s="13"/>
      <c r="K280" s="13"/>
      <c r="L280" s="1039"/>
      <c r="M280" s="142"/>
      <c r="N280" s="142"/>
      <c r="O280" s="142"/>
      <c r="P280" s="236"/>
      <c r="Q280" s="238"/>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4"/>
    </row>
    <row r="281" ht="24.95" customHeight="1">
      <c r="A281" s="28"/>
      <c r="B281" t="s" s="897">
        <f>IF(AND(L281=FALSE,L273=TRUE),IF('Adatlap'!$L$1="Magyar","Jelölje be!","Please, check!"),"")</f>
      </c>
      <c r="C281" t="s" s="710">
        <f>C$61</f>
        <v>890</v>
      </c>
      <c r="D281" s="96"/>
      <c r="E281" s="96"/>
      <c r="F281" s="96"/>
      <c r="G281" s="96"/>
      <c r="H281" s="96"/>
      <c r="I281" s="96"/>
      <c r="J281" s="96"/>
      <c r="K281" s="13"/>
      <c r="L281" t="b" s="1042">
        <v>0</v>
      </c>
      <c r="M281" s="142"/>
      <c r="N281" s="142"/>
      <c r="O281" s="142"/>
      <c r="P281" s="236"/>
      <c r="Q281" s="238"/>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4"/>
    </row>
    <row r="282" ht="18" customHeight="1">
      <c r="A282" s="28"/>
      <c r="B282" s="13"/>
      <c r="C282" s="13"/>
      <c r="D282" s="13"/>
      <c r="E282" s="13"/>
      <c r="F282" s="13"/>
      <c r="G282" s="13"/>
      <c r="H282" s="13"/>
      <c r="I282" s="13"/>
      <c r="J282" s="13"/>
      <c r="K282" s="13"/>
      <c r="L282" s="1039"/>
      <c r="M282" s="142"/>
      <c r="N282" s="142"/>
      <c r="O282" s="142"/>
      <c r="P282" s="236"/>
      <c r="Q282" s="238"/>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4"/>
    </row>
    <row r="283" ht="21" customHeight="1">
      <c r="A283" t="s" s="1083">
        <f>'Kiszerelés 5-8'!C31</f>
        <v>896</v>
      </c>
      <c r="B283" s="1084"/>
      <c r="C283" t="s" s="1077">
        <f>IF('Kiszerelés 5-8'!C32="","",'Kiszerelés 5-8'!C32)</f>
      </c>
      <c r="D283" s="185"/>
      <c r="E283" s="185"/>
      <c r="F283" s="185"/>
      <c r="G283" s="185"/>
      <c r="H283" s="185"/>
      <c r="I283" s="185"/>
      <c r="J283" s="13"/>
      <c r="K283" s="13"/>
      <c r="L283" s="1039"/>
      <c r="M283" s="142"/>
      <c r="N283" s="142"/>
      <c r="O283" s="142"/>
      <c r="P283" s="236"/>
      <c r="Q283" s="238"/>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4"/>
    </row>
    <row r="284" ht="12.95" customHeight="1">
      <c r="A284" s="28"/>
      <c r="B284" s="13"/>
      <c r="C284" s="13"/>
      <c r="D284" s="13"/>
      <c r="E284" s="13"/>
      <c r="F284" s="13"/>
      <c r="G284" s="13"/>
      <c r="H284" s="13"/>
      <c r="I284" s="13"/>
      <c r="J284" s="13"/>
      <c r="K284" s="13"/>
      <c r="L284" s="1039"/>
      <c r="M284" s="142"/>
      <c r="N284" s="142"/>
      <c r="O284" s="142"/>
      <c r="P284" s="236"/>
      <c r="Q284" s="238"/>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4"/>
    </row>
    <row r="285" ht="12.95" customHeight="1" hidden="1">
      <c r="A285" t="s" s="853">
        <f>A$10</f>
        <v>559</v>
      </c>
      <c r="B285" t="s" s="1077">
        <f>B$10</f>
        <v>864</v>
      </c>
      <c r="C285" s="185"/>
      <c r="D285" s="185"/>
      <c r="E285" s="185"/>
      <c r="F285" s="185"/>
      <c r="G285" s="185"/>
      <c r="H285" s="185"/>
      <c r="I285" s="185"/>
      <c r="J285" s="13"/>
      <c r="K285" s="13"/>
      <c r="L285" s="1039"/>
      <c r="M285" s="142"/>
      <c r="N285" s="142"/>
      <c r="O285" s="142"/>
      <c r="P285" s="237"/>
      <c r="Q285" s="238"/>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4"/>
    </row>
    <row r="286" ht="12.95" customHeight="1" hidden="1">
      <c r="A286" s="28"/>
      <c r="B286" s="13"/>
      <c r="C286" s="13"/>
      <c r="D286" s="13"/>
      <c r="E286" s="13"/>
      <c r="F286" s="13"/>
      <c r="G286" s="13"/>
      <c r="H286" s="13"/>
      <c r="I286" s="13"/>
      <c r="J286" s="13"/>
      <c r="K286" s="13"/>
      <c r="L286" s="1039"/>
      <c r="M286" s="142"/>
      <c r="N286" s="142"/>
      <c r="O286" s="142"/>
      <c r="P286" s="237"/>
      <c r="Q286" s="238"/>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4"/>
    </row>
    <row r="287" ht="24.95" customHeight="1" hidden="1">
      <c r="A287" t="s" s="777">
        <f>IF(AND(L287=FALSE,L294=FALSE),IF('Adatlap'!$L$1="Magyar","Jelölje be!","Please, check!"),"")</f>
        <v>399</v>
      </c>
      <c r="B287" t="s" s="710">
        <f>B$12</f>
        <v>865</v>
      </c>
      <c r="C287" s="13"/>
      <c r="D287" s="17"/>
      <c r="E287" s="17"/>
      <c r="F287" s="17"/>
      <c r="G287" s="17"/>
      <c r="H287" s="17"/>
      <c r="I287" s="17"/>
      <c r="J287" s="96"/>
      <c r="K287" s="13"/>
      <c r="L287" t="b" s="1042">
        <v>0</v>
      </c>
      <c r="M287" s="142"/>
      <c r="N287" s="142"/>
      <c r="O287" s="142"/>
      <c r="P287" s="237"/>
      <c r="Q287" s="238"/>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4"/>
    </row>
    <row r="288" ht="24.95" customHeight="1" hidden="1">
      <c r="A288" s="28"/>
      <c r="B288" t="s" s="897">
        <f>IF(AND($L$287=TRUE,L288=FALSE),IF('Adatlap'!$L$1="Magyar","Jelölje be!","Please, check!"),"")</f>
      </c>
      <c r="C288" t="s" s="900">
        <f>C$13</f>
        <v>866</v>
      </c>
      <c r="D288" s="9"/>
      <c r="E288" s="9"/>
      <c r="F288" s="9"/>
      <c r="G288" s="9"/>
      <c r="H288" s="9"/>
      <c r="I288" s="9"/>
      <c r="J288" s="153"/>
      <c r="K288" s="13"/>
      <c r="L288" t="b" s="1042">
        <v>0</v>
      </c>
      <c r="M288" s="142"/>
      <c r="N288" s="142"/>
      <c r="O288" s="142"/>
      <c r="P288" s="237"/>
      <c r="Q288" s="238"/>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4"/>
    </row>
    <row r="289" ht="8.1" customHeight="1" hidden="1">
      <c r="A289" s="28"/>
      <c r="B289" s="13"/>
      <c r="C289" s="13"/>
      <c r="D289" s="13"/>
      <c r="E289" s="13"/>
      <c r="F289" s="13"/>
      <c r="G289" s="13"/>
      <c r="H289" s="13"/>
      <c r="I289" s="13"/>
      <c r="J289" s="13"/>
      <c r="K289" s="13"/>
      <c r="L289" s="1039"/>
      <c r="M289" s="142"/>
      <c r="N289" s="142"/>
      <c r="O289" s="142"/>
      <c r="P289" s="237"/>
      <c r="Q289" s="238"/>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4"/>
    </row>
    <row r="290" ht="24.95" customHeight="1" hidden="1">
      <c r="A290" s="28"/>
      <c r="B290" t="s" s="897">
        <f>IF(AND($L$287=TRUE,L290=FALSE),IF('Adatlap'!$L$1="Magyar","Jelölje be!","Please, check!"),"")</f>
      </c>
      <c r="C290" t="s" s="900">
        <f>C$15</f>
        <v>867</v>
      </c>
      <c r="D290" s="13"/>
      <c r="E290" s="13"/>
      <c r="F290" s="13"/>
      <c r="G290" s="13"/>
      <c r="H290" s="13"/>
      <c r="I290" s="13"/>
      <c r="J290" s="153"/>
      <c r="K290" s="13"/>
      <c r="L290" t="b" s="1042">
        <v>0</v>
      </c>
      <c r="M290" s="142"/>
      <c r="N290" s="142"/>
      <c r="O290" s="142"/>
      <c r="P290" s="237"/>
      <c r="Q290" s="238"/>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4"/>
    </row>
    <row r="291" ht="8.1" customHeight="1" hidden="1">
      <c r="A291" s="28"/>
      <c r="B291" s="13"/>
      <c r="C291" s="13"/>
      <c r="D291" s="13"/>
      <c r="E291" s="13"/>
      <c r="F291" s="13"/>
      <c r="G291" s="13"/>
      <c r="H291" s="13"/>
      <c r="I291" s="13"/>
      <c r="J291" s="13"/>
      <c r="K291" s="13"/>
      <c r="L291" s="1039"/>
      <c r="M291" s="142"/>
      <c r="N291" s="142"/>
      <c r="O291" s="142"/>
      <c r="P291" s="237"/>
      <c r="Q291" s="238"/>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4"/>
    </row>
    <row r="292" ht="24.95" customHeight="1" hidden="1">
      <c r="A292" s="28"/>
      <c r="B292" t="s" s="897">
        <f>IF(AND($L$287=TRUE,L292=FALSE),IF('Adatlap'!$L$1="Magyar","Jelölje be!","Please, check!"),"")</f>
      </c>
      <c r="C292" t="s" s="900">
        <f>C$17</f>
        <v>868</v>
      </c>
      <c r="D292" s="13"/>
      <c r="E292" s="13"/>
      <c r="F292" s="13"/>
      <c r="G292" s="13"/>
      <c r="H292" s="13"/>
      <c r="I292" s="13"/>
      <c r="J292" s="153"/>
      <c r="K292" s="13"/>
      <c r="L292" t="b" s="1042">
        <v>0</v>
      </c>
      <c r="M292" s="142"/>
      <c r="N292" s="142"/>
      <c r="O292" s="142"/>
      <c r="P292" s="237"/>
      <c r="Q292" s="238"/>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4"/>
    </row>
    <row r="293" ht="12.95" customHeight="1" hidden="1">
      <c r="A293" s="28"/>
      <c r="B293" s="13"/>
      <c r="C293" s="13"/>
      <c r="D293" s="13"/>
      <c r="E293" s="13"/>
      <c r="F293" s="13"/>
      <c r="G293" s="13"/>
      <c r="H293" s="13"/>
      <c r="I293" s="13"/>
      <c r="J293" s="13"/>
      <c r="K293" s="13"/>
      <c r="L293" s="1039"/>
      <c r="M293" s="142"/>
      <c r="N293" s="142"/>
      <c r="O293" s="142"/>
      <c r="P293" s="237"/>
      <c r="Q293" s="238"/>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4"/>
    </row>
    <row r="294" ht="24.95" customHeight="1" hidden="1">
      <c r="A294" t="s" s="777">
        <f>IF(AND(L287=FALSE,L294=FALSE),IF('Adatlap'!$L$1="Magyar","Jelölje be!","Please, check!"),"")</f>
        <v>399</v>
      </c>
      <c r="B294" t="s" s="710">
        <f>B$19</f>
        <v>869</v>
      </c>
      <c r="C294" s="13"/>
      <c r="D294" s="13"/>
      <c r="E294" s="13"/>
      <c r="F294" s="13"/>
      <c r="G294" s="13"/>
      <c r="H294" s="13"/>
      <c r="I294" s="13"/>
      <c r="J294" s="96"/>
      <c r="K294" s="13"/>
      <c r="L294" t="b" s="1042">
        <v>0</v>
      </c>
      <c r="M294" s="142"/>
      <c r="N294" s="142"/>
      <c r="O294" s="142"/>
      <c r="P294" s="237"/>
      <c r="Q294" s="238"/>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4"/>
    </row>
    <row r="295" ht="12.95" customHeight="1" hidden="1">
      <c r="A295" s="28"/>
      <c r="B295" s="13"/>
      <c r="C295" s="13"/>
      <c r="D295" s="13"/>
      <c r="E295" s="13"/>
      <c r="F295" s="13"/>
      <c r="G295" s="13"/>
      <c r="H295" s="13"/>
      <c r="I295" s="13"/>
      <c r="J295" s="13"/>
      <c r="K295" s="13"/>
      <c r="L295" s="1039"/>
      <c r="M295" s="142"/>
      <c r="N295" s="142"/>
      <c r="O295" s="142"/>
      <c r="P295" s="237"/>
      <c r="Q295" s="238"/>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4"/>
    </row>
    <row r="296" ht="12.95" customHeight="1" hidden="1">
      <c r="A296" t="s" s="853">
        <v>823</v>
      </c>
      <c r="B296" t="s" s="854">
        <f>B$21</f>
        <v>871</v>
      </c>
      <c r="C296" s="13"/>
      <c r="D296" s="13"/>
      <c r="E296" s="13"/>
      <c r="F296" s="13"/>
      <c r="G296" s="13"/>
      <c r="H296" s="13"/>
      <c r="I296" s="13"/>
      <c r="J296" s="855"/>
      <c r="K296" s="13"/>
      <c r="L296" s="1039"/>
      <c r="M296" s="142"/>
      <c r="N296" s="142"/>
      <c r="O296" s="142"/>
      <c r="P296" s="237"/>
      <c r="Q296" s="238"/>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4"/>
    </row>
    <row r="297" ht="12.95" customHeight="1" hidden="1">
      <c r="A297" s="28"/>
      <c r="B297" s="13"/>
      <c r="C297" s="13"/>
      <c r="D297" s="13"/>
      <c r="E297" s="13"/>
      <c r="F297" s="13"/>
      <c r="G297" s="13"/>
      <c r="H297" s="13"/>
      <c r="I297" s="13"/>
      <c r="J297" s="13"/>
      <c r="K297" s="13"/>
      <c r="L297" s="1039"/>
      <c r="M297" s="142"/>
      <c r="N297" s="142"/>
      <c r="O297" s="142"/>
      <c r="P297" s="237"/>
      <c r="Q297" s="238"/>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4"/>
    </row>
    <row r="298" ht="24.95" customHeight="1" hidden="1">
      <c r="A298" t="s" s="777">
        <f>IF(AND(L298=FALSE,L304=FALSE),IF('Adatlap'!$L$1="Magyar","Jelölje be!","Please, check!"),"")</f>
        <v>399</v>
      </c>
      <c r="B298" t="s" s="710">
        <f>B$23</f>
        <v>872</v>
      </c>
      <c r="C298" s="13"/>
      <c r="D298" s="13"/>
      <c r="E298" s="13"/>
      <c r="F298" s="13"/>
      <c r="G298" s="13"/>
      <c r="H298" s="13"/>
      <c r="I298" s="13"/>
      <c r="J298" s="96"/>
      <c r="K298" s="13"/>
      <c r="L298" t="b" s="1042">
        <v>0</v>
      </c>
      <c r="M298" s="142"/>
      <c r="N298" s="142"/>
      <c r="O298" s="142"/>
      <c r="P298" s="237"/>
      <c r="Q298" s="238"/>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4"/>
    </row>
    <row r="299" ht="12.95" customHeight="1" hidden="1">
      <c r="A299" s="28"/>
      <c r="B299" s="13"/>
      <c r="C299" s="1021"/>
      <c r="D299" s="1021"/>
      <c r="E299" s="1021"/>
      <c r="F299" s="1021"/>
      <c r="G299" s="1021"/>
      <c r="H299" s="1021"/>
      <c r="I299" s="1021"/>
      <c r="J299" s="1021"/>
      <c r="K299" s="13"/>
      <c r="L299" s="1039"/>
      <c r="M299" s="142"/>
      <c r="N299" s="142"/>
      <c r="O299" s="142"/>
      <c r="P299" s="237"/>
      <c r="Q299" s="238"/>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4"/>
    </row>
    <row r="300" ht="24.95" customHeight="1" hidden="1">
      <c r="A300" s="28"/>
      <c r="B300" t="s" s="897">
        <f>IF(AND($L$298=TRUE,L300=FALSE),IF('Adatlap'!$L$1="Magyar","Jelölje be!","Please, check!"),"")</f>
      </c>
      <c r="C300" t="s" s="900">
        <f>C$25</f>
        <v>873</v>
      </c>
      <c r="D300" s="13"/>
      <c r="E300" s="13"/>
      <c r="F300" s="13"/>
      <c r="G300" s="13"/>
      <c r="H300" s="13"/>
      <c r="I300" s="13"/>
      <c r="J300" s="153"/>
      <c r="K300" s="13"/>
      <c r="L300" t="b" s="1042">
        <v>0</v>
      </c>
      <c r="M300" s="142"/>
      <c r="N300" s="142"/>
      <c r="O300" s="142"/>
      <c r="P300" s="237"/>
      <c r="Q300" s="238"/>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4"/>
    </row>
    <row r="301" ht="8.1" customHeight="1" hidden="1">
      <c r="A301" s="28"/>
      <c r="B301" s="13"/>
      <c r="C301" s="13"/>
      <c r="D301" s="13"/>
      <c r="E301" s="13"/>
      <c r="F301" s="13"/>
      <c r="G301" s="13"/>
      <c r="H301" s="13"/>
      <c r="I301" s="13"/>
      <c r="J301" s="13"/>
      <c r="K301" s="13"/>
      <c r="L301" s="1039"/>
      <c r="M301" s="142"/>
      <c r="N301" s="142"/>
      <c r="O301" s="142"/>
      <c r="P301" s="237"/>
      <c r="Q301" s="238"/>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4"/>
    </row>
    <row r="302" ht="24.95" customHeight="1" hidden="1">
      <c r="A302" s="28"/>
      <c r="B302" t="s" s="897">
        <f>IF(AND($L$298=TRUE,L302=FALSE),IF('Adatlap'!$L$1="Magyar","Jelölje be!","Please, check!"),"")</f>
      </c>
      <c r="C302" t="s" s="1002">
        <f>C$27</f>
        <v>874</v>
      </c>
      <c r="D302" s="714"/>
      <c r="E302" s="714"/>
      <c r="F302" s="714"/>
      <c r="G302" s="714"/>
      <c r="H302" s="714"/>
      <c r="I302" s="714"/>
      <c r="J302" s="714"/>
      <c r="K302" s="13"/>
      <c r="L302" t="b" s="1042">
        <v>0</v>
      </c>
      <c r="M302" s="142"/>
      <c r="N302" s="142"/>
      <c r="O302" s="142"/>
      <c r="P302" s="237"/>
      <c r="Q302" s="238"/>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4"/>
    </row>
    <row r="303" ht="8.1" customHeight="1" hidden="1">
      <c r="A303" s="28"/>
      <c r="B303" s="13"/>
      <c r="C303" s="13"/>
      <c r="D303" s="13"/>
      <c r="E303" s="13"/>
      <c r="F303" s="13"/>
      <c r="G303" s="13"/>
      <c r="H303" s="13"/>
      <c r="I303" s="13"/>
      <c r="J303" s="13"/>
      <c r="K303" s="13"/>
      <c r="L303" s="1039"/>
      <c r="M303" s="142"/>
      <c r="N303" s="142"/>
      <c r="O303" s="142"/>
      <c r="P303" s="237"/>
      <c r="Q303" s="238"/>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4"/>
    </row>
    <row r="304" ht="27.75" customHeight="1">
      <c r="A304" t="s" s="777">
        <f>IF(AND(L298=FALSE,L304=FALSE),IF('Adatlap'!$L$1="Magyar","Jelölje be!","Please, check!"),"")</f>
        <v>399</v>
      </c>
      <c r="B304" t="s" s="710">
        <f>B$29</f>
        <v>875</v>
      </c>
      <c r="C304" s="17"/>
      <c r="D304" s="17"/>
      <c r="E304" s="17"/>
      <c r="F304" s="17"/>
      <c r="G304" s="17"/>
      <c r="H304" s="17"/>
      <c r="I304" s="17"/>
      <c r="J304" s="96"/>
      <c r="K304" s="13"/>
      <c r="L304" t="b" s="1042">
        <v>0</v>
      </c>
      <c r="M304" s="142"/>
      <c r="N304" s="142"/>
      <c r="O304" s="142"/>
      <c r="P304" s="236"/>
      <c r="Q304" s="238"/>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4"/>
    </row>
    <row r="305" ht="13.5" customHeight="1">
      <c r="A305" s="928"/>
      <c r="B305" s="13"/>
      <c r="C305" s="9"/>
      <c r="D305" s="9"/>
      <c r="E305" s="9"/>
      <c r="F305" s="9"/>
      <c r="G305" s="9"/>
      <c r="H305" s="9"/>
      <c r="I305" s="9"/>
      <c r="J305" s="96"/>
      <c r="K305" s="13"/>
      <c r="L305" s="1039"/>
      <c r="M305" s="142"/>
      <c r="N305" s="142"/>
      <c r="O305" s="142"/>
      <c r="P305" s="236"/>
      <c r="Q305" s="238"/>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4"/>
    </row>
    <row r="306" ht="12.95" customHeight="1" hidden="1">
      <c r="A306" s="28"/>
      <c r="B306" s="96"/>
      <c r="C306" s="96"/>
      <c r="D306" s="96"/>
      <c r="E306" s="96"/>
      <c r="F306" s="96"/>
      <c r="G306" s="96"/>
      <c r="H306" s="96"/>
      <c r="I306" s="96"/>
      <c r="J306" s="96"/>
      <c r="K306" s="13"/>
      <c r="L306" s="1039"/>
      <c r="M306" s="142"/>
      <c r="N306" s="142"/>
      <c r="O306" s="142"/>
      <c r="P306" s="237"/>
      <c r="Q306" s="238"/>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4"/>
    </row>
    <row r="307" ht="12.95" customHeight="1">
      <c r="A307" t="s" s="853">
        <f>A$32</f>
        <v>559</v>
      </c>
      <c r="B307" t="s" s="1087">
        <f>B$32</f>
        <v>876</v>
      </c>
      <c r="C307" s="1088"/>
      <c r="D307" s="1088"/>
      <c r="E307" s="1088"/>
      <c r="F307" s="1088"/>
      <c r="G307" s="1088"/>
      <c r="H307" s="1088"/>
      <c r="I307" s="1088"/>
      <c r="J307" s="1088"/>
      <c r="K307" s="13"/>
      <c r="L307" s="1039"/>
      <c r="M307" s="142"/>
      <c r="N307" s="142"/>
      <c r="O307" s="142"/>
      <c r="P307" s="236"/>
      <c r="Q307" s="238"/>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4"/>
    </row>
    <row r="308" ht="12.95" customHeight="1">
      <c r="A308" s="28"/>
      <c r="B308" s="96"/>
      <c r="C308" s="96"/>
      <c r="D308" s="96"/>
      <c r="E308" s="96"/>
      <c r="F308" s="96"/>
      <c r="G308" s="96"/>
      <c r="H308" s="96"/>
      <c r="I308" s="96"/>
      <c r="J308" s="96"/>
      <c r="K308" s="13"/>
      <c r="L308" s="1039"/>
      <c r="M308" s="142"/>
      <c r="N308" s="142"/>
      <c r="O308" s="142"/>
      <c r="P308" s="236"/>
      <c r="Q308" s="238"/>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4"/>
    </row>
    <row r="309" ht="27.95" customHeight="1">
      <c r="A309" t="s" s="777">
        <v>399</v>
      </c>
      <c r="B309" t="s" s="900">
        <f>B$34</f>
        <v>830</v>
      </c>
      <c r="C309" s="13"/>
      <c r="D309" s="13"/>
      <c r="E309" s="13"/>
      <c r="F309" s="13"/>
      <c r="G309" s="13"/>
      <c r="H309" s="13"/>
      <c r="I309" s="13"/>
      <c r="J309" s="153"/>
      <c r="K309" s="13"/>
      <c r="L309" t="b" s="1042">
        <v>0</v>
      </c>
      <c r="M309" s="142"/>
      <c r="N309" s="142"/>
      <c r="O309" t="s" s="1050">
        <f>IF(AND(L304=TRUE,L309=FALSE,L314=FALSE),IF('Adatlap'!$L$1="Magyar","Jelölje be!","Please, check!"),"")</f>
      </c>
      <c r="P309" t="s" s="365">
        <f>IF(AND(L309=FALSE,L314=FALSE),IF('Adatlap'!$L$1="Magyar","Jelölje be!","Please, check!"),"")</f>
        <v>399</v>
      </c>
      <c r="Q309" s="1051">
        <f>IF(AND(L304=TRUE,L309=FALSE,L314=FALSE),1,0)</f>
        <v>0</v>
      </c>
      <c r="R309" s="34">
        <f>IF(AND(L309=FALSE,L314=FALSE),1,0)</f>
        <v>1</v>
      </c>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4"/>
    </row>
    <row r="310" ht="8.1" customHeight="1">
      <c r="A310" s="928"/>
      <c r="B310" s="153"/>
      <c r="C310" s="153"/>
      <c r="D310" s="153"/>
      <c r="E310" s="153"/>
      <c r="F310" s="153"/>
      <c r="G310" s="153"/>
      <c r="H310" s="153"/>
      <c r="I310" s="153"/>
      <c r="J310" s="153"/>
      <c r="K310" s="13"/>
      <c r="L310" s="1039"/>
      <c r="M310" s="142"/>
      <c r="N310" s="142"/>
      <c r="O310" s="142"/>
      <c r="P310" s="236"/>
      <c r="Q310" s="238"/>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4"/>
    </row>
    <row r="311" ht="12.95" customHeight="1">
      <c r="A311" s="928"/>
      <c r="B311" t="s" s="758">
        <f>B$36</f>
        <v>831</v>
      </c>
      <c r="C311" s="13"/>
      <c r="D311" s="13"/>
      <c r="E311" s="13"/>
      <c r="F311" s="13"/>
      <c r="G311" s="13"/>
      <c r="H311" s="13"/>
      <c r="I311" s="13"/>
      <c r="J311" s="13"/>
      <c r="K311" s="13"/>
      <c r="L311" s="1039"/>
      <c r="M311" s="142"/>
      <c r="N311" s="142"/>
      <c r="O311" s="142"/>
      <c r="P311" s="236"/>
      <c r="Q311" s="238"/>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4"/>
    </row>
    <row r="312" ht="24.95" customHeight="1">
      <c r="A312" s="928"/>
      <c r="B312" t="s" s="897">
        <f>IF(AND($L$309=TRUE,L312=FALSE,L313=FALSE),IF('Adatlap'!$L$1="Magyar","Jelölje be!","Please, check!"),"")</f>
      </c>
      <c r="C312" t="s" s="758">
        <f>C$37</f>
        <v>832</v>
      </c>
      <c r="D312" s="494"/>
      <c r="E312" s="494"/>
      <c r="F312" s="494"/>
      <c r="G312" s="494"/>
      <c r="H312" s="494"/>
      <c r="I312" s="494"/>
      <c r="J312" s="494"/>
      <c r="K312" s="13"/>
      <c r="L312" t="b" s="1042">
        <v>0</v>
      </c>
      <c r="M312" s="142"/>
      <c r="N312" s="142"/>
      <c r="O312" s="142"/>
      <c r="P312" s="236"/>
      <c r="Q312" s="238"/>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4"/>
    </row>
    <row r="313" ht="24.95" customHeight="1">
      <c r="A313" s="28"/>
      <c r="B313" t="s" s="897">
        <f>IF(AND($L$309=TRUE,L312=FALSE,L313=FALSE),IF('Adatlap'!$L$1="Magyar","Jelölje be!","Please, check!"),"")</f>
      </c>
      <c r="C313" t="s" s="491">
        <f>C$38</f>
        <v>833</v>
      </c>
      <c r="D313" s="175"/>
      <c r="E313" s="175"/>
      <c r="F313" s="175"/>
      <c r="G313" s="175"/>
      <c r="H313" s="175"/>
      <c r="I313" s="175"/>
      <c r="J313" s="175"/>
      <c r="K313" s="13"/>
      <c r="L313" t="b" s="1042">
        <v>0</v>
      </c>
      <c r="M313" s="142"/>
      <c r="N313" s="142"/>
      <c r="O313" s="142"/>
      <c r="P313" s="236"/>
      <c r="Q313" s="238"/>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4"/>
    </row>
    <row r="314" ht="24.95" customHeight="1">
      <c r="A314" t="s" s="777">
        <v>399</v>
      </c>
      <c r="B314" t="s" s="710">
        <f>B39</f>
        <v>834</v>
      </c>
      <c r="C314" s="13"/>
      <c r="D314" s="13"/>
      <c r="E314" s="13"/>
      <c r="F314" s="13"/>
      <c r="G314" s="13"/>
      <c r="H314" s="13"/>
      <c r="I314" s="13"/>
      <c r="J314" s="96"/>
      <c r="K314" s="13"/>
      <c r="L314" t="b" s="1042">
        <v>0</v>
      </c>
      <c r="M314" s="142"/>
      <c r="N314" s="142"/>
      <c r="O314" s="142"/>
      <c r="P314" s="236"/>
      <c r="Q314" s="238"/>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4"/>
    </row>
    <row r="315" ht="24.95" customHeight="1">
      <c r="A315" s="928"/>
      <c r="B315" t="s" s="758">
        <f>B$40</f>
        <v>831</v>
      </c>
      <c r="C315" s="13"/>
      <c r="D315" s="13"/>
      <c r="E315" s="13"/>
      <c r="F315" s="13"/>
      <c r="G315" s="13"/>
      <c r="H315" s="13"/>
      <c r="I315" s="13"/>
      <c r="J315" s="13"/>
      <c r="K315" s="13"/>
      <c r="L315" s="1039"/>
      <c r="M315" s="142"/>
      <c r="N315" s="142"/>
      <c r="O315" s="142"/>
      <c r="P315" s="236"/>
      <c r="Q315" s="238"/>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4"/>
    </row>
    <row r="316" ht="24.95" customHeight="1">
      <c r="A316" s="928"/>
      <c r="B316" t="s" s="897">
        <f>IF(AND(L314=TRUE,L316=FALSE,L317=FALSE),IF('Adatlap'!$L$1="Magyar","Jelölje be!","Please, check!"),"")</f>
      </c>
      <c r="C316" t="s" s="758">
        <f>C$41</f>
        <v>832</v>
      </c>
      <c r="D316" s="153"/>
      <c r="E316" s="153"/>
      <c r="F316" s="153"/>
      <c r="G316" s="153"/>
      <c r="H316" s="153"/>
      <c r="I316" s="153"/>
      <c r="J316" s="153"/>
      <c r="K316" s="13"/>
      <c r="L316" t="b" s="1042">
        <v>0</v>
      </c>
      <c r="M316" s="142"/>
      <c r="N316" s="142"/>
      <c r="O316" s="142"/>
      <c r="P316" s="236"/>
      <c r="Q316" s="238"/>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4"/>
    </row>
    <row r="317" ht="24.95" customHeight="1">
      <c r="A317" s="28"/>
      <c r="B317" t="s" s="897">
        <f>IF(AND(L314=TRUE,L316=FALSE,L317=FALSE),IF('Adatlap'!$L$1="Magyar","Jelölje be!","Please, check!"),"")</f>
      </c>
      <c r="C317" t="s" s="758">
        <f>C$42</f>
        <v>833</v>
      </c>
      <c r="D317" s="96"/>
      <c r="E317" s="799"/>
      <c r="F317" s="799"/>
      <c r="G317" s="799"/>
      <c r="H317" s="799"/>
      <c r="I317" s="799"/>
      <c r="J317" s="799"/>
      <c r="K317" s="13"/>
      <c r="L317" t="b" s="1042">
        <v>0</v>
      </c>
      <c r="M317" s="142"/>
      <c r="N317" s="142"/>
      <c r="O317" s="142"/>
      <c r="P317" s="236"/>
      <c r="Q317" s="238"/>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4"/>
    </row>
    <row r="318" ht="12.95" customHeight="1">
      <c r="A318" s="928"/>
      <c r="B318" s="153"/>
      <c r="C318" s="153"/>
      <c r="D318" s="153"/>
      <c r="E318" s="153"/>
      <c r="F318" s="153"/>
      <c r="G318" s="153"/>
      <c r="H318" s="153"/>
      <c r="I318" s="153"/>
      <c r="J318" s="153"/>
      <c r="K318" s="13"/>
      <c r="L318" s="1039"/>
      <c r="M318" s="142"/>
      <c r="N318" s="142"/>
      <c r="O318" s="142"/>
      <c r="P318" s="236"/>
      <c r="Q318" s="238"/>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4"/>
    </row>
    <row r="319" ht="24" customHeight="1">
      <c r="A319" s="28"/>
      <c r="B319" t="s" s="897">
        <f>IF(AND(L314=TRUE,L319=FALSE),IF('Adatlap'!$L$1="Magyar","Jelölje be!","Please, check!"),"")</f>
      </c>
      <c r="C319" t="s" s="900">
        <f>C$44</f>
        <v>877</v>
      </c>
      <c r="D319" s="13"/>
      <c r="E319" s="13"/>
      <c r="F319" s="13"/>
      <c r="G319" s="13"/>
      <c r="H319" s="13"/>
      <c r="I319" s="13"/>
      <c r="J319" s="153"/>
      <c r="K319" s="13"/>
      <c r="L319" t="b" s="1042">
        <v>0</v>
      </c>
      <c r="M319" s="142"/>
      <c r="N319" s="142"/>
      <c r="O319" s="1060"/>
      <c r="P319" s="1061"/>
      <c r="Q319" s="1062"/>
      <c r="R319" s="1063"/>
      <c r="S319" s="1063"/>
      <c r="T319" s="1063"/>
      <c r="U319" s="1063"/>
      <c r="V319" s="106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4"/>
    </row>
    <row r="320" ht="12" customHeight="1">
      <c r="A320" s="28"/>
      <c r="B320" s="1057"/>
      <c r="C320" s="1058"/>
      <c r="D320" s="1059"/>
      <c r="E320" s="39"/>
      <c r="F320" s="39"/>
      <c r="G320" s="39"/>
      <c r="H320" s="39"/>
      <c r="I320" s="39"/>
      <c r="J320" s="13"/>
      <c r="K320" s="13"/>
      <c r="L320" s="1039"/>
      <c r="M320" s="142"/>
      <c r="N320" s="142"/>
      <c r="O320" s="1060"/>
      <c r="P320" s="1061"/>
      <c r="Q320" s="1062"/>
      <c r="R320" s="1063"/>
      <c r="S320" s="1063"/>
      <c r="T320" s="1063"/>
      <c r="U320" s="1063"/>
      <c r="V320" s="106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4"/>
    </row>
    <row r="321" ht="12.95" customHeight="1">
      <c r="A321" s="28"/>
      <c r="B321" t="s" s="1091">
        <f>B$46</f>
        <v>883</v>
      </c>
      <c r="C321" s="1092"/>
      <c r="D321" s="1093"/>
      <c r="E321" s="1094"/>
      <c r="F321" t="s" s="1066">
        <f>F$46</f>
        <v>884</v>
      </c>
      <c r="G321" s="1095"/>
      <c r="H321" t="s" s="1066">
        <f>H$46</f>
        <v>885</v>
      </c>
      <c r="I321" s="1095"/>
      <c r="J321" s="1068"/>
      <c r="K321" s="13"/>
      <c r="L321" s="1039"/>
      <c r="M321" s="142"/>
      <c r="N321" s="142"/>
      <c r="O321" s="1060"/>
      <c r="P321" s="1061"/>
      <c r="Q321" s="1062"/>
      <c r="R321" s="1063"/>
      <c r="S321" s="1063"/>
      <c r="T321" s="1063"/>
      <c r="U321" s="1063"/>
      <c r="V321" s="106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4"/>
    </row>
    <row r="322" ht="12.95" customHeight="1">
      <c r="A322" s="28"/>
      <c r="B322" s="68"/>
      <c r="C322" s="1096"/>
      <c r="D322" s="1096"/>
      <c r="E322" s="1097"/>
      <c r="F322" t="s" s="1069">
        <f>F$47</f>
        <v>848</v>
      </c>
      <c r="G322" s="1098"/>
      <c r="H322" t="s" s="1069">
        <f>H$47</f>
        <v>848</v>
      </c>
      <c r="I322" s="1098"/>
      <c r="J322" s="1068"/>
      <c r="K322" s="13"/>
      <c r="L322" s="1039"/>
      <c r="M322" s="142"/>
      <c r="N322" s="142"/>
      <c r="O322" s="1060"/>
      <c r="P322" s="1061"/>
      <c r="Q322" s="1062"/>
      <c r="R322" s="1063"/>
      <c r="S322" s="1063"/>
      <c r="T322" s="1063"/>
      <c r="U322" s="1063"/>
      <c r="V322" s="106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4"/>
    </row>
    <row r="323" ht="27" customHeight="1">
      <c r="A323" s="28"/>
      <c r="B323" t="s" s="1100">
        <f>B48</f>
        <v>614</v>
      </c>
      <c r="C323" s="849"/>
      <c r="D323" s="849"/>
      <c r="E323" s="849"/>
      <c r="F323" s="1072">
        <f>'Kiszerelés 5-8'!F42</f>
        <v>0</v>
      </c>
      <c r="G323" s="1101"/>
      <c r="H323" s="286">
        <f>'Kiszerelés 5-8'!F43</f>
      </c>
      <c r="I323" s="1101"/>
      <c r="J323" s="72"/>
      <c r="K323" s="13"/>
      <c r="L323" s="1039"/>
      <c r="M323" s="142"/>
      <c r="N323" s="142"/>
      <c r="O323" s="142"/>
      <c r="P323" s="236"/>
      <c r="Q323" s="237"/>
      <c r="R323" s="483"/>
      <c r="S323" s="483"/>
      <c r="T323" s="483"/>
      <c r="U323" s="483"/>
      <c r="V323" s="28"/>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4"/>
    </row>
    <row r="324" ht="12.95" customHeight="1">
      <c r="A324" s="28"/>
      <c r="B324" s="1073"/>
      <c r="C324" s="93"/>
      <c r="D324" s="882"/>
      <c r="E324" s="69"/>
      <c r="F324" s="69"/>
      <c r="G324" s="69"/>
      <c r="H324" s="69"/>
      <c r="I324" s="69"/>
      <c r="J324" s="13"/>
      <c r="K324" s="13"/>
      <c r="L324" s="1039"/>
      <c r="M324" s="142"/>
      <c r="N324" s="142"/>
      <c r="O324" s="1108"/>
      <c r="P324" s="1109"/>
      <c r="Q324" s="1114"/>
      <c r="R324" s="156"/>
      <c r="S324" s="156"/>
      <c r="T324" s="156"/>
      <c r="U324" s="156"/>
      <c r="V324" s="156"/>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4"/>
    </row>
    <row r="325" ht="21.95" customHeight="1">
      <c r="A325" s="28"/>
      <c r="B325" t="s" s="897">
        <f>IF(AND($L$314=TRUE,L325=FALSE),IF('Adatlap'!$L$1="Magyar","Jelölje be!","Please, check!"),"")</f>
      </c>
      <c r="C325" t="s" s="710">
        <f>C$50</f>
        <v>886</v>
      </c>
      <c r="D325" s="13"/>
      <c r="E325" s="13"/>
      <c r="F325" s="13"/>
      <c r="G325" s="13"/>
      <c r="H325" s="13"/>
      <c r="I325" s="13"/>
      <c r="J325" s="96"/>
      <c r="K325" s="13"/>
      <c r="L325" t="b" s="1042">
        <v>0</v>
      </c>
      <c r="M325" s="142"/>
      <c r="N325" s="142"/>
      <c r="O325" s="142"/>
      <c r="P325" s="236"/>
      <c r="Q325" s="238"/>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4"/>
    </row>
    <row r="326" ht="26.1" customHeight="1">
      <c r="A326" t="s" s="853">
        <f>A$51</f>
        <v>629</v>
      </c>
      <c r="B326" t="s" s="1077">
        <f>B$51</f>
        <v>887</v>
      </c>
      <c r="C326" s="185"/>
      <c r="D326" s="185"/>
      <c r="E326" s="185"/>
      <c r="F326" s="185"/>
      <c r="G326" s="185"/>
      <c r="H326" s="185"/>
      <c r="I326" s="185"/>
      <c r="J326" s="13"/>
      <c r="K326" s="13"/>
      <c r="L326" s="1039"/>
      <c r="M326" s="142"/>
      <c r="N326" s="142"/>
      <c r="O326" s="142"/>
      <c r="P326" s="236"/>
      <c r="Q326" s="238"/>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4"/>
    </row>
    <row r="327" ht="12.95" customHeight="1">
      <c r="A327" s="28"/>
      <c r="B327" s="937"/>
      <c r="C327" s="494"/>
      <c r="D327" s="153"/>
      <c r="E327" s="13"/>
      <c r="F327" s="13"/>
      <c r="G327" s="13"/>
      <c r="H327" s="13"/>
      <c r="I327" s="13"/>
      <c r="J327" s="13"/>
      <c r="K327" s="13"/>
      <c r="L327" s="1039"/>
      <c r="M327" s="142"/>
      <c r="N327" s="142"/>
      <c r="O327" s="142"/>
      <c r="P327" s="236"/>
      <c r="Q327" s="238"/>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4"/>
    </row>
    <row r="328" ht="12.95" customHeight="1">
      <c r="A328" t="s" s="1078">
        <f>IF(AND($L$304=TRUE,L328=FALSE),IF('Adatlap'!$L$1="Magyar","Jelölje be!","Please, check!"),"")</f>
      </c>
      <c r="B328" t="s" s="900">
        <f>B$53</f>
        <v>888</v>
      </c>
      <c r="C328" s="13"/>
      <c r="D328" s="13"/>
      <c r="E328" s="13"/>
      <c r="F328" s="13"/>
      <c r="G328" s="13"/>
      <c r="H328" s="13"/>
      <c r="I328" s="13"/>
      <c r="J328" s="153"/>
      <c r="K328" s="13"/>
      <c r="L328" t="b" s="1042">
        <v>0</v>
      </c>
      <c r="M328" s="142"/>
      <c r="N328" s="142"/>
      <c r="O328" s="142"/>
      <c r="P328" s="236"/>
      <c r="Q328" s="238"/>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4"/>
    </row>
    <row r="329" ht="12.95" customHeight="1">
      <c r="A329" s="1079"/>
      <c r="B329" s="39"/>
      <c r="C329" s="39"/>
      <c r="D329" s="39"/>
      <c r="E329" s="39"/>
      <c r="F329" s="39"/>
      <c r="G329" s="39"/>
      <c r="H329" s="39"/>
      <c r="I329" s="39"/>
      <c r="J329" s="13"/>
      <c r="K329" s="13"/>
      <c r="L329" s="1039"/>
      <c r="M329" s="142"/>
      <c r="N329" s="142"/>
      <c r="O329" s="142"/>
      <c r="P329" s="236"/>
      <c r="Q329" s="238"/>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4"/>
    </row>
    <row r="330" ht="24.95" customHeight="1">
      <c r="A330" s="28"/>
      <c r="B330" t="s" s="1118">
        <f>B$55</f>
        <v>857</v>
      </c>
      <c r="C330" s="1095"/>
      <c r="D330" s="1105">
        <f>'Kiszerelés 5-8'!D47:F47</f>
        <v>0</v>
      </c>
      <c r="E330" s="1081"/>
      <c r="F330" s="1081"/>
      <c r="G330" s="1081"/>
      <c r="H330" s="1081"/>
      <c r="I330" s="1081"/>
      <c r="J330" s="72"/>
      <c r="K330" s="13"/>
      <c r="L330" s="1039"/>
      <c r="M330" s="142"/>
      <c r="N330" s="142"/>
      <c r="O330" s="142"/>
      <c r="P330" s="236"/>
      <c r="Q330" s="238"/>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4"/>
    </row>
    <row r="331" ht="24.95" customHeight="1">
      <c r="A331" s="28"/>
      <c r="B331" t="s" s="1118">
        <f>B$56</f>
        <v>858</v>
      </c>
      <c r="C331" s="1098"/>
      <c r="D331" s="1105">
        <f>'Kiszerelés 5-8'!D48:F48</f>
        <v>0</v>
      </c>
      <c r="E331" s="1081"/>
      <c r="F331" s="1081"/>
      <c r="G331" s="1081"/>
      <c r="H331" s="1081"/>
      <c r="I331" s="1081"/>
      <c r="J331" s="72"/>
      <c r="K331" s="13"/>
      <c r="L331" s="1039"/>
      <c r="M331" s="142"/>
      <c r="N331" s="142"/>
      <c r="O331" s="142"/>
      <c r="P331" s="236"/>
      <c r="Q331" s="238"/>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4"/>
    </row>
    <row r="332" ht="24.95" customHeight="1">
      <c r="A332" s="28"/>
      <c r="B332" t="s" s="1118">
        <f>B$57</f>
        <v>859</v>
      </c>
      <c r="C332" s="1098"/>
      <c r="D332" s="1105">
        <f>'Kiszerelés 5-8'!D49:F49</f>
        <v>0</v>
      </c>
      <c r="E332" s="1081"/>
      <c r="F332" s="1081"/>
      <c r="G332" s="1081"/>
      <c r="H332" s="1081"/>
      <c r="I332" s="1081"/>
      <c r="J332" s="72"/>
      <c r="K332" s="13"/>
      <c r="L332" s="1039"/>
      <c r="M332" s="142"/>
      <c r="N332" s="142"/>
      <c r="O332" s="142"/>
      <c r="P332" s="236"/>
      <c r="Q332" s="238"/>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4"/>
    </row>
    <row r="333" ht="24.95" customHeight="1">
      <c r="A333" s="28"/>
      <c r="B333" t="s" s="1118">
        <f>B$58</f>
        <v>860</v>
      </c>
      <c r="C333" s="1098"/>
      <c r="D333" s="1105">
        <f>'Kiszerelés 5-8'!D50:F50</f>
        <v>0</v>
      </c>
      <c r="E333" s="1081"/>
      <c r="F333" s="1081"/>
      <c r="G333" s="1081"/>
      <c r="H333" s="1081"/>
      <c r="I333" s="1081"/>
      <c r="J333" s="72"/>
      <c r="K333" s="13"/>
      <c r="L333" s="1039"/>
      <c r="M333" s="142"/>
      <c r="N333" s="142"/>
      <c r="O333" s="142"/>
      <c r="P333" s="236"/>
      <c r="Q333" s="238"/>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4"/>
    </row>
    <row r="334" ht="24.95" customHeight="1">
      <c r="A334" s="28"/>
      <c r="B334" t="s" s="1118">
        <f>B$59</f>
        <v>889</v>
      </c>
      <c r="C334" s="1101"/>
      <c r="D334" s="1082"/>
      <c r="E334" s="1082"/>
      <c r="F334" s="1082"/>
      <c r="G334" s="1082"/>
      <c r="H334" s="1082"/>
      <c r="I334" s="1082"/>
      <c r="J334" s="72"/>
      <c r="K334" s="13"/>
      <c r="L334" s="1039"/>
      <c r="M334" s="142"/>
      <c r="N334" s="142"/>
      <c r="O334" s="142"/>
      <c r="P334" s="236"/>
      <c r="Q334" s="238"/>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4"/>
    </row>
    <row r="335" ht="12.95" customHeight="1">
      <c r="A335" s="28"/>
      <c r="B335" s="69"/>
      <c r="C335" s="69"/>
      <c r="D335" s="69"/>
      <c r="E335" s="69"/>
      <c r="F335" s="69"/>
      <c r="G335" s="69"/>
      <c r="H335" s="69"/>
      <c r="I335" s="69"/>
      <c r="J335" s="13"/>
      <c r="K335" s="13"/>
      <c r="L335" s="1039"/>
      <c r="M335" s="142"/>
      <c r="N335" s="142"/>
      <c r="O335" s="142"/>
      <c r="P335" s="236"/>
      <c r="Q335" s="238"/>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4"/>
    </row>
    <row r="336" ht="24.95" customHeight="1">
      <c r="A336" s="28"/>
      <c r="B336" t="s" s="897">
        <f>IF(AND(L336=FALSE,L328=TRUE),IF('Adatlap'!$L$1="Magyar","Jelölje be!","Please, check!"),"")</f>
      </c>
      <c r="C336" t="s" s="710">
        <f>C$61</f>
        <v>890</v>
      </c>
      <c r="D336" s="96"/>
      <c r="E336" s="96"/>
      <c r="F336" s="96"/>
      <c r="G336" s="96"/>
      <c r="H336" s="96"/>
      <c r="I336" s="96"/>
      <c r="J336" s="96"/>
      <c r="K336" s="13"/>
      <c r="L336" t="b" s="1042">
        <v>0</v>
      </c>
      <c r="M336" s="142"/>
      <c r="N336" s="142"/>
      <c r="O336" s="142"/>
      <c r="P336" s="236"/>
      <c r="Q336" s="238"/>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4"/>
    </row>
    <row r="337" ht="18" customHeight="1">
      <c r="A337" s="28"/>
      <c r="B337" s="13"/>
      <c r="C337" s="13"/>
      <c r="D337" s="13"/>
      <c r="E337" s="13"/>
      <c r="F337" s="13"/>
      <c r="G337" s="13"/>
      <c r="H337" s="13"/>
      <c r="I337" s="13"/>
      <c r="J337" s="13"/>
      <c r="K337" s="13"/>
      <c r="L337" s="1039"/>
      <c r="M337" s="142"/>
      <c r="N337" s="142"/>
      <c r="O337" s="142"/>
      <c r="P337" s="236"/>
      <c r="Q337" s="238"/>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4"/>
    </row>
    <row r="338" ht="21" customHeight="1">
      <c r="A338" t="s" s="1083">
        <f>'Kiszerelés 5-8'!J10</f>
        <v>897</v>
      </c>
      <c r="B338" s="1084"/>
      <c r="C338" t="s" s="1077">
        <f>IF('Kiszerelés 5-8'!J11="","",'Kiszerelés 5-8'!J11)</f>
      </c>
      <c r="D338" s="185"/>
      <c r="E338" s="185"/>
      <c r="F338" s="185"/>
      <c r="G338" s="185"/>
      <c r="H338" s="185"/>
      <c r="I338" s="185"/>
      <c r="J338" s="13"/>
      <c r="K338" s="13"/>
      <c r="L338" s="1039"/>
      <c r="M338" s="142"/>
      <c r="N338" s="142"/>
      <c r="O338" s="142"/>
      <c r="P338" s="236"/>
      <c r="Q338" s="238"/>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4"/>
    </row>
    <row r="339" ht="12.95" customHeight="1">
      <c r="A339" s="28"/>
      <c r="B339" s="13"/>
      <c r="C339" s="13"/>
      <c r="D339" s="13"/>
      <c r="E339" s="13"/>
      <c r="F339" s="13"/>
      <c r="G339" s="13"/>
      <c r="H339" s="13"/>
      <c r="I339" s="13"/>
      <c r="J339" s="13"/>
      <c r="K339" s="13"/>
      <c r="L339" s="1039"/>
      <c r="M339" s="142"/>
      <c r="N339" s="142"/>
      <c r="O339" s="142"/>
      <c r="P339" s="236"/>
      <c r="Q339" s="238"/>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4"/>
    </row>
    <row r="340" ht="12.95" customHeight="1" hidden="1">
      <c r="A340" t="s" s="853">
        <v>508</v>
      </c>
      <c r="B340" t="s" s="1077">
        <v>817</v>
      </c>
      <c r="C340" s="185"/>
      <c r="D340" s="185"/>
      <c r="E340" s="185"/>
      <c r="F340" s="185"/>
      <c r="G340" s="185"/>
      <c r="H340" s="185"/>
      <c r="I340" s="185"/>
      <c r="J340" s="13"/>
      <c r="K340" s="13"/>
      <c r="L340" s="1039"/>
      <c r="M340" s="142"/>
      <c r="N340" s="142"/>
      <c r="O340" s="142"/>
      <c r="P340" s="237"/>
      <c r="Q340" s="238"/>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4"/>
    </row>
    <row r="341" ht="12.95" customHeight="1" hidden="1">
      <c r="A341" s="28"/>
      <c r="B341" s="13"/>
      <c r="C341" s="13"/>
      <c r="D341" s="13"/>
      <c r="E341" s="13"/>
      <c r="F341" s="13"/>
      <c r="G341" s="13"/>
      <c r="H341" s="13"/>
      <c r="I341" s="13"/>
      <c r="J341" s="13"/>
      <c r="K341" s="13"/>
      <c r="L341" s="1039"/>
      <c r="M341" s="142"/>
      <c r="N341" s="142"/>
      <c r="O341" s="142"/>
      <c r="P341" s="237"/>
      <c r="Q341" s="238"/>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4"/>
    </row>
    <row r="342" ht="24.95" customHeight="1" hidden="1">
      <c r="A342" t="s" s="777">
        <f>IF(AND(L342=FALSE,L349=FALSE),IF('Adatlap'!$L$1="Magyar","Jelölje be!","Please, check!"),"")</f>
        <v>399</v>
      </c>
      <c r="B342" t="s" s="710">
        <v>818</v>
      </c>
      <c r="C342" s="13"/>
      <c r="D342" s="17"/>
      <c r="E342" s="17"/>
      <c r="F342" s="17"/>
      <c r="G342" s="17"/>
      <c r="H342" s="17"/>
      <c r="I342" s="17"/>
      <c r="J342" s="96"/>
      <c r="K342" s="13"/>
      <c r="L342" t="b" s="1042">
        <v>0</v>
      </c>
      <c r="M342" s="142"/>
      <c r="N342" s="142"/>
      <c r="O342" s="142"/>
      <c r="P342" s="237"/>
      <c r="Q342" s="238"/>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4"/>
    </row>
    <row r="343" ht="24.95" customHeight="1" hidden="1">
      <c r="A343" s="28"/>
      <c r="B343" t="s" s="897">
        <f>IF(AND(L341=TRUE,L343=FALSE,L344=FALSE),IF('Adatlap'!$L$1="Magyar","Jelölje be!","Please, check!"),"")</f>
      </c>
      <c r="C343" t="s" s="900">
        <v>819</v>
      </c>
      <c r="D343" s="9"/>
      <c r="E343" s="9"/>
      <c r="F343" s="9"/>
      <c r="G343" s="9"/>
      <c r="H343" s="9"/>
      <c r="I343" s="9"/>
      <c r="J343" s="153"/>
      <c r="K343" s="13"/>
      <c r="L343" t="b" s="1042">
        <v>0</v>
      </c>
      <c r="M343" s="142"/>
      <c r="N343" s="142"/>
      <c r="O343" s="142"/>
      <c r="P343" s="237"/>
      <c r="Q343" s="238"/>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4"/>
    </row>
    <row r="344" ht="8.1" customHeight="1" hidden="1">
      <c r="A344" s="28"/>
      <c r="B344" t="s" s="33">
        <f>IF(AND(L341=TRUE,L343=FALSE,L344=FALSE),IF('Adatlap'!$L$1="Magyar","Jelölje be!","Please, check!"),"")</f>
      </c>
      <c r="C344" s="13"/>
      <c r="D344" s="13"/>
      <c r="E344" s="13"/>
      <c r="F344" s="13"/>
      <c r="G344" s="13"/>
      <c r="H344" s="13"/>
      <c r="I344" s="13"/>
      <c r="J344" s="13"/>
      <c r="K344" s="13"/>
      <c r="L344" s="1039"/>
      <c r="M344" s="142"/>
      <c r="N344" s="142"/>
      <c r="O344" s="142"/>
      <c r="P344" s="237"/>
      <c r="Q344" s="238"/>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4"/>
    </row>
    <row r="345" ht="24.95" customHeight="1" hidden="1">
      <c r="A345" s="28"/>
      <c r="B345" s="937"/>
      <c r="C345" t="s" s="900">
        <v>820</v>
      </c>
      <c r="D345" s="13"/>
      <c r="E345" s="13"/>
      <c r="F345" s="13"/>
      <c r="G345" s="13"/>
      <c r="H345" s="13"/>
      <c r="I345" s="13"/>
      <c r="J345" s="153"/>
      <c r="K345" s="13"/>
      <c r="L345" t="b" s="1042">
        <v>0</v>
      </c>
      <c r="M345" s="142"/>
      <c r="N345" s="142"/>
      <c r="O345" s="142"/>
      <c r="P345" s="237"/>
      <c r="Q345" s="238"/>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4"/>
    </row>
    <row r="346" ht="8.1" customHeight="1" hidden="1">
      <c r="A346" s="28"/>
      <c r="B346" t="s" s="33">
        <f>IF(AND(L341=TRUE,L346=FALSE),IF('Adatlap'!$L$1="Magyar","Jelölje be!","Please, check!"),"")</f>
      </c>
      <c r="C346" s="13"/>
      <c r="D346" s="13"/>
      <c r="E346" s="13"/>
      <c r="F346" s="13"/>
      <c r="G346" s="13"/>
      <c r="H346" s="13"/>
      <c r="I346" s="13"/>
      <c r="J346" s="13"/>
      <c r="K346" s="13"/>
      <c r="L346" s="1039"/>
      <c r="M346" s="142"/>
      <c r="N346" s="142"/>
      <c r="O346" s="142"/>
      <c r="P346" s="237"/>
      <c r="Q346" s="238"/>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4"/>
    </row>
    <row r="347" ht="24.95" customHeight="1" hidden="1">
      <c r="A347" s="28"/>
      <c r="B347" t="s" s="897">
        <f>IF(AND($L$342=TRUE,L347=FALSE),IF('Adatlap'!$L$1="Magyar","Jelölje be!","Please, check!"),"")</f>
      </c>
      <c r="C347" t="s" s="900">
        <v>821</v>
      </c>
      <c r="D347" s="13"/>
      <c r="E347" s="13"/>
      <c r="F347" s="13"/>
      <c r="G347" s="13"/>
      <c r="H347" s="13"/>
      <c r="I347" s="13"/>
      <c r="J347" s="153"/>
      <c r="K347" s="13"/>
      <c r="L347" t="b" s="1042">
        <v>0</v>
      </c>
      <c r="M347" s="142"/>
      <c r="N347" s="142"/>
      <c r="O347" s="142"/>
      <c r="P347" s="237"/>
      <c r="Q347" s="238"/>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4"/>
    </row>
    <row r="348" ht="12.95" customHeight="1" hidden="1">
      <c r="A348" s="28"/>
      <c r="B348" s="13"/>
      <c r="C348" s="13"/>
      <c r="D348" s="13"/>
      <c r="E348" s="13"/>
      <c r="F348" s="13"/>
      <c r="G348" s="13"/>
      <c r="H348" s="13"/>
      <c r="I348" s="13"/>
      <c r="J348" s="13"/>
      <c r="K348" s="13"/>
      <c r="L348" s="1039"/>
      <c r="M348" s="142"/>
      <c r="N348" s="142"/>
      <c r="O348" s="142"/>
      <c r="P348" s="237"/>
      <c r="Q348" s="238"/>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4"/>
    </row>
    <row r="349" ht="24.95" customHeight="1" hidden="1">
      <c r="A349" t="s" s="777">
        <f>IF(AND(L342=FALSE,L349=FALSE),IF('Adatlap'!$L$1="Magyar","Jelölje be!","Please, check!"),"")</f>
        <v>399</v>
      </c>
      <c r="B349" t="s" s="710">
        <v>822</v>
      </c>
      <c r="C349" s="13"/>
      <c r="D349" s="13"/>
      <c r="E349" s="13"/>
      <c r="F349" s="13"/>
      <c r="G349" s="13"/>
      <c r="H349" s="13"/>
      <c r="I349" s="13"/>
      <c r="J349" s="96"/>
      <c r="K349" s="13"/>
      <c r="L349" t="b" s="1042">
        <v>0</v>
      </c>
      <c r="M349" s="142"/>
      <c r="N349" s="142"/>
      <c r="O349" s="142"/>
      <c r="P349" s="237"/>
      <c r="Q349" s="238"/>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4"/>
    </row>
    <row r="350" ht="12.95" customHeight="1" hidden="1">
      <c r="A350" s="28"/>
      <c r="B350" s="13"/>
      <c r="C350" s="13"/>
      <c r="D350" s="13"/>
      <c r="E350" s="13"/>
      <c r="F350" s="13"/>
      <c r="G350" s="13"/>
      <c r="H350" s="13"/>
      <c r="I350" s="13"/>
      <c r="J350" s="13"/>
      <c r="K350" s="13"/>
      <c r="L350" s="1039"/>
      <c r="M350" s="142"/>
      <c r="N350" s="142"/>
      <c r="O350" s="142"/>
      <c r="P350" s="237"/>
      <c r="Q350" s="238"/>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4"/>
    </row>
    <row r="351" ht="12.95" customHeight="1" hidden="1">
      <c r="A351" t="s" s="853">
        <v>823</v>
      </c>
      <c r="B351" t="s" s="854">
        <v>824</v>
      </c>
      <c r="C351" s="13"/>
      <c r="D351" s="13"/>
      <c r="E351" s="13"/>
      <c r="F351" s="13"/>
      <c r="G351" s="13"/>
      <c r="H351" s="13"/>
      <c r="I351" s="13"/>
      <c r="J351" s="855"/>
      <c r="K351" s="13"/>
      <c r="L351" s="1039"/>
      <c r="M351" s="142"/>
      <c r="N351" s="142"/>
      <c r="O351" s="142"/>
      <c r="P351" s="237"/>
      <c r="Q351" s="238"/>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4"/>
    </row>
    <row r="352" ht="12.95" customHeight="1" hidden="1">
      <c r="A352" s="28"/>
      <c r="B352" s="13"/>
      <c r="C352" s="13"/>
      <c r="D352" s="13"/>
      <c r="E352" s="13"/>
      <c r="F352" s="13"/>
      <c r="G352" s="13"/>
      <c r="H352" s="13"/>
      <c r="I352" s="13"/>
      <c r="J352" s="13"/>
      <c r="K352" s="13"/>
      <c r="L352" s="1039"/>
      <c r="M352" s="142"/>
      <c r="N352" s="142"/>
      <c r="O352" s="142"/>
      <c r="P352" s="237"/>
      <c r="Q352" s="238"/>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4"/>
    </row>
    <row r="353" ht="24.95" customHeight="1" hidden="1">
      <c r="A353" t="s" s="777">
        <f>IF(AND(L353=FALSE,L359=FALSE),IF('Adatlap'!$L$1="Magyar","Jelölje be!","Please, check!"),"")</f>
        <v>399</v>
      </c>
      <c r="B353" t="s" s="710">
        <v>825</v>
      </c>
      <c r="C353" s="13"/>
      <c r="D353" s="13"/>
      <c r="E353" s="13"/>
      <c r="F353" s="13"/>
      <c r="G353" s="13"/>
      <c r="H353" s="13"/>
      <c r="I353" s="13"/>
      <c r="J353" s="96"/>
      <c r="K353" s="13"/>
      <c r="L353" t="b" s="1042">
        <v>0</v>
      </c>
      <c r="M353" s="142"/>
      <c r="N353" s="142"/>
      <c r="O353" s="142"/>
      <c r="P353" s="237"/>
      <c r="Q353" s="238"/>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4"/>
    </row>
    <row r="354" ht="12.95" customHeight="1" hidden="1">
      <c r="A354" s="28"/>
      <c r="B354" s="13"/>
      <c r="C354" s="1021"/>
      <c r="D354" s="1021"/>
      <c r="E354" s="1021"/>
      <c r="F354" s="1021"/>
      <c r="G354" s="1021"/>
      <c r="H354" s="1021"/>
      <c r="I354" s="1021"/>
      <c r="J354" s="1021"/>
      <c r="K354" s="13"/>
      <c r="L354" s="1039"/>
      <c r="M354" s="142"/>
      <c r="N354" s="142"/>
      <c r="O354" s="142"/>
      <c r="P354" s="237"/>
      <c r="Q354" s="238"/>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4"/>
    </row>
    <row r="355" ht="24.95" customHeight="1" hidden="1">
      <c r="A355" s="28"/>
      <c r="B355" t="s" s="897">
        <f>IF(AND($L$353=TRUE,L355=FALSE),IF('Adatlap'!$L$1="Magyar","Jelölje be!","Please, check!"),"")</f>
      </c>
      <c r="C355" t="s" s="900">
        <v>826</v>
      </c>
      <c r="D355" s="13"/>
      <c r="E355" s="13"/>
      <c r="F355" s="13"/>
      <c r="G355" s="13"/>
      <c r="H355" s="13"/>
      <c r="I355" s="13"/>
      <c r="J355" s="153"/>
      <c r="K355" s="13"/>
      <c r="L355" t="b" s="1042">
        <v>0</v>
      </c>
      <c r="M355" s="142"/>
      <c r="N355" s="142"/>
      <c r="O355" s="142"/>
      <c r="P355" s="237"/>
      <c r="Q355" s="238"/>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4"/>
    </row>
    <row r="356" ht="8.1" customHeight="1" hidden="1">
      <c r="A356" s="28"/>
      <c r="B356" s="13"/>
      <c r="C356" s="13"/>
      <c r="D356" s="13"/>
      <c r="E356" s="13"/>
      <c r="F356" s="13"/>
      <c r="G356" s="13"/>
      <c r="H356" s="13"/>
      <c r="I356" s="13"/>
      <c r="J356" s="13"/>
      <c r="K356" s="13"/>
      <c r="L356" s="1039"/>
      <c r="M356" s="142"/>
      <c r="N356" s="142"/>
      <c r="O356" s="142"/>
      <c r="P356" s="237"/>
      <c r="Q356" s="238"/>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4"/>
    </row>
    <row r="357" ht="24.95" customHeight="1" hidden="1">
      <c r="A357" s="28"/>
      <c r="B357" t="s" s="897">
        <f>IF(AND($L$353=TRUE,L357=FALSE),IF('Adatlap'!$L$1="Magyar","Jelölje be!","Please, check!"),"")</f>
      </c>
      <c r="C357" t="s" s="1002">
        <v>898</v>
      </c>
      <c r="D357" s="714"/>
      <c r="E357" s="714"/>
      <c r="F357" s="714"/>
      <c r="G357" s="714"/>
      <c r="H357" s="714"/>
      <c r="I357" s="714"/>
      <c r="J357" s="714"/>
      <c r="K357" s="13"/>
      <c r="L357" t="b" s="1042">
        <v>0</v>
      </c>
      <c r="M357" s="142"/>
      <c r="N357" s="142"/>
      <c r="O357" s="142"/>
      <c r="P357" s="237"/>
      <c r="Q357" s="238"/>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4"/>
    </row>
    <row r="358" ht="8.1" customHeight="1" hidden="1">
      <c r="A358" s="28"/>
      <c r="B358" s="13"/>
      <c r="C358" s="13"/>
      <c r="D358" s="13"/>
      <c r="E358" s="13"/>
      <c r="F358" s="13"/>
      <c r="G358" s="13"/>
      <c r="H358" s="13"/>
      <c r="I358" s="13"/>
      <c r="J358" s="13"/>
      <c r="K358" s="13"/>
      <c r="L358" s="1039"/>
      <c r="M358" s="142"/>
      <c r="N358" s="142"/>
      <c r="O358" s="142"/>
      <c r="P358" s="237"/>
      <c r="Q358" s="238"/>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4"/>
    </row>
    <row r="359" ht="27.75" customHeight="1">
      <c r="A359" t="s" s="777">
        <f>IF(AND(L353=FALSE,L359=FALSE),IF('Adatlap'!$L$1="Magyar","Jelölje be!","Please, check!"),"")</f>
        <v>399</v>
      </c>
      <c r="B359" t="s" s="710">
        <v>899</v>
      </c>
      <c r="C359" s="96"/>
      <c r="D359" s="96"/>
      <c r="E359" s="96"/>
      <c r="F359" s="96"/>
      <c r="G359" s="96"/>
      <c r="H359" s="96"/>
      <c r="I359" s="96"/>
      <c r="J359" s="96"/>
      <c r="K359" s="13"/>
      <c r="L359" t="b" s="1042">
        <v>0</v>
      </c>
      <c r="M359" s="142"/>
      <c r="N359" s="142"/>
      <c r="O359" s="142"/>
      <c r="P359" s="236"/>
      <c r="Q359" s="238"/>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4"/>
    </row>
    <row r="360" ht="10.5" customHeight="1">
      <c r="A360" s="928"/>
      <c r="B360" s="96"/>
      <c r="C360" s="96"/>
      <c r="D360" s="96"/>
      <c r="E360" s="96"/>
      <c r="F360" s="96"/>
      <c r="G360" s="96"/>
      <c r="H360" s="96"/>
      <c r="I360" s="96"/>
      <c r="J360" s="96"/>
      <c r="K360" s="13"/>
      <c r="L360" s="1039"/>
      <c r="M360" s="142"/>
      <c r="N360" s="142"/>
      <c r="O360" s="142"/>
      <c r="P360" s="236"/>
      <c r="Q360" s="238"/>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4"/>
    </row>
    <row r="361" ht="12.95" customHeight="1" hidden="1">
      <c r="A361" s="28"/>
      <c r="B361" s="96"/>
      <c r="C361" s="96"/>
      <c r="D361" s="96"/>
      <c r="E361" s="96"/>
      <c r="F361" s="96"/>
      <c r="G361" s="96"/>
      <c r="H361" s="96"/>
      <c r="I361" s="96"/>
      <c r="J361" s="96"/>
      <c r="K361" s="13"/>
      <c r="L361" s="1039"/>
      <c r="M361" s="142"/>
      <c r="N361" s="142"/>
      <c r="O361" s="142"/>
      <c r="P361" s="237"/>
      <c r="Q361" s="238"/>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4"/>
    </row>
    <row r="362" ht="12.95" customHeight="1">
      <c r="A362" t="s" s="853">
        <f>A32</f>
        <v>559</v>
      </c>
      <c r="B362" t="s" s="1087">
        <v>829</v>
      </c>
      <c r="C362" s="1088"/>
      <c r="D362" s="1088"/>
      <c r="E362" s="1088"/>
      <c r="F362" s="1088"/>
      <c r="G362" s="1088"/>
      <c r="H362" s="1088"/>
      <c r="I362" s="1088"/>
      <c r="J362" s="1088"/>
      <c r="K362" s="13"/>
      <c r="L362" s="1039"/>
      <c r="M362" s="142"/>
      <c r="N362" s="142"/>
      <c r="O362" s="142"/>
      <c r="P362" s="236"/>
      <c r="Q362" s="238"/>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4"/>
    </row>
    <row r="363" ht="12.95" customHeight="1">
      <c r="A363" s="28"/>
      <c r="B363" s="96"/>
      <c r="C363" s="96"/>
      <c r="D363" s="96"/>
      <c r="E363" s="96"/>
      <c r="F363" s="96"/>
      <c r="G363" s="96"/>
      <c r="H363" s="96"/>
      <c r="I363" s="96"/>
      <c r="J363" s="96"/>
      <c r="K363" s="13"/>
      <c r="L363" s="1039"/>
      <c r="M363" s="142"/>
      <c r="N363" s="142"/>
      <c r="O363" s="142"/>
      <c r="P363" s="236"/>
      <c r="Q363" s="238"/>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4"/>
    </row>
    <row r="364" ht="27.95" customHeight="1">
      <c r="A364" t="s" s="777">
        <v>399</v>
      </c>
      <c r="B364" t="s" s="900">
        <v>900</v>
      </c>
      <c r="C364" s="13"/>
      <c r="D364" s="13"/>
      <c r="E364" s="13"/>
      <c r="F364" s="13"/>
      <c r="G364" s="13"/>
      <c r="H364" s="13"/>
      <c r="I364" s="13"/>
      <c r="J364" s="153"/>
      <c r="K364" s="13"/>
      <c r="L364" t="b" s="1042">
        <v>0</v>
      </c>
      <c r="M364" s="142"/>
      <c r="N364" s="142"/>
      <c r="O364" t="s" s="1050">
        <f>IF(AND(L359=TRUE,L364=FALSE,L369=FALSE),IF('Adatlap'!$L$1="Magyar","Jelölje be!","Please, check!"),"")</f>
      </c>
      <c r="P364" t="s" s="365">
        <f>IF(AND(L364=FALSE,L369=FALSE),IF('Adatlap'!$L$1="Magyar","Jelölje be!","Please, check!"),"")</f>
        <v>399</v>
      </c>
      <c r="Q364" s="1051">
        <f>IF(AND(L359=TRUE,L364=FALSE,L369=FALSE),1,0)</f>
        <v>0</v>
      </c>
      <c r="R364" s="34">
        <f>IF(AND(L364=FALSE,L369=FALSE),1,0)</f>
        <v>1</v>
      </c>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4"/>
    </row>
    <row r="365" ht="8.1" customHeight="1">
      <c r="A365" s="928"/>
      <c r="B365" s="153"/>
      <c r="C365" s="153"/>
      <c r="D365" s="153"/>
      <c r="E365" s="153"/>
      <c r="F365" s="153"/>
      <c r="G365" s="153"/>
      <c r="H365" s="153"/>
      <c r="I365" s="153"/>
      <c r="J365" s="153"/>
      <c r="K365" s="13"/>
      <c r="L365" s="1039"/>
      <c r="M365" s="142"/>
      <c r="N365" s="142"/>
      <c r="O365" s="142"/>
      <c r="P365" s="236"/>
      <c r="Q365" s="238"/>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4"/>
    </row>
    <row r="366" ht="12.95" customHeight="1">
      <c r="A366" s="928"/>
      <c r="B366" t="s" s="758">
        <v>831</v>
      </c>
      <c r="C366" s="13"/>
      <c r="D366" s="13"/>
      <c r="E366" s="13"/>
      <c r="F366" s="13"/>
      <c r="G366" s="13"/>
      <c r="H366" s="13"/>
      <c r="I366" s="13"/>
      <c r="J366" s="13"/>
      <c r="K366" s="13"/>
      <c r="L366" s="1039"/>
      <c r="M366" s="142"/>
      <c r="N366" s="142"/>
      <c r="O366" s="142"/>
      <c r="P366" s="236"/>
      <c r="Q366" s="238"/>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4"/>
    </row>
    <row r="367" ht="24.95" customHeight="1">
      <c r="A367" s="928"/>
      <c r="B367" t="s" s="897">
        <f>IF(AND($L$364=TRUE,L367=FALSE,L368=FALSE),IF('Adatlap'!$L$1="Magyar","Jelölje be!","Please, check!"),"")</f>
      </c>
      <c r="C367" t="s" s="758">
        <v>832</v>
      </c>
      <c r="D367" s="494"/>
      <c r="E367" s="494"/>
      <c r="F367" s="494"/>
      <c r="G367" s="494"/>
      <c r="H367" s="494"/>
      <c r="I367" s="494"/>
      <c r="J367" s="494"/>
      <c r="K367" s="13"/>
      <c r="L367" t="b" s="1042">
        <v>0</v>
      </c>
      <c r="M367" s="142"/>
      <c r="N367" s="142"/>
      <c r="O367" s="142"/>
      <c r="P367" s="236"/>
      <c r="Q367" s="238"/>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4"/>
    </row>
    <row r="368" ht="24.95" customHeight="1">
      <c r="A368" s="28"/>
      <c r="B368" t="s" s="897">
        <f>IF(AND($L$364=TRUE,L367=FALSE,L368=FALSE),IF('Adatlap'!$L$1="Magyar","Jelölje be!","Please, check!"),"")</f>
      </c>
      <c r="C368" t="s" s="491">
        <v>833</v>
      </c>
      <c r="D368" s="175"/>
      <c r="E368" s="175"/>
      <c r="F368" s="175"/>
      <c r="G368" s="175"/>
      <c r="H368" s="175"/>
      <c r="I368" s="175"/>
      <c r="J368" s="175"/>
      <c r="K368" s="13"/>
      <c r="L368" t="b" s="1042">
        <v>0</v>
      </c>
      <c r="M368" s="142"/>
      <c r="N368" s="142"/>
      <c r="O368" s="142"/>
      <c r="P368" s="236"/>
      <c r="Q368" s="238"/>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4"/>
    </row>
    <row r="369" ht="24.95" customHeight="1">
      <c r="A369" t="s" s="777">
        <v>399</v>
      </c>
      <c r="B369" t="s" s="710">
        <f>B39</f>
        <v>834</v>
      </c>
      <c r="C369" s="13"/>
      <c r="D369" s="13"/>
      <c r="E369" s="13"/>
      <c r="F369" s="13"/>
      <c r="G369" s="13"/>
      <c r="H369" s="13"/>
      <c r="I369" s="13"/>
      <c r="J369" s="96"/>
      <c r="K369" s="13"/>
      <c r="L369" t="b" s="1042">
        <v>0</v>
      </c>
      <c r="M369" s="142"/>
      <c r="N369" s="142"/>
      <c r="O369" s="142"/>
      <c r="P369" s="236"/>
      <c r="Q369" s="238"/>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4"/>
    </row>
    <row r="370" ht="24.95" customHeight="1">
      <c r="A370" s="928"/>
      <c r="B370" t="s" s="758">
        <v>831</v>
      </c>
      <c r="C370" s="13"/>
      <c r="D370" s="13"/>
      <c r="E370" s="13"/>
      <c r="F370" s="13"/>
      <c r="G370" s="13"/>
      <c r="H370" s="13"/>
      <c r="I370" s="13"/>
      <c r="J370" s="13"/>
      <c r="K370" s="13"/>
      <c r="L370" s="1039"/>
      <c r="M370" s="142"/>
      <c r="N370" s="142"/>
      <c r="O370" s="142"/>
      <c r="P370" s="236"/>
      <c r="Q370" s="238"/>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4"/>
    </row>
    <row r="371" ht="24.95" customHeight="1">
      <c r="A371" s="928"/>
      <c r="B371" t="s" s="897">
        <f>IF(AND($L$369=TRUE,L371=FALSE,L372=FALSE),IF('Adatlap'!$L$1="Magyar","Jelölje be!","Please, check!"),"")</f>
      </c>
      <c r="C371" t="s" s="758">
        <v>832</v>
      </c>
      <c r="D371" s="153"/>
      <c r="E371" s="153"/>
      <c r="F371" s="153"/>
      <c r="G371" s="153"/>
      <c r="H371" s="153"/>
      <c r="I371" s="153"/>
      <c r="J371" s="153"/>
      <c r="K371" s="13"/>
      <c r="L371" t="b" s="1042">
        <v>0</v>
      </c>
      <c r="M371" s="142"/>
      <c r="N371" s="142"/>
      <c r="O371" s="142"/>
      <c r="P371" s="236"/>
      <c r="Q371" s="238"/>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4"/>
    </row>
    <row r="372" ht="24.95" customHeight="1">
      <c r="A372" s="28"/>
      <c r="B372" t="s" s="897">
        <f>IF(AND($L$369=TRUE,L371=FALSE,L372=FALSE),IF('Adatlap'!$L$1="Magyar","Jelölje be!","Please, check!"),"")</f>
      </c>
      <c r="C372" t="s" s="758">
        <v>833</v>
      </c>
      <c r="D372" s="96"/>
      <c r="E372" s="799"/>
      <c r="F372" s="799"/>
      <c r="G372" s="799"/>
      <c r="H372" s="799"/>
      <c r="I372" s="799"/>
      <c r="J372" s="799"/>
      <c r="K372" s="13"/>
      <c r="L372" t="b" s="1042">
        <v>0</v>
      </c>
      <c r="M372" s="142"/>
      <c r="N372" s="142"/>
      <c r="O372" s="142"/>
      <c r="P372" s="236"/>
      <c r="Q372" s="238"/>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4"/>
    </row>
    <row r="373" ht="12.95" customHeight="1">
      <c r="A373" s="928"/>
      <c r="B373" s="153"/>
      <c r="C373" s="153"/>
      <c r="D373" s="153"/>
      <c r="E373" s="153"/>
      <c r="F373" s="153"/>
      <c r="G373" s="153"/>
      <c r="H373" s="153"/>
      <c r="I373" s="153"/>
      <c r="J373" s="153"/>
      <c r="K373" s="13"/>
      <c r="L373" s="1039"/>
      <c r="M373" s="142"/>
      <c r="N373" s="142"/>
      <c r="O373" s="142"/>
      <c r="P373" s="236"/>
      <c r="Q373" s="238"/>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4"/>
    </row>
    <row r="374" ht="24" customHeight="1">
      <c r="A374" s="28"/>
      <c r="B374" t="s" s="897">
        <f>IF(AND($L$369=TRUE,L374=FALSE),IF('Adatlap'!$L$1="Magyar","Jelölje be!","Please, check!"),"")</f>
      </c>
      <c r="C374" t="s" s="900">
        <v>835</v>
      </c>
      <c r="D374" s="13"/>
      <c r="E374" s="13"/>
      <c r="F374" s="13"/>
      <c r="G374" s="13"/>
      <c r="H374" s="13"/>
      <c r="I374" s="13"/>
      <c r="J374" s="153"/>
      <c r="K374" s="13"/>
      <c r="L374" t="b" s="1042">
        <v>0</v>
      </c>
      <c r="M374" s="142"/>
      <c r="N374" s="142"/>
      <c r="O374" s="1060"/>
      <c r="P374" s="1061"/>
      <c r="Q374" s="1062"/>
      <c r="R374" s="1063"/>
      <c r="S374" s="1063"/>
      <c r="T374" s="1063"/>
      <c r="U374" s="1063"/>
      <c r="V374" s="106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4"/>
    </row>
    <row r="375" ht="12" customHeight="1">
      <c r="A375" s="28"/>
      <c r="B375" s="1057"/>
      <c r="C375" s="1058"/>
      <c r="D375" s="1059"/>
      <c r="E375" s="39"/>
      <c r="F375" s="39"/>
      <c r="G375" s="39"/>
      <c r="H375" s="39"/>
      <c r="I375" s="39"/>
      <c r="J375" s="13"/>
      <c r="K375" s="13"/>
      <c r="L375" s="1039"/>
      <c r="M375" s="142"/>
      <c r="N375" s="142"/>
      <c r="O375" s="1060"/>
      <c r="P375" s="1061"/>
      <c r="Q375" s="1062"/>
      <c r="R375" s="1063"/>
      <c r="S375" s="1063"/>
      <c r="T375" s="1063"/>
      <c r="U375" s="1063"/>
      <c r="V375" s="106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4"/>
    </row>
    <row r="376" ht="12.95" customHeight="1">
      <c r="A376" s="28"/>
      <c r="B376" t="s" s="1091">
        <v>138</v>
      </c>
      <c r="C376" s="1092"/>
      <c r="D376" s="1093"/>
      <c r="E376" s="1094"/>
      <c r="F376" t="s" s="1066">
        <v>845</v>
      </c>
      <c r="G376" s="1095"/>
      <c r="H376" t="s" s="1066">
        <v>846</v>
      </c>
      <c r="I376" s="1095"/>
      <c r="J376" s="1068"/>
      <c r="K376" s="13"/>
      <c r="L376" s="1039"/>
      <c r="M376" s="142"/>
      <c r="N376" s="142"/>
      <c r="O376" s="1060"/>
      <c r="P376" s="1061"/>
      <c r="Q376" s="1062"/>
      <c r="R376" s="1063"/>
      <c r="S376" s="1063"/>
      <c r="T376" s="1063"/>
      <c r="U376" s="1063"/>
      <c r="V376" s="106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4"/>
    </row>
    <row r="377" ht="12.95" customHeight="1">
      <c r="A377" s="28"/>
      <c r="B377" s="68"/>
      <c r="C377" s="1096"/>
      <c r="D377" s="1096"/>
      <c r="E377" s="1097"/>
      <c r="F377" t="s" s="1069">
        <v>847</v>
      </c>
      <c r="G377" s="1098"/>
      <c r="H377" t="s" s="1069">
        <v>847</v>
      </c>
      <c r="I377" s="1098"/>
      <c r="J377" s="1068"/>
      <c r="K377" s="13"/>
      <c r="L377" s="1039"/>
      <c r="M377" s="142"/>
      <c r="N377" s="142"/>
      <c r="O377" s="1060"/>
      <c r="P377" s="1061"/>
      <c r="Q377" s="1062"/>
      <c r="R377" s="1063"/>
      <c r="S377" s="1063"/>
      <c r="T377" s="1063"/>
      <c r="U377" s="1063"/>
      <c r="V377" s="106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4"/>
    </row>
    <row r="378" ht="27" customHeight="1">
      <c r="A378" s="28"/>
      <c r="B378" t="s" s="1100">
        <f>B48</f>
        <v>614</v>
      </c>
      <c r="C378" s="849"/>
      <c r="D378" s="849"/>
      <c r="E378" s="849"/>
      <c r="F378" s="1072">
        <f>'Kiszerelés 5-8'!M21</f>
        <v>0</v>
      </c>
      <c r="G378" s="1101"/>
      <c r="H378" s="286">
        <f>'Kiszerelés 5-8'!M22</f>
      </c>
      <c r="I378" s="1101"/>
      <c r="J378" s="72"/>
      <c r="K378" s="13"/>
      <c r="L378" s="1039"/>
      <c r="M378" s="142"/>
      <c r="N378" s="142"/>
      <c r="O378" s="142"/>
      <c r="P378" s="236"/>
      <c r="Q378" s="237"/>
      <c r="R378" s="483"/>
      <c r="S378" s="483"/>
      <c r="T378" s="483"/>
      <c r="U378" s="483"/>
      <c r="V378" s="28"/>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4"/>
    </row>
    <row r="379" ht="12.95" customHeight="1">
      <c r="A379" s="28"/>
      <c r="B379" s="1073"/>
      <c r="C379" s="93"/>
      <c r="D379" s="882"/>
      <c r="E379" s="69"/>
      <c r="F379" s="69"/>
      <c r="G379" s="69"/>
      <c r="H379" s="69"/>
      <c r="I379" s="69"/>
      <c r="J379" s="13"/>
      <c r="K379" s="13"/>
      <c r="L379" s="1039"/>
      <c r="M379" s="142"/>
      <c r="N379" s="142"/>
      <c r="O379" s="1108"/>
      <c r="P379" s="1109"/>
      <c r="Q379" s="1114"/>
      <c r="R379" s="156"/>
      <c r="S379" s="156"/>
      <c r="T379" s="156"/>
      <c r="U379" s="156"/>
      <c r="V379" s="156"/>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4"/>
    </row>
    <row r="380" ht="21.95" customHeight="1">
      <c r="A380" s="28"/>
      <c r="B380" t="s" s="897">
        <f>IF(AND($L$369=TRUE,L380=FALSE),IF('Adatlap'!$L$1="Magyar","Jelölje be!","Please, check!"),"")</f>
      </c>
      <c r="C380" t="s" s="710">
        <v>854</v>
      </c>
      <c r="D380" s="13"/>
      <c r="E380" s="13"/>
      <c r="F380" s="13"/>
      <c r="G380" s="13"/>
      <c r="H380" s="13"/>
      <c r="I380" s="13"/>
      <c r="J380" s="96"/>
      <c r="K380" s="13"/>
      <c r="L380" s="1039"/>
      <c r="M380" s="142"/>
      <c r="N380" s="142"/>
      <c r="O380" s="142"/>
      <c r="P380" s="236"/>
      <c r="Q380" s="238"/>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4"/>
    </row>
    <row r="381" ht="26.1" customHeight="1">
      <c r="A381" t="s" s="853">
        <f>A$51</f>
        <v>629</v>
      </c>
      <c r="B381" t="s" s="1077">
        <v>855</v>
      </c>
      <c r="C381" s="185"/>
      <c r="D381" s="185"/>
      <c r="E381" s="185"/>
      <c r="F381" s="185"/>
      <c r="G381" s="185"/>
      <c r="H381" s="185"/>
      <c r="I381" s="185"/>
      <c r="J381" s="13"/>
      <c r="K381" s="13"/>
      <c r="L381" s="1039"/>
      <c r="M381" s="142"/>
      <c r="N381" s="142"/>
      <c r="O381" s="142"/>
      <c r="P381" s="236"/>
      <c r="Q381" s="238"/>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4"/>
    </row>
    <row r="382" ht="12.95" customHeight="1">
      <c r="A382" s="28"/>
      <c r="B382" s="937"/>
      <c r="C382" s="494"/>
      <c r="D382" s="153"/>
      <c r="E382" s="13"/>
      <c r="F382" s="13"/>
      <c r="G382" s="13"/>
      <c r="H382" s="13"/>
      <c r="I382" s="13"/>
      <c r="J382" s="13"/>
      <c r="K382" s="13"/>
      <c r="L382" s="1039"/>
      <c r="M382" s="142"/>
      <c r="N382" s="142"/>
      <c r="O382" s="142"/>
      <c r="P382" s="236"/>
      <c r="Q382" s="238"/>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4"/>
    </row>
    <row r="383" ht="12.95" customHeight="1">
      <c r="A383" t="s" s="1078">
        <f>IF(AND($L$359=TRUE,L383=FALSE),IF('Adatlap'!$L$1="Magyar","Jelölje be!","Please, check!"),"")</f>
      </c>
      <c r="B383" t="s" s="900">
        <v>856</v>
      </c>
      <c r="C383" s="13"/>
      <c r="D383" s="13"/>
      <c r="E383" s="13"/>
      <c r="F383" s="13"/>
      <c r="G383" s="13"/>
      <c r="H383" s="13"/>
      <c r="I383" s="13"/>
      <c r="J383" s="153"/>
      <c r="K383" s="13"/>
      <c r="L383" t="b" s="1042">
        <v>0</v>
      </c>
      <c r="M383" s="142"/>
      <c r="N383" s="142"/>
      <c r="O383" s="142"/>
      <c r="P383" s="236"/>
      <c r="Q383" s="238"/>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4"/>
    </row>
    <row r="384" ht="12.95" customHeight="1">
      <c r="A384" s="13"/>
      <c r="B384" s="39"/>
      <c r="C384" s="39"/>
      <c r="D384" s="39"/>
      <c r="E384" s="39"/>
      <c r="F384" s="39"/>
      <c r="G384" s="39"/>
      <c r="H384" s="39"/>
      <c r="I384" s="39"/>
      <c r="J384" s="13"/>
      <c r="K384" s="13"/>
      <c r="L384" s="1039"/>
      <c r="M384" s="142"/>
      <c r="N384" s="142"/>
      <c r="O384" s="142"/>
      <c r="P384" s="236"/>
      <c r="Q384" s="238"/>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4"/>
    </row>
    <row r="385" ht="24.95" customHeight="1">
      <c r="A385" s="1065"/>
      <c r="B385" t="s" s="1080">
        <v>374</v>
      </c>
      <c r="C385" s="1095"/>
      <c r="D385" s="1105">
        <f>'Kiszerelés 5-8'!K26</f>
        <v>0</v>
      </c>
      <c r="E385" s="1092"/>
      <c r="F385" s="1093"/>
      <c r="G385" s="1093"/>
      <c r="H385" s="1093"/>
      <c r="I385" s="1094"/>
      <c r="J385" s="72"/>
      <c r="K385" s="13"/>
      <c r="L385" s="1039"/>
      <c r="M385" s="142"/>
      <c r="N385" s="142"/>
      <c r="O385" s="142"/>
      <c r="P385" s="236"/>
      <c r="Q385" s="238"/>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4"/>
    </row>
    <row r="386" ht="24.95" customHeight="1">
      <c r="A386" s="1065"/>
      <c r="B386" t="s" s="1080">
        <v>376</v>
      </c>
      <c r="C386" s="1098"/>
      <c r="D386" s="1105">
        <f>'Kiszerelés 5-8'!K27</f>
        <v>0</v>
      </c>
      <c r="E386" s="1115"/>
      <c r="F386" s="226"/>
      <c r="G386" s="226"/>
      <c r="H386" s="226"/>
      <c r="I386" s="1116"/>
      <c r="J386" s="72"/>
      <c r="K386" s="13"/>
      <c r="L386" s="1039"/>
      <c r="M386" s="142"/>
      <c r="N386" s="142"/>
      <c r="O386" s="142"/>
      <c r="P386" s="236"/>
      <c r="Q386" s="238"/>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4"/>
    </row>
    <row r="387" ht="24.95" customHeight="1">
      <c r="A387" s="1065"/>
      <c r="B387" t="s" s="1080">
        <v>378</v>
      </c>
      <c r="C387" s="1098"/>
      <c r="D387" s="1105">
        <f>'Kiszerelés 5-8'!K28</f>
        <v>0</v>
      </c>
      <c r="E387" s="1115"/>
      <c r="F387" s="226"/>
      <c r="G387" s="226"/>
      <c r="H387" s="226"/>
      <c r="I387" s="1116"/>
      <c r="J387" s="72"/>
      <c r="K387" s="13"/>
      <c r="L387" s="1039"/>
      <c r="M387" s="142"/>
      <c r="N387" s="142"/>
      <c r="O387" s="142"/>
      <c r="P387" s="236"/>
      <c r="Q387" s="238"/>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4"/>
    </row>
    <row r="388" ht="24.95" customHeight="1">
      <c r="A388" s="1065"/>
      <c r="B388" t="s" s="1080">
        <v>380</v>
      </c>
      <c r="C388" s="1098"/>
      <c r="D388" s="1105">
        <f>'Kiszerelés 5-8'!K29</f>
        <v>0</v>
      </c>
      <c r="E388" s="1117"/>
      <c r="F388" s="1096"/>
      <c r="G388" s="1096"/>
      <c r="H388" s="1096"/>
      <c r="I388" s="1097"/>
      <c r="J388" s="72"/>
      <c r="K388" s="13"/>
      <c r="L388" s="1039"/>
      <c r="M388" s="142"/>
      <c r="N388" s="142"/>
      <c r="O388" s="142"/>
      <c r="P388" s="236"/>
      <c r="Q388" s="238"/>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4"/>
    </row>
    <row r="389" ht="24.95" customHeight="1">
      <c r="A389" s="1065"/>
      <c r="B389" t="s" s="1080">
        <v>861</v>
      </c>
      <c r="C389" s="1101"/>
      <c r="D389" s="1082"/>
      <c r="E389" s="1082"/>
      <c r="F389" s="1082"/>
      <c r="G389" s="1082"/>
      <c r="H389" s="1082"/>
      <c r="I389" s="1082"/>
      <c r="J389" s="72"/>
      <c r="K389" s="13"/>
      <c r="L389" s="1039"/>
      <c r="M389" s="142"/>
      <c r="N389" s="142"/>
      <c r="O389" s="142"/>
      <c r="P389" s="236"/>
      <c r="Q389" s="238"/>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4"/>
    </row>
    <row r="390" ht="12.95" customHeight="1">
      <c r="A390" s="28"/>
      <c r="B390" s="69"/>
      <c r="C390" s="69"/>
      <c r="D390" s="69"/>
      <c r="E390" s="69"/>
      <c r="F390" s="69"/>
      <c r="G390" s="69"/>
      <c r="H390" s="69"/>
      <c r="I390" s="69"/>
      <c r="J390" s="13"/>
      <c r="K390" s="13"/>
      <c r="L390" s="1039"/>
      <c r="M390" s="142"/>
      <c r="N390" s="142"/>
      <c r="O390" s="142"/>
      <c r="P390" s="236"/>
      <c r="Q390" s="238"/>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4"/>
    </row>
    <row r="391" ht="24.95" customHeight="1">
      <c r="A391" s="28"/>
      <c r="B391" t="s" s="897">
        <f>IF(AND(L391=FALSE,L383=TRUE),IF('Adatlap'!$L$1="Magyar","Jelölje be!","Please, check!"),"")</f>
      </c>
      <c r="C391" t="s" s="710">
        <v>862</v>
      </c>
      <c r="D391" s="96"/>
      <c r="E391" s="96"/>
      <c r="F391" s="96"/>
      <c r="G391" s="96"/>
      <c r="H391" s="96"/>
      <c r="I391" s="96"/>
      <c r="J391" s="96"/>
      <c r="K391" s="13"/>
      <c r="L391" t="b" s="1042">
        <v>0</v>
      </c>
      <c r="M391" s="142"/>
      <c r="N391" s="142"/>
      <c r="O391" s="142"/>
      <c r="P391" s="236"/>
      <c r="Q391" s="238"/>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4"/>
    </row>
    <row r="392" ht="18" customHeight="1">
      <c r="A392" s="28"/>
      <c r="B392" s="13"/>
      <c r="C392" s="13"/>
      <c r="D392" s="13"/>
      <c r="E392" s="13"/>
      <c r="F392" s="13"/>
      <c r="G392" s="13"/>
      <c r="H392" s="13"/>
      <c r="I392" s="13"/>
      <c r="J392" s="13"/>
      <c r="K392" s="13"/>
      <c r="L392" s="1039"/>
      <c r="M392" s="142"/>
      <c r="N392" s="142"/>
      <c r="O392" s="142"/>
      <c r="P392" s="236"/>
      <c r="Q392" s="238"/>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4"/>
    </row>
    <row r="393" ht="21" customHeight="1">
      <c r="A393" t="s" s="1083">
        <f>'Kiszerelés 5-8'!J31</f>
        <v>901</v>
      </c>
      <c r="B393" s="1084"/>
      <c r="C393" t="s" s="1077">
        <f>IF('Kiszerelés 5-8'!J32="","",'Kiszerelés 5-8'!J32)</f>
      </c>
      <c r="D393" s="185"/>
      <c r="E393" s="185"/>
      <c r="F393" s="185"/>
      <c r="G393" s="185"/>
      <c r="H393" s="185"/>
      <c r="I393" s="185"/>
      <c r="J393" s="13"/>
      <c r="K393" s="13"/>
      <c r="L393" s="1039"/>
      <c r="M393" s="142"/>
      <c r="N393" s="142"/>
      <c r="O393" s="142"/>
      <c r="P393" s="236"/>
      <c r="Q393" s="238"/>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4"/>
    </row>
    <row r="394" ht="12.95" customHeight="1">
      <c r="A394" s="28"/>
      <c r="B394" s="13"/>
      <c r="C394" s="13"/>
      <c r="D394" s="13"/>
      <c r="E394" s="13"/>
      <c r="F394" s="13"/>
      <c r="G394" s="13"/>
      <c r="H394" s="13"/>
      <c r="I394" s="13"/>
      <c r="J394" s="13"/>
      <c r="K394" s="13"/>
      <c r="L394" s="1039"/>
      <c r="M394" s="142"/>
      <c r="N394" s="142"/>
      <c r="O394" s="142"/>
      <c r="P394" s="236"/>
      <c r="Q394" s="238"/>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4"/>
    </row>
    <row r="395" ht="12.95" customHeight="1" hidden="1">
      <c r="A395" t="s" s="853">
        <f>A$10</f>
        <v>559</v>
      </c>
      <c r="B395" t="s" s="1077">
        <f>B$10</f>
        <v>864</v>
      </c>
      <c r="C395" s="185"/>
      <c r="D395" s="185"/>
      <c r="E395" s="185"/>
      <c r="F395" s="185"/>
      <c r="G395" s="185"/>
      <c r="H395" s="185"/>
      <c r="I395" s="185"/>
      <c r="J395" s="13"/>
      <c r="K395" s="13"/>
      <c r="L395" s="1039"/>
      <c r="M395" s="142"/>
      <c r="N395" s="142"/>
      <c r="O395" s="142"/>
      <c r="P395" s="237"/>
      <c r="Q395" s="238"/>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4"/>
    </row>
    <row r="396" ht="12.95" customHeight="1" hidden="1">
      <c r="A396" s="28"/>
      <c r="B396" s="13"/>
      <c r="C396" s="13"/>
      <c r="D396" s="13"/>
      <c r="E396" s="13"/>
      <c r="F396" s="13"/>
      <c r="G396" s="13"/>
      <c r="H396" s="13"/>
      <c r="I396" s="13"/>
      <c r="J396" s="13"/>
      <c r="K396" s="13"/>
      <c r="L396" s="1039"/>
      <c r="M396" s="142"/>
      <c r="N396" s="142"/>
      <c r="O396" s="142"/>
      <c r="P396" s="237"/>
      <c r="Q396" s="238"/>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4"/>
    </row>
    <row r="397" ht="24.95" customHeight="1" hidden="1">
      <c r="A397" t="s" s="777">
        <f>IF(AND(L397=FALSE,L404=FALSE),IF('Adatlap'!$L$1="Magyar","Jelölje be!","Please, check!"),"")</f>
        <v>399</v>
      </c>
      <c r="B397" t="s" s="710">
        <f>B$12</f>
        <v>865</v>
      </c>
      <c r="C397" s="13"/>
      <c r="D397" s="17"/>
      <c r="E397" s="17"/>
      <c r="F397" s="17"/>
      <c r="G397" s="17"/>
      <c r="H397" s="17"/>
      <c r="I397" s="17"/>
      <c r="J397" s="96"/>
      <c r="K397" s="13"/>
      <c r="L397" t="b" s="1042">
        <v>0</v>
      </c>
      <c r="M397" s="142"/>
      <c r="N397" s="142"/>
      <c r="O397" s="142"/>
      <c r="P397" s="237"/>
      <c r="Q397" s="238"/>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4"/>
    </row>
    <row r="398" ht="24.95" customHeight="1" hidden="1">
      <c r="A398" s="28"/>
      <c r="B398" t="s" s="897">
        <f>IF(AND($L$397=TRUE,L398=FALSE),IF('Adatlap'!$L$1="Magyar","Jelölje be!","Please, check!"),"")</f>
      </c>
      <c r="C398" t="s" s="900">
        <f>C$13</f>
        <v>866</v>
      </c>
      <c r="D398" s="9"/>
      <c r="E398" s="9"/>
      <c r="F398" s="9"/>
      <c r="G398" s="9"/>
      <c r="H398" s="9"/>
      <c r="I398" s="9"/>
      <c r="J398" s="153"/>
      <c r="K398" s="13"/>
      <c r="L398" t="b" s="1042">
        <v>0</v>
      </c>
      <c r="M398" s="142"/>
      <c r="N398" s="142"/>
      <c r="O398" s="142"/>
      <c r="P398" s="237"/>
      <c r="Q398" s="238"/>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4"/>
    </row>
    <row r="399" ht="8.1" customHeight="1" hidden="1">
      <c r="A399" s="28"/>
      <c r="B399" s="13"/>
      <c r="C399" s="13"/>
      <c r="D399" s="13"/>
      <c r="E399" s="13"/>
      <c r="F399" s="13"/>
      <c r="G399" s="13"/>
      <c r="H399" s="13"/>
      <c r="I399" s="13"/>
      <c r="J399" s="13"/>
      <c r="K399" s="13"/>
      <c r="L399" s="1039"/>
      <c r="M399" s="142"/>
      <c r="N399" s="142"/>
      <c r="O399" s="142"/>
      <c r="P399" s="237"/>
      <c r="Q399" s="238"/>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4"/>
    </row>
    <row r="400" ht="24.95" customHeight="1" hidden="1">
      <c r="A400" s="28"/>
      <c r="B400" t="s" s="897">
        <f>IF(AND($L$397=TRUE,L400=FALSE),IF('Adatlap'!$L$1="Magyar","Jelölje be!","Please, check!"),"")</f>
      </c>
      <c r="C400" t="s" s="900">
        <f>C$15</f>
        <v>867</v>
      </c>
      <c r="D400" s="13"/>
      <c r="E400" s="13"/>
      <c r="F400" s="13"/>
      <c r="G400" s="13"/>
      <c r="H400" s="13"/>
      <c r="I400" s="13"/>
      <c r="J400" s="153"/>
      <c r="K400" s="13"/>
      <c r="L400" t="b" s="1042">
        <v>0</v>
      </c>
      <c r="M400" s="142"/>
      <c r="N400" s="142"/>
      <c r="O400" s="142"/>
      <c r="P400" s="237"/>
      <c r="Q400" s="238"/>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4"/>
    </row>
    <row r="401" ht="8.1" customHeight="1" hidden="1">
      <c r="A401" s="28"/>
      <c r="B401" s="13"/>
      <c r="C401" s="13"/>
      <c r="D401" s="13"/>
      <c r="E401" s="13"/>
      <c r="F401" s="13"/>
      <c r="G401" s="13"/>
      <c r="H401" s="13"/>
      <c r="I401" s="13"/>
      <c r="J401" s="13"/>
      <c r="K401" s="13"/>
      <c r="L401" s="1039"/>
      <c r="M401" s="142"/>
      <c r="N401" s="142"/>
      <c r="O401" s="142"/>
      <c r="P401" s="237"/>
      <c r="Q401" s="238"/>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4"/>
    </row>
    <row r="402" ht="24.95" customHeight="1" hidden="1">
      <c r="A402" s="28"/>
      <c r="B402" t="s" s="897">
        <f>IF(AND($L$397=TRUE,L402=FALSE),IF('Adatlap'!$L$1="Magyar","Jelölje be!","Please, check!"),"")</f>
      </c>
      <c r="C402" t="s" s="900">
        <f>C$17</f>
        <v>868</v>
      </c>
      <c r="D402" s="13"/>
      <c r="E402" s="13"/>
      <c r="F402" s="13"/>
      <c r="G402" s="13"/>
      <c r="H402" s="13"/>
      <c r="I402" s="13"/>
      <c r="J402" s="153"/>
      <c r="K402" s="13"/>
      <c r="L402" t="b" s="1042">
        <v>0</v>
      </c>
      <c r="M402" s="142"/>
      <c r="N402" s="142"/>
      <c r="O402" s="142"/>
      <c r="P402" s="237"/>
      <c r="Q402" s="238"/>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4"/>
    </row>
    <row r="403" ht="12.95" customHeight="1" hidden="1">
      <c r="A403" s="28"/>
      <c r="B403" s="13"/>
      <c r="C403" s="13"/>
      <c r="D403" s="13"/>
      <c r="E403" s="13"/>
      <c r="F403" s="13"/>
      <c r="G403" s="13"/>
      <c r="H403" s="13"/>
      <c r="I403" s="13"/>
      <c r="J403" s="13"/>
      <c r="K403" s="13"/>
      <c r="L403" s="1039"/>
      <c r="M403" s="142"/>
      <c r="N403" s="142"/>
      <c r="O403" s="142"/>
      <c r="P403" s="237"/>
      <c r="Q403" s="238"/>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4"/>
    </row>
    <row r="404" ht="24.95" customHeight="1" hidden="1">
      <c r="A404" t="s" s="777">
        <f>IF(AND(L397=FALSE,L404=FALSE),IF('Adatlap'!$L$1="Magyar","Jelölje be!","Please, check!"),"")</f>
        <v>399</v>
      </c>
      <c r="B404" t="s" s="710">
        <f>B$19</f>
        <v>869</v>
      </c>
      <c r="C404" s="13"/>
      <c r="D404" s="13"/>
      <c r="E404" s="13"/>
      <c r="F404" s="13"/>
      <c r="G404" s="13"/>
      <c r="H404" s="13"/>
      <c r="I404" s="13"/>
      <c r="J404" s="96"/>
      <c r="K404" s="13"/>
      <c r="L404" t="b" s="1042">
        <v>0</v>
      </c>
      <c r="M404" s="142"/>
      <c r="N404" s="142"/>
      <c r="O404" s="142"/>
      <c r="P404" s="237"/>
      <c r="Q404" s="238"/>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4"/>
    </row>
    <row r="405" ht="12.95" customHeight="1" hidden="1">
      <c r="A405" s="28"/>
      <c r="B405" s="13"/>
      <c r="C405" s="13"/>
      <c r="D405" s="13"/>
      <c r="E405" s="13"/>
      <c r="F405" s="13"/>
      <c r="G405" s="13"/>
      <c r="H405" s="13"/>
      <c r="I405" s="13"/>
      <c r="J405" s="13"/>
      <c r="K405" s="13"/>
      <c r="L405" s="1039"/>
      <c r="M405" s="142"/>
      <c r="N405" s="142"/>
      <c r="O405" s="142"/>
      <c r="P405" s="237"/>
      <c r="Q405" s="238"/>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4"/>
    </row>
    <row r="406" ht="12.95" customHeight="1" hidden="1">
      <c r="A406" t="s" s="853">
        <v>823</v>
      </c>
      <c r="B406" t="s" s="854">
        <f>B$21</f>
        <v>871</v>
      </c>
      <c r="C406" s="13"/>
      <c r="D406" s="13"/>
      <c r="E406" s="13"/>
      <c r="F406" s="13"/>
      <c r="G406" s="13"/>
      <c r="H406" s="13"/>
      <c r="I406" s="13"/>
      <c r="J406" s="855"/>
      <c r="K406" s="13"/>
      <c r="L406" s="1039"/>
      <c r="M406" s="142"/>
      <c r="N406" s="142"/>
      <c r="O406" s="142"/>
      <c r="P406" s="237"/>
      <c r="Q406" s="238"/>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4"/>
    </row>
    <row r="407" ht="12.95" customHeight="1" hidden="1">
      <c r="A407" s="28"/>
      <c r="B407" s="13"/>
      <c r="C407" s="13"/>
      <c r="D407" s="13"/>
      <c r="E407" s="13"/>
      <c r="F407" s="13"/>
      <c r="G407" s="13"/>
      <c r="H407" s="13"/>
      <c r="I407" s="13"/>
      <c r="J407" s="13"/>
      <c r="K407" s="13"/>
      <c r="L407" s="1039"/>
      <c r="M407" s="142"/>
      <c r="N407" s="142"/>
      <c r="O407" s="142"/>
      <c r="P407" s="237"/>
      <c r="Q407" s="238"/>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4"/>
    </row>
    <row r="408" ht="24.95" customHeight="1" hidden="1">
      <c r="A408" t="s" s="777">
        <f>IF(AND(L408=FALSE,L414=FALSE),IF('Adatlap'!$L$1="Magyar","Jelölje be!","Please, check!"),"")</f>
        <v>399</v>
      </c>
      <c r="B408" t="s" s="710">
        <f>B$23</f>
        <v>872</v>
      </c>
      <c r="C408" s="13"/>
      <c r="D408" s="13"/>
      <c r="E408" s="13"/>
      <c r="F408" s="13"/>
      <c r="G408" s="13"/>
      <c r="H408" s="13"/>
      <c r="I408" s="13"/>
      <c r="J408" s="96"/>
      <c r="K408" s="13"/>
      <c r="L408" t="b" s="1042">
        <v>0</v>
      </c>
      <c r="M408" s="142"/>
      <c r="N408" s="142"/>
      <c r="O408" s="142"/>
      <c r="P408" s="237"/>
      <c r="Q408" s="238"/>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4"/>
    </row>
    <row r="409" ht="12.95" customHeight="1" hidden="1">
      <c r="A409" s="28"/>
      <c r="B409" s="13"/>
      <c r="C409" s="1021"/>
      <c r="D409" s="1021"/>
      <c r="E409" s="1021"/>
      <c r="F409" s="1021"/>
      <c r="G409" s="1021"/>
      <c r="H409" s="1021"/>
      <c r="I409" s="1021"/>
      <c r="J409" s="1021"/>
      <c r="K409" s="13"/>
      <c r="L409" s="1039"/>
      <c r="M409" s="142"/>
      <c r="N409" s="142"/>
      <c r="O409" s="142"/>
      <c r="P409" s="237"/>
      <c r="Q409" s="238"/>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4"/>
    </row>
    <row r="410" ht="24.95" customHeight="1" hidden="1">
      <c r="A410" s="28"/>
      <c r="B410" t="s" s="897">
        <f>IF(AND($L$408=TRUE,L410=FALSE),IF('Adatlap'!$L$1="Magyar","Jelölje be!","Please, check!"),"")</f>
      </c>
      <c r="C410" t="s" s="900">
        <f>C$25</f>
        <v>873</v>
      </c>
      <c r="D410" s="13"/>
      <c r="E410" s="13"/>
      <c r="F410" s="13"/>
      <c r="G410" s="13"/>
      <c r="H410" s="13"/>
      <c r="I410" s="13"/>
      <c r="J410" s="153"/>
      <c r="K410" s="13"/>
      <c r="L410" t="b" s="1042">
        <v>0</v>
      </c>
      <c r="M410" s="142"/>
      <c r="N410" s="142"/>
      <c r="O410" s="142"/>
      <c r="P410" s="237"/>
      <c r="Q410" s="238"/>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4"/>
    </row>
    <row r="411" ht="8.1" customHeight="1" hidden="1">
      <c r="A411" s="28"/>
      <c r="B411" s="13"/>
      <c r="C411" s="13"/>
      <c r="D411" s="13"/>
      <c r="E411" s="13"/>
      <c r="F411" s="13"/>
      <c r="G411" s="13"/>
      <c r="H411" s="13"/>
      <c r="I411" s="13"/>
      <c r="J411" s="13"/>
      <c r="K411" s="13"/>
      <c r="L411" s="1039"/>
      <c r="M411" s="142"/>
      <c r="N411" s="142"/>
      <c r="O411" s="142"/>
      <c r="P411" s="237"/>
      <c r="Q411" s="238"/>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4"/>
    </row>
    <row r="412" ht="24.95" customHeight="1" hidden="1">
      <c r="A412" s="28"/>
      <c r="B412" t="s" s="897">
        <f>IF(AND($L$408=TRUE,L412=FALSE),IF('Adatlap'!$L$1="Magyar","Jelölje be!","Please, check!"),"")</f>
      </c>
      <c r="C412" t="s" s="1002">
        <f>C$27</f>
        <v>874</v>
      </c>
      <c r="D412" s="714"/>
      <c r="E412" s="714"/>
      <c r="F412" s="714"/>
      <c r="G412" s="714"/>
      <c r="H412" s="714"/>
      <c r="I412" s="714"/>
      <c r="J412" s="714"/>
      <c r="K412" s="13"/>
      <c r="L412" t="b" s="1042">
        <v>0</v>
      </c>
      <c r="M412" s="142"/>
      <c r="N412" s="142"/>
      <c r="O412" s="142"/>
      <c r="P412" s="237"/>
      <c r="Q412" s="238"/>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4"/>
    </row>
    <row r="413" ht="8.1" customHeight="1" hidden="1">
      <c r="A413" s="28"/>
      <c r="B413" s="13"/>
      <c r="C413" s="13"/>
      <c r="D413" s="13"/>
      <c r="E413" s="13"/>
      <c r="F413" s="13"/>
      <c r="G413" s="13"/>
      <c r="H413" s="13"/>
      <c r="I413" s="13"/>
      <c r="J413" s="13"/>
      <c r="K413" s="13"/>
      <c r="L413" s="1039"/>
      <c r="M413" s="142"/>
      <c r="N413" s="142"/>
      <c r="O413" s="142"/>
      <c r="P413" s="237"/>
      <c r="Q413" s="238"/>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4"/>
    </row>
    <row r="414" ht="29.25" customHeight="1">
      <c r="A414" t="s" s="777">
        <f>IF(AND(L408=FALSE,L414=FALSE),IF('Adatlap'!$L$1="Magyar","Jelölje be!","Please, check!"),"")</f>
        <v>399</v>
      </c>
      <c r="B414" t="s" s="710">
        <f>B$29</f>
        <v>875</v>
      </c>
      <c r="C414" s="17"/>
      <c r="D414" s="17"/>
      <c r="E414" s="17"/>
      <c r="F414" s="17"/>
      <c r="G414" s="17"/>
      <c r="H414" s="17"/>
      <c r="I414" s="17"/>
      <c r="J414" s="96"/>
      <c r="K414" s="13"/>
      <c r="L414" t="b" s="1042">
        <v>0</v>
      </c>
      <c r="M414" s="142"/>
      <c r="N414" s="142"/>
      <c r="O414" s="142"/>
      <c r="P414" s="236"/>
      <c r="Q414" s="238"/>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4"/>
    </row>
    <row r="415" ht="12" customHeight="1">
      <c r="A415" s="928"/>
      <c r="B415" s="13"/>
      <c r="C415" s="9"/>
      <c r="D415" s="9"/>
      <c r="E415" s="9"/>
      <c r="F415" s="9"/>
      <c r="G415" s="9"/>
      <c r="H415" s="9"/>
      <c r="I415" s="9"/>
      <c r="J415" s="96"/>
      <c r="K415" s="13"/>
      <c r="L415" s="1039"/>
      <c r="M415" s="142"/>
      <c r="N415" s="142"/>
      <c r="O415" s="142"/>
      <c r="P415" s="236"/>
      <c r="Q415" s="238"/>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4"/>
    </row>
    <row r="416" ht="12.95" customHeight="1" hidden="1">
      <c r="A416" s="28"/>
      <c r="B416" s="96"/>
      <c r="C416" s="96"/>
      <c r="D416" s="96"/>
      <c r="E416" s="96"/>
      <c r="F416" s="96"/>
      <c r="G416" s="96"/>
      <c r="H416" s="96"/>
      <c r="I416" s="96"/>
      <c r="J416" s="96"/>
      <c r="K416" s="13"/>
      <c r="L416" s="1039"/>
      <c r="M416" s="142"/>
      <c r="N416" s="142"/>
      <c r="O416" s="142"/>
      <c r="P416" s="237"/>
      <c r="Q416" s="238"/>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4"/>
    </row>
    <row r="417" ht="12.95" customHeight="1">
      <c r="A417" t="s" s="853">
        <f>A$32</f>
        <v>559</v>
      </c>
      <c r="B417" t="s" s="1087">
        <f>B$32</f>
        <v>876</v>
      </c>
      <c r="C417" s="1088"/>
      <c r="D417" s="1088"/>
      <c r="E417" s="1088"/>
      <c r="F417" s="1088"/>
      <c r="G417" s="1088"/>
      <c r="H417" s="1088"/>
      <c r="I417" s="1088"/>
      <c r="J417" s="1088"/>
      <c r="K417" s="13"/>
      <c r="L417" s="1039"/>
      <c r="M417" s="142"/>
      <c r="N417" s="142"/>
      <c r="O417" s="142"/>
      <c r="P417" s="236"/>
      <c r="Q417" s="238"/>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4"/>
    </row>
    <row r="418" ht="12.95" customHeight="1">
      <c r="A418" s="28"/>
      <c r="B418" s="96"/>
      <c r="C418" s="96"/>
      <c r="D418" s="96"/>
      <c r="E418" s="96"/>
      <c r="F418" s="96"/>
      <c r="G418" s="96"/>
      <c r="H418" s="96"/>
      <c r="I418" s="96"/>
      <c r="J418" s="96"/>
      <c r="K418" s="13"/>
      <c r="L418" s="1039"/>
      <c r="M418" s="142"/>
      <c r="N418" s="142"/>
      <c r="O418" s="142"/>
      <c r="P418" s="236"/>
      <c r="Q418" s="238"/>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4"/>
    </row>
    <row r="419" ht="27.95" customHeight="1">
      <c r="A419" t="s" s="777">
        <v>399</v>
      </c>
      <c r="B419" t="s" s="900">
        <f>B$34</f>
        <v>830</v>
      </c>
      <c r="C419" s="13"/>
      <c r="D419" s="13"/>
      <c r="E419" s="13"/>
      <c r="F419" s="13"/>
      <c r="G419" s="13"/>
      <c r="H419" s="13"/>
      <c r="I419" s="13"/>
      <c r="J419" s="153"/>
      <c r="K419" s="13"/>
      <c r="L419" t="b" s="1042">
        <v>0</v>
      </c>
      <c r="M419" s="142"/>
      <c r="N419" s="142"/>
      <c r="O419" t="s" s="1050">
        <f>IF(AND(L414=TRUE,L419=FALSE,L424=FALSE),IF('Adatlap'!$L$1="Magyar","Jelölje be!","Please, check!"),"")</f>
      </c>
      <c r="P419" t="s" s="365">
        <f>IF(AND(L419=FALSE,L424=FALSE),IF('Adatlap'!$L$1="Magyar","Jelölje be!","Please, check!"),"")</f>
        <v>399</v>
      </c>
      <c r="Q419" s="1051">
        <f>IF(AND(L414=TRUE,L419=FALSE,L424=FALSE),1,0)</f>
        <v>0</v>
      </c>
      <c r="R419" s="34">
        <f>IF(AND(L419=FALSE,L424=FALSE),1,0)</f>
        <v>1</v>
      </c>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4"/>
    </row>
    <row r="420" ht="8.1" customHeight="1">
      <c r="A420" s="928"/>
      <c r="B420" s="153"/>
      <c r="C420" s="153"/>
      <c r="D420" s="153"/>
      <c r="E420" s="153"/>
      <c r="F420" s="153"/>
      <c r="G420" s="153"/>
      <c r="H420" s="153"/>
      <c r="I420" s="153"/>
      <c r="J420" s="153"/>
      <c r="K420" s="13"/>
      <c r="L420" s="1039"/>
      <c r="M420" s="142"/>
      <c r="N420" s="142"/>
      <c r="O420" s="142"/>
      <c r="P420" s="236"/>
      <c r="Q420" s="238"/>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4"/>
    </row>
    <row r="421" ht="12.95" customHeight="1">
      <c r="A421" s="928"/>
      <c r="B421" t="s" s="758">
        <f>B$36</f>
        <v>831</v>
      </c>
      <c r="C421" s="13"/>
      <c r="D421" s="13"/>
      <c r="E421" s="13"/>
      <c r="F421" s="13"/>
      <c r="G421" s="13"/>
      <c r="H421" s="13"/>
      <c r="I421" s="13"/>
      <c r="J421" s="13"/>
      <c r="K421" s="13"/>
      <c r="L421" s="1039"/>
      <c r="M421" s="142"/>
      <c r="N421" s="142"/>
      <c r="O421" s="142"/>
      <c r="P421" s="236"/>
      <c r="Q421" s="238"/>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4"/>
    </row>
    <row r="422" ht="24.95" customHeight="1">
      <c r="A422" s="928"/>
      <c r="B422" t="s" s="897">
        <f>IF(AND($L$419=TRUE,L422=FALSE,L423=FALSE),IF('Adatlap'!$L$1="Magyar","Jelölje be!","Please, check!"),"")</f>
      </c>
      <c r="C422" t="s" s="758">
        <f>C$37</f>
        <v>832</v>
      </c>
      <c r="D422" s="494"/>
      <c r="E422" s="494"/>
      <c r="F422" s="494"/>
      <c r="G422" s="494"/>
      <c r="H422" s="494"/>
      <c r="I422" s="494"/>
      <c r="J422" s="494"/>
      <c r="K422" s="13"/>
      <c r="L422" t="b" s="1042">
        <v>0</v>
      </c>
      <c r="M422" s="142"/>
      <c r="N422" s="142"/>
      <c r="O422" s="142"/>
      <c r="P422" s="236"/>
      <c r="Q422" s="238"/>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4"/>
    </row>
    <row r="423" ht="24.95" customHeight="1">
      <c r="A423" s="28"/>
      <c r="B423" t="s" s="897">
        <f>IF(AND($L$419=TRUE,L422=FALSE,L423=FALSE),IF('Adatlap'!$L$1="Magyar","Jelölje be!","Please, check!"),"")</f>
      </c>
      <c r="C423" t="s" s="491">
        <f>C$38</f>
        <v>833</v>
      </c>
      <c r="D423" s="175"/>
      <c r="E423" s="175"/>
      <c r="F423" s="175"/>
      <c r="G423" s="175"/>
      <c r="H423" s="175"/>
      <c r="I423" s="175"/>
      <c r="J423" s="175"/>
      <c r="K423" s="13"/>
      <c r="L423" t="b" s="1042">
        <v>0</v>
      </c>
      <c r="M423" s="142"/>
      <c r="N423" s="142"/>
      <c r="O423" s="142"/>
      <c r="P423" s="236"/>
      <c r="Q423" s="238"/>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4"/>
    </row>
    <row r="424" ht="24.95" customHeight="1">
      <c r="A424" t="s" s="777">
        <v>399</v>
      </c>
      <c r="B424" t="s" s="710">
        <f>B39</f>
        <v>834</v>
      </c>
      <c r="C424" s="13"/>
      <c r="D424" s="13"/>
      <c r="E424" s="13"/>
      <c r="F424" s="13"/>
      <c r="G424" s="13"/>
      <c r="H424" s="13"/>
      <c r="I424" s="13"/>
      <c r="J424" s="96"/>
      <c r="K424" s="13"/>
      <c r="L424" t="b" s="1042">
        <v>0</v>
      </c>
      <c r="M424" s="142"/>
      <c r="N424" s="142"/>
      <c r="O424" s="142"/>
      <c r="P424" s="236"/>
      <c r="Q424" s="238"/>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4"/>
    </row>
    <row r="425" ht="24.95" customHeight="1">
      <c r="A425" s="928"/>
      <c r="B425" t="s" s="758">
        <f>B$40</f>
        <v>831</v>
      </c>
      <c r="C425" s="13"/>
      <c r="D425" s="13"/>
      <c r="E425" s="13"/>
      <c r="F425" s="13"/>
      <c r="G425" s="13"/>
      <c r="H425" s="13"/>
      <c r="I425" s="13"/>
      <c r="J425" s="13"/>
      <c r="K425" s="13"/>
      <c r="L425" s="1039"/>
      <c r="M425" s="142"/>
      <c r="N425" s="142"/>
      <c r="O425" s="142"/>
      <c r="P425" s="236"/>
      <c r="Q425" s="238"/>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4"/>
    </row>
    <row r="426" ht="24.95" customHeight="1">
      <c r="A426" s="928"/>
      <c r="B426" t="s" s="897">
        <f>IF(AND(L424=TRUE,L426=FALSE,L427=FALSE),IF('Adatlap'!$L$1="Magyar","Jelölje be!","Please, check!"),"")</f>
      </c>
      <c r="C426" t="s" s="758">
        <f>C$41</f>
        <v>832</v>
      </c>
      <c r="D426" s="153"/>
      <c r="E426" s="153"/>
      <c r="F426" s="153"/>
      <c r="G426" s="153"/>
      <c r="H426" s="153"/>
      <c r="I426" s="153"/>
      <c r="J426" s="153"/>
      <c r="K426" s="13"/>
      <c r="L426" t="b" s="1042">
        <v>0</v>
      </c>
      <c r="M426" s="142"/>
      <c r="N426" s="142"/>
      <c r="O426" s="142"/>
      <c r="P426" s="236"/>
      <c r="Q426" s="238"/>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4"/>
    </row>
    <row r="427" ht="24.95" customHeight="1">
      <c r="A427" s="28"/>
      <c r="B427" t="s" s="897">
        <f>IF(AND(L424=TRUE,L426=FALSE,L427=FALSE),IF('Adatlap'!$L$1="Magyar","Jelölje be!","Please, check!"),"")</f>
      </c>
      <c r="C427" t="s" s="758">
        <f>C$42</f>
        <v>833</v>
      </c>
      <c r="D427" s="96"/>
      <c r="E427" s="799"/>
      <c r="F427" s="799"/>
      <c r="G427" s="799"/>
      <c r="H427" s="799"/>
      <c r="I427" s="799"/>
      <c r="J427" s="799"/>
      <c r="K427" s="13"/>
      <c r="L427" t="b" s="1042">
        <v>0</v>
      </c>
      <c r="M427" s="142"/>
      <c r="N427" s="142"/>
      <c r="O427" s="142"/>
      <c r="P427" s="236"/>
      <c r="Q427" s="238"/>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4"/>
    </row>
    <row r="428" ht="12.95" customHeight="1">
      <c r="A428" s="928"/>
      <c r="B428" s="153"/>
      <c r="C428" s="153"/>
      <c r="D428" s="153"/>
      <c r="E428" s="153"/>
      <c r="F428" s="153"/>
      <c r="G428" s="153"/>
      <c r="H428" s="153"/>
      <c r="I428" s="153"/>
      <c r="J428" s="153"/>
      <c r="K428" s="13"/>
      <c r="L428" s="1039"/>
      <c r="M428" s="142"/>
      <c r="N428" s="142"/>
      <c r="O428" s="142"/>
      <c r="P428" s="236"/>
      <c r="Q428" s="238"/>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4"/>
    </row>
    <row r="429" ht="24" customHeight="1">
      <c r="A429" s="28"/>
      <c r="B429" t="s" s="897">
        <f>IF(AND(L424=TRUE,L429=FALSE),IF('Adatlap'!$L$1="Magyar","Jelölje be!","Please, check!"),"")</f>
      </c>
      <c r="C429" t="s" s="900">
        <f>C$44</f>
        <v>877</v>
      </c>
      <c r="D429" s="13"/>
      <c r="E429" s="13"/>
      <c r="F429" s="13"/>
      <c r="G429" s="13"/>
      <c r="H429" s="13"/>
      <c r="I429" s="13"/>
      <c r="J429" s="153"/>
      <c r="K429" s="13"/>
      <c r="L429" t="b" s="1042">
        <v>0</v>
      </c>
      <c r="M429" s="142"/>
      <c r="N429" s="142"/>
      <c r="O429" s="1060"/>
      <c r="P429" s="1061"/>
      <c r="Q429" s="1062"/>
      <c r="R429" s="1063"/>
      <c r="S429" s="1063"/>
      <c r="T429" s="1063"/>
      <c r="U429" s="1063"/>
      <c r="V429" s="106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4"/>
    </row>
    <row r="430" ht="12" customHeight="1">
      <c r="A430" s="28"/>
      <c r="B430" s="1057"/>
      <c r="C430" s="1058"/>
      <c r="D430" s="1059"/>
      <c r="E430" s="39"/>
      <c r="F430" s="39"/>
      <c r="G430" s="39"/>
      <c r="H430" s="39"/>
      <c r="I430" s="39"/>
      <c r="J430" s="13"/>
      <c r="K430" s="13"/>
      <c r="L430" s="1039"/>
      <c r="M430" s="142"/>
      <c r="N430" s="142"/>
      <c r="O430" s="1060"/>
      <c r="P430" s="1061"/>
      <c r="Q430" s="1062"/>
      <c r="R430" s="1063"/>
      <c r="S430" s="1063"/>
      <c r="T430" s="1063"/>
      <c r="U430" s="1063"/>
      <c r="V430" s="106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4"/>
    </row>
    <row r="431" ht="12.95" customHeight="1">
      <c r="A431" s="28"/>
      <c r="B431" t="s" s="1091">
        <f>B$46</f>
        <v>883</v>
      </c>
      <c r="C431" s="1092"/>
      <c r="D431" s="1093"/>
      <c r="E431" s="1094"/>
      <c r="F431" t="s" s="1066">
        <f>F$46</f>
        <v>884</v>
      </c>
      <c r="G431" s="1095"/>
      <c r="H431" t="s" s="1066">
        <f>H$46</f>
        <v>885</v>
      </c>
      <c r="I431" s="1095"/>
      <c r="J431" s="1068"/>
      <c r="K431" s="13"/>
      <c r="L431" s="1039"/>
      <c r="M431" s="142"/>
      <c r="N431" s="142"/>
      <c r="O431" s="1060"/>
      <c r="P431" s="1061"/>
      <c r="Q431" s="1062"/>
      <c r="R431" s="1063"/>
      <c r="S431" s="1063"/>
      <c r="T431" s="1063"/>
      <c r="U431" s="1063"/>
      <c r="V431" s="106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4"/>
    </row>
    <row r="432" ht="12.95" customHeight="1">
      <c r="A432" s="28"/>
      <c r="B432" s="68"/>
      <c r="C432" s="1096"/>
      <c r="D432" s="1096"/>
      <c r="E432" s="1097"/>
      <c r="F432" t="s" s="1069">
        <f>F$47</f>
        <v>848</v>
      </c>
      <c r="G432" s="1098"/>
      <c r="H432" t="s" s="1069">
        <f>H$47</f>
        <v>848</v>
      </c>
      <c r="I432" s="1098"/>
      <c r="J432" s="1068"/>
      <c r="K432" s="13"/>
      <c r="L432" s="1039"/>
      <c r="M432" s="142"/>
      <c r="N432" s="142"/>
      <c r="O432" s="1060"/>
      <c r="P432" s="1061"/>
      <c r="Q432" s="1062"/>
      <c r="R432" s="1063"/>
      <c r="S432" s="1063"/>
      <c r="T432" s="1063"/>
      <c r="U432" s="1063"/>
      <c r="V432" s="106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4"/>
    </row>
    <row r="433" ht="27" customHeight="1">
      <c r="A433" s="28"/>
      <c r="B433" t="s" s="1100">
        <f>B48</f>
        <v>614</v>
      </c>
      <c r="C433" s="849"/>
      <c r="D433" s="849"/>
      <c r="E433" s="849"/>
      <c r="F433" s="1072">
        <f>'Kiszerelés 5-8'!M42</f>
        <v>0</v>
      </c>
      <c r="G433" s="1101"/>
      <c r="H433" s="286">
        <f>'Kiszerelés 5-8'!M43</f>
      </c>
      <c r="I433" s="1101"/>
      <c r="J433" s="72"/>
      <c r="K433" s="13"/>
      <c r="L433" s="1039"/>
      <c r="M433" s="142"/>
      <c r="N433" s="142"/>
      <c r="O433" s="142"/>
      <c r="P433" s="236"/>
      <c r="Q433" s="237"/>
      <c r="R433" s="483"/>
      <c r="S433" s="483"/>
      <c r="T433" s="483"/>
      <c r="U433" s="483"/>
      <c r="V433" s="28"/>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4"/>
    </row>
    <row r="434" ht="12.95" customHeight="1">
      <c r="A434" s="28"/>
      <c r="B434" s="1073"/>
      <c r="C434" s="93"/>
      <c r="D434" s="882"/>
      <c r="E434" s="69"/>
      <c r="F434" s="69"/>
      <c r="G434" s="69"/>
      <c r="H434" s="69"/>
      <c r="I434" s="69"/>
      <c r="J434" s="13"/>
      <c r="K434" s="13"/>
      <c r="L434" s="1039"/>
      <c r="M434" s="142"/>
      <c r="N434" s="142"/>
      <c r="O434" s="1108"/>
      <c r="P434" s="1109"/>
      <c r="Q434" s="1114"/>
      <c r="R434" s="156"/>
      <c r="S434" s="156"/>
      <c r="T434" s="156"/>
      <c r="U434" s="156"/>
      <c r="V434" s="156"/>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4"/>
    </row>
    <row r="435" ht="21.95" customHeight="1">
      <c r="A435" s="28"/>
      <c r="B435" t="s" s="897">
        <f>IF(AND($L$424=TRUE,L435=FALSE),IF('Adatlap'!$L$1="Magyar","Jelölje be!","Please, check!"),"")</f>
      </c>
      <c r="C435" t="s" s="710">
        <f>C$50</f>
        <v>886</v>
      </c>
      <c r="D435" s="13"/>
      <c r="E435" s="13"/>
      <c r="F435" s="13"/>
      <c r="G435" s="13"/>
      <c r="H435" s="13"/>
      <c r="I435" s="13"/>
      <c r="J435" s="96"/>
      <c r="K435" s="13"/>
      <c r="L435" t="b" s="1042">
        <v>0</v>
      </c>
      <c r="M435" s="142"/>
      <c r="N435" s="142"/>
      <c r="O435" s="142"/>
      <c r="P435" s="236"/>
      <c r="Q435" s="238"/>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4"/>
    </row>
    <row r="436" ht="26.1" customHeight="1">
      <c r="A436" t="s" s="853">
        <f>A$51</f>
        <v>629</v>
      </c>
      <c r="B436" t="s" s="1077">
        <f>B$51</f>
        <v>887</v>
      </c>
      <c r="C436" s="185"/>
      <c r="D436" s="185"/>
      <c r="E436" s="185"/>
      <c r="F436" s="185"/>
      <c r="G436" s="185"/>
      <c r="H436" s="185"/>
      <c r="I436" s="185"/>
      <c r="J436" s="13"/>
      <c r="K436" s="13"/>
      <c r="L436" s="1039"/>
      <c r="M436" s="142"/>
      <c r="N436" s="142"/>
      <c r="O436" s="142"/>
      <c r="P436" s="236"/>
      <c r="Q436" s="238"/>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4"/>
    </row>
    <row r="437" ht="12.95" customHeight="1">
      <c r="A437" s="28"/>
      <c r="B437" s="937"/>
      <c r="C437" s="494"/>
      <c r="D437" s="153"/>
      <c r="E437" s="13"/>
      <c r="F437" s="13"/>
      <c r="G437" s="13"/>
      <c r="H437" s="13"/>
      <c r="I437" s="13"/>
      <c r="J437" s="13"/>
      <c r="K437" s="13"/>
      <c r="L437" s="1039"/>
      <c r="M437" s="142"/>
      <c r="N437" s="142"/>
      <c r="O437" s="142"/>
      <c r="P437" s="236"/>
      <c r="Q437" s="238"/>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4"/>
    </row>
    <row r="438" ht="12.95" customHeight="1">
      <c r="A438" t="s" s="1078">
        <f>IF(AND($L$414=TRUE,L438=FALSE),IF('Adatlap'!$L$1="Magyar","Jelölje be!","Please, check!"),"")</f>
      </c>
      <c r="B438" t="s" s="900">
        <f>B$53</f>
        <v>888</v>
      </c>
      <c r="C438" s="13"/>
      <c r="D438" s="13"/>
      <c r="E438" s="13"/>
      <c r="F438" s="13"/>
      <c r="G438" s="13"/>
      <c r="H438" s="13"/>
      <c r="I438" s="13"/>
      <c r="J438" s="153"/>
      <c r="K438" s="13"/>
      <c r="L438" t="b" s="1042">
        <v>0</v>
      </c>
      <c r="M438" s="142"/>
      <c r="N438" s="142"/>
      <c r="O438" s="142"/>
      <c r="P438" s="236"/>
      <c r="Q438" s="238"/>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4"/>
    </row>
    <row r="439" ht="12.95" customHeight="1">
      <c r="A439" s="1079"/>
      <c r="B439" s="39"/>
      <c r="C439" s="39"/>
      <c r="D439" s="39"/>
      <c r="E439" s="39"/>
      <c r="F439" s="39"/>
      <c r="G439" s="39"/>
      <c r="H439" s="39"/>
      <c r="I439" s="39"/>
      <c r="J439" s="13"/>
      <c r="K439" s="13"/>
      <c r="L439" s="1039"/>
      <c r="M439" s="142"/>
      <c r="N439" s="142"/>
      <c r="O439" s="142"/>
      <c r="P439" s="236"/>
      <c r="Q439" s="238"/>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4"/>
    </row>
    <row r="440" ht="24.95" customHeight="1">
      <c r="A440" s="28"/>
      <c r="B440" t="s" s="1118">
        <f>B$55</f>
        <v>857</v>
      </c>
      <c r="C440" s="1095"/>
      <c r="D440" s="1105">
        <f>'Kiszerelés 5-8'!K47</f>
        <v>0</v>
      </c>
      <c r="E440" s="1092"/>
      <c r="F440" s="1093"/>
      <c r="G440" s="1093"/>
      <c r="H440" s="1093"/>
      <c r="I440" s="1094"/>
      <c r="J440" s="72"/>
      <c r="K440" s="13"/>
      <c r="L440" s="1039"/>
      <c r="M440" s="142"/>
      <c r="N440" s="142"/>
      <c r="O440" s="142"/>
      <c r="P440" s="236"/>
      <c r="Q440" s="238"/>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4"/>
    </row>
    <row r="441" ht="24.95" customHeight="1">
      <c r="A441" s="28"/>
      <c r="B441" t="s" s="1118">
        <f>B$56</f>
        <v>858</v>
      </c>
      <c r="C441" s="1098"/>
      <c r="D441" s="1105">
        <f>'Kiszerelés 5-8'!K48</f>
        <v>0</v>
      </c>
      <c r="E441" s="1115"/>
      <c r="F441" s="226"/>
      <c r="G441" s="226"/>
      <c r="H441" s="226"/>
      <c r="I441" s="1116"/>
      <c r="J441" s="72"/>
      <c r="K441" s="13"/>
      <c r="L441" s="1039"/>
      <c r="M441" s="142"/>
      <c r="N441" s="142"/>
      <c r="O441" s="142"/>
      <c r="P441" s="236"/>
      <c r="Q441" s="238"/>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4"/>
    </row>
    <row r="442" ht="24.95" customHeight="1">
      <c r="A442" s="28"/>
      <c r="B442" t="s" s="1118">
        <f>B$57</f>
        <v>859</v>
      </c>
      <c r="C442" s="1098"/>
      <c r="D442" s="1105">
        <f>'Kiszerelés 5-8'!K49</f>
        <v>0</v>
      </c>
      <c r="E442" s="1115"/>
      <c r="F442" s="226"/>
      <c r="G442" s="226"/>
      <c r="H442" s="226"/>
      <c r="I442" s="1116"/>
      <c r="J442" s="72"/>
      <c r="K442" s="13"/>
      <c r="L442" s="1039"/>
      <c r="M442" s="142"/>
      <c r="N442" s="142"/>
      <c r="O442" s="142"/>
      <c r="P442" s="236"/>
      <c r="Q442" s="238"/>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4"/>
    </row>
    <row r="443" ht="24.95" customHeight="1">
      <c r="A443" s="28"/>
      <c r="B443" t="s" s="1118">
        <f>B$58</f>
        <v>860</v>
      </c>
      <c r="C443" s="1098"/>
      <c r="D443" s="1105">
        <f>'Kiszerelés 5-8'!K50</f>
        <v>0</v>
      </c>
      <c r="E443" s="1117"/>
      <c r="F443" s="1096"/>
      <c r="G443" s="1096"/>
      <c r="H443" s="1096"/>
      <c r="I443" s="1097"/>
      <c r="J443" s="72"/>
      <c r="K443" s="13"/>
      <c r="L443" s="1039"/>
      <c r="M443" s="142"/>
      <c r="N443" s="142"/>
      <c r="O443" s="142"/>
      <c r="P443" s="236"/>
      <c r="Q443" s="238"/>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4"/>
    </row>
    <row r="444" ht="24.95" customHeight="1">
      <c r="A444" s="28"/>
      <c r="B444" t="s" s="1118">
        <f>B$59</f>
        <v>889</v>
      </c>
      <c r="C444" s="1101"/>
      <c r="D444" s="1082"/>
      <c r="E444" s="1082"/>
      <c r="F444" s="1082"/>
      <c r="G444" s="1082"/>
      <c r="H444" s="1082"/>
      <c r="I444" s="1082"/>
      <c r="J444" s="72"/>
      <c r="K444" s="13"/>
      <c r="L444" s="1039"/>
      <c r="M444" s="142"/>
      <c r="N444" s="142"/>
      <c r="O444" s="142"/>
      <c r="P444" s="236"/>
      <c r="Q444" s="238"/>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4"/>
    </row>
    <row r="445" ht="12.95" customHeight="1">
      <c r="A445" s="28"/>
      <c r="B445" s="69"/>
      <c r="C445" s="69"/>
      <c r="D445" s="69"/>
      <c r="E445" s="69"/>
      <c r="F445" s="69"/>
      <c r="G445" s="69"/>
      <c r="H445" s="69"/>
      <c r="I445" s="69"/>
      <c r="J445" s="13"/>
      <c r="K445" s="13"/>
      <c r="L445" s="1039"/>
      <c r="M445" s="142"/>
      <c r="N445" s="142"/>
      <c r="O445" s="142"/>
      <c r="P445" s="236"/>
      <c r="Q445" s="238"/>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4"/>
    </row>
    <row r="446" ht="24.95" customHeight="1">
      <c r="A446" s="28"/>
      <c r="B446" t="s" s="897">
        <f>IF(AND(L446=FALSE,L438=TRUE),IF('Adatlap'!$L$1="Magyar","Jelölje be!","Please, check!"),"")</f>
      </c>
      <c r="C446" t="s" s="710">
        <f>C$61</f>
        <v>890</v>
      </c>
      <c r="D446" s="96"/>
      <c r="E446" s="96"/>
      <c r="F446" s="96"/>
      <c r="G446" s="96"/>
      <c r="H446" s="96"/>
      <c r="I446" s="96"/>
      <c r="J446" s="96"/>
      <c r="K446" s="13"/>
      <c r="L446" t="b" s="1042">
        <v>0</v>
      </c>
      <c r="M446" s="142"/>
      <c r="N446" s="142"/>
      <c r="O446" s="142"/>
      <c r="P446" s="236"/>
      <c r="Q446" s="238"/>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4"/>
    </row>
    <row r="447" ht="18" customHeight="1">
      <c r="A447" s="28"/>
      <c r="B447" s="13"/>
      <c r="C447" s="13"/>
      <c r="D447" s="13"/>
      <c r="E447" s="13"/>
      <c r="F447" s="13"/>
      <c r="G447" s="13"/>
      <c r="H447" s="13"/>
      <c r="I447" s="13"/>
      <c r="J447" s="13"/>
      <c r="K447" s="13"/>
      <c r="L447" s="1039"/>
      <c r="M447" s="142"/>
      <c r="N447" s="142"/>
      <c r="O447" s="142"/>
      <c r="P447" s="236"/>
      <c r="Q447" s="238"/>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4"/>
    </row>
    <row r="448" ht="14.25" customHeight="1">
      <c r="A448" t="s" s="770">
        <f>IF(OR('Adatlap'!$M$3=3,'Adatlap'!$M$3=4),IF('Adatlap'!L1="Magyar",'Fordítások'!C668,'Fordítások'!B668),IF('Adatlap'!L1="Magyar",'Fordítások'!C667,'Fordítások'!B667))</f>
        <v>902</v>
      </c>
      <c r="B448" s="771"/>
      <c r="C448" t="s" s="772">
        <f>IF('Adatlap'!L1="Magyar",'Fordítások'!C609,'Fordítások'!B609)</f>
        <v>903</v>
      </c>
      <c r="D448" s="773"/>
      <c r="E448" s="773"/>
      <c r="F448" s="773"/>
      <c r="G448" s="773"/>
      <c r="H448" s="773"/>
      <c r="I448" s="773"/>
      <c r="J448" s="773"/>
      <c r="K448" s="13"/>
      <c r="L448" s="1039"/>
      <c r="M448" s="142"/>
      <c r="N448" s="142"/>
      <c r="O448" s="142"/>
      <c r="P448" s="236"/>
      <c r="Q448" s="238"/>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4"/>
    </row>
    <row r="449" ht="12.75" customHeight="1">
      <c r="A449" s="28"/>
      <c r="B449" s="13"/>
      <c r="C449" s="13"/>
      <c r="D449" s="13"/>
      <c r="E449" s="13"/>
      <c r="F449" s="13"/>
      <c r="G449" s="13"/>
      <c r="H449" s="13"/>
      <c r="I449" s="13"/>
      <c r="J449" s="13"/>
      <c r="K449" s="13"/>
      <c r="L449" s="1039"/>
      <c r="M449" s="142"/>
      <c r="N449" s="142"/>
      <c r="O449" s="142"/>
      <c r="P449" s="236"/>
      <c r="Q449" s="238"/>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4"/>
    </row>
    <row r="450" ht="27" customHeight="1">
      <c r="A450" t="s" s="709">
        <f>IF(L469=FALSE,IF('Adatlap'!$L$1="Magyar","Jelölje be!","Please, check!"),"")</f>
        <v>399</v>
      </c>
      <c r="B450" t="s" s="715">
        <v>904</v>
      </c>
      <c r="C450" s="109"/>
      <c r="D450" s="109"/>
      <c r="E450" s="109"/>
      <c r="F450" s="109"/>
      <c r="G450" s="109"/>
      <c r="H450" s="109"/>
      <c r="I450" s="109"/>
      <c r="J450" s="109"/>
      <c r="K450" s="13"/>
      <c r="L450" s="1039"/>
      <c r="M450" s="142"/>
      <c r="N450" s="142"/>
      <c r="O450" s="142"/>
      <c r="P450" s="236"/>
      <c r="Q450" s="238"/>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4"/>
    </row>
    <row r="451" ht="12.75" customHeight="1">
      <c r="A451" s="28"/>
      <c r="B451" s="109"/>
      <c r="C451" s="109"/>
      <c r="D451" s="109"/>
      <c r="E451" s="109"/>
      <c r="F451" s="109"/>
      <c r="G451" s="109"/>
      <c r="H451" s="109"/>
      <c r="I451" s="109"/>
      <c r="J451" s="109"/>
      <c r="K451" s="13"/>
      <c r="L451" s="1039"/>
      <c r="M451" s="142"/>
      <c r="N451" s="142"/>
      <c r="O451" s="142"/>
      <c r="P451" s="236"/>
      <c r="Q451" s="238"/>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4"/>
    </row>
    <row r="452" ht="12.75" customHeight="1">
      <c r="A452" s="28"/>
      <c r="B452" s="109"/>
      <c r="C452" s="109"/>
      <c r="D452" s="109"/>
      <c r="E452" s="109"/>
      <c r="F452" s="109"/>
      <c r="G452" s="109"/>
      <c r="H452" s="109"/>
      <c r="I452" s="109"/>
      <c r="J452" s="109"/>
      <c r="K452" s="13"/>
      <c r="L452" s="1039"/>
      <c r="M452" s="142"/>
      <c r="N452" s="142"/>
      <c r="O452" s="142"/>
      <c r="P452" s="236"/>
      <c r="Q452" s="238"/>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4"/>
    </row>
    <row r="453" ht="24.95" customHeight="1" hidden="1">
      <c r="A453" s="28"/>
      <c r="B453" t="s" s="1002">
        <f>IF('Adatlap'!$L$1="Magyar","Kijelentem, hogy a termék vizsgálata ","I declare that ")</f>
        <v>905</v>
      </c>
      <c r="C453" s="714"/>
      <c r="D453" s="714"/>
      <c r="E453" s="714"/>
      <c r="F453" s="714"/>
      <c r="G453" s="714"/>
      <c r="H453" s="109"/>
      <c r="I453" s="109"/>
      <c r="J453" s="109"/>
      <c r="K453" s="13"/>
      <c r="L453" s="1039"/>
      <c r="M453" s="142"/>
      <c r="N453" s="142"/>
      <c r="O453" s="142"/>
      <c r="P453" s="237"/>
      <c r="Q453" s="238"/>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4"/>
    </row>
    <row r="454" ht="24.95" customHeight="1" hidden="1">
      <c r="A454" s="28"/>
      <c r="B454" s="109"/>
      <c r="C454" t="s" s="710">
        <f>IF('Adatlap'!$L$1="Magyar",'Fordítások'!C710,'Fordítások'!B710)</f>
        <v>906</v>
      </c>
      <c r="D454" s="96"/>
      <c r="E454" s="96"/>
      <c r="F454" s="96"/>
      <c r="G454" s="96"/>
      <c r="H454" s="96"/>
      <c r="I454" s="96"/>
      <c r="J454" s="96"/>
      <c r="K454" s="13"/>
      <c r="L454" s="1039"/>
      <c r="M454" s="142"/>
      <c r="N454" s="142"/>
      <c r="O454" s="142"/>
      <c r="P454" s="237"/>
      <c r="Q454" s="238"/>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4"/>
    </row>
    <row r="455" ht="8.1" customHeight="1" hidden="1">
      <c r="A455" s="28"/>
      <c r="B455" s="109"/>
      <c r="C455" s="96"/>
      <c r="D455" s="96"/>
      <c r="E455" s="96"/>
      <c r="F455" s="96"/>
      <c r="G455" s="96"/>
      <c r="H455" s="96"/>
      <c r="I455" s="96"/>
      <c r="J455" s="96"/>
      <c r="K455" s="13"/>
      <c r="L455" s="1039"/>
      <c r="M455" s="142"/>
      <c r="N455" s="142"/>
      <c r="O455" s="142"/>
      <c r="P455" s="237"/>
      <c r="Q455" s="238"/>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4"/>
    </row>
    <row r="456" ht="24.95" customHeight="1">
      <c r="A456" s="28"/>
      <c r="B456" s="109"/>
      <c r="C456" t="s" s="710">
        <f>IF('Adatlap'!$L$1="Magyar",'Fordítások'!C711,'Fordítások'!B711)</f>
        <v>907</v>
      </c>
      <c r="D456" s="96"/>
      <c r="E456" s="96"/>
      <c r="F456" s="96"/>
      <c r="G456" s="96"/>
      <c r="H456" s="96"/>
      <c r="I456" s="96"/>
      <c r="J456" s="96"/>
      <c r="K456" s="13"/>
      <c r="L456" s="1039"/>
      <c r="M456" s="142"/>
      <c r="N456" s="142"/>
      <c r="O456" s="142"/>
      <c r="P456" s="236"/>
      <c r="Q456" s="238"/>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4"/>
    </row>
    <row r="457" ht="24.95" customHeight="1">
      <c r="A457" s="28"/>
      <c r="B457" s="109"/>
      <c r="C457" s="96"/>
      <c r="D457" s="96"/>
      <c r="E457" s="96"/>
      <c r="F457" s="96"/>
      <c r="G457" s="96"/>
      <c r="H457" s="96"/>
      <c r="I457" s="96"/>
      <c r="J457" s="96"/>
      <c r="K457" s="13"/>
      <c r="L457" s="1039"/>
      <c r="M457" s="142"/>
      <c r="N457" s="142"/>
      <c r="O457" s="142"/>
      <c r="P457" s="236"/>
      <c r="Q457" s="238"/>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4"/>
    </row>
    <row r="458" ht="12.75" customHeight="1" hidden="1">
      <c r="A458" s="28"/>
      <c r="B458" t="s" s="1002">
        <f>IF('Adatlap'!$L$1="Magyar","történt.","was used for this application.")</f>
        <v>908</v>
      </c>
      <c r="C458" s="714"/>
      <c r="D458" s="714"/>
      <c r="E458" s="714"/>
      <c r="F458" s="714"/>
      <c r="G458" s="714"/>
      <c r="H458" s="714"/>
      <c r="I458" s="714"/>
      <c r="J458" s="714"/>
      <c r="K458" s="13"/>
      <c r="L458" s="1039"/>
      <c r="M458" s="142"/>
      <c r="N458" s="142"/>
      <c r="O458" s="142"/>
      <c r="P458" s="237"/>
      <c r="Q458" s="238"/>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4"/>
    </row>
    <row r="459" ht="8.1" customHeight="1" hidden="1">
      <c r="A459" s="28"/>
      <c r="B459" s="109"/>
      <c r="C459" s="109"/>
      <c r="D459" s="109"/>
      <c r="E459" s="109"/>
      <c r="F459" s="109"/>
      <c r="G459" s="109"/>
      <c r="H459" s="109"/>
      <c r="I459" s="109"/>
      <c r="J459" s="109"/>
      <c r="K459" s="13"/>
      <c r="L459" s="1039"/>
      <c r="M459" s="142"/>
      <c r="N459" s="142"/>
      <c r="O459" s="142"/>
      <c r="P459" s="237"/>
      <c r="Q459" s="238"/>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4"/>
    </row>
    <row r="460" ht="24.95" customHeight="1" hidden="1">
      <c r="A460" t="s" s="709">
        <f>IF(L469=FALSE,IF('Adatlap'!$L$1="Magyar","Jelölje be!","Please, check!"),"")</f>
        <v>399</v>
      </c>
      <c r="B460" t="s" s="710">
        <f>IF('Adatlap'!$L$1="Magyar",'Fordítások'!C712,'Fordítások'!B712)</f>
        <v>909</v>
      </c>
      <c r="C460" s="96"/>
      <c r="D460" s="96"/>
      <c r="E460" s="96"/>
      <c r="F460" s="96"/>
      <c r="G460" s="96"/>
      <c r="H460" s="96"/>
      <c r="I460" s="96"/>
      <c r="J460" s="96"/>
      <c r="K460" s="13"/>
      <c r="L460" s="1039"/>
      <c r="M460" s="142"/>
      <c r="N460" s="142"/>
      <c r="O460" s="142"/>
      <c r="P460" s="237"/>
      <c r="Q460" s="238"/>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4"/>
    </row>
    <row r="461" ht="12.75" customHeight="1" hidden="1">
      <c r="A461" s="711"/>
      <c r="B461" s="13"/>
      <c r="C461" s="13"/>
      <c r="D461" s="13"/>
      <c r="E461" s="13"/>
      <c r="F461" s="13"/>
      <c r="G461" s="13"/>
      <c r="H461" s="13"/>
      <c r="I461" s="13"/>
      <c r="J461" s="13"/>
      <c r="K461" s="13"/>
      <c r="L461" s="1039"/>
      <c r="M461" s="142"/>
      <c r="N461" s="142"/>
      <c r="O461" s="142"/>
      <c r="P461" s="237"/>
      <c r="Q461" s="238"/>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4"/>
    </row>
    <row r="462" ht="24.95" customHeight="1">
      <c r="A462" t="s" s="709">
        <f>IF(L469=FALSE,IF('Adatlap'!$L$1="Magyar","Jelölje be!","Please, check!"),"")</f>
        <v>399</v>
      </c>
      <c r="B462" t="s" s="915">
        <f>IF('Adatlap'!L1="Magyar",'Fordítások'!C612,'Fordítások'!B612)</f>
        <v>910</v>
      </c>
      <c r="C462" s="13"/>
      <c r="D462" s="13"/>
      <c r="E462" s="13"/>
      <c r="F462" s="13"/>
      <c r="G462" s="13"/>
      <c r="H462" s="13"/>
      <c r="I462" s="13"/>
      <c r="J462" s="13"/>
      <c r="K462" s="13"/>
      <c r="L462" s="1039"/>
      <c r="M462" s="142"/>
      <c r="N462" s="142"/>
      <c r="O462" s="142"/>
      <c r="P462" s="236"/>
      <c r="Q462" s="238"/>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4"/>
    </row>
    <row r="463" ht="12.75" customHeight="1">
      <c r="A463" s="711"/>
      <c r="B463" s="13"/>
      <c r="C463" s="13"/>
      <c r="D463" s="13"/>
      <c r="E463" s="13"/>
      <c r="F463" s="13"/>
      <c r="G463" s="13"/>
      <c r="H463" s="13"/>
      <c r="I463" s="13"/>
      <c r="J463" s="13"/>
      <c r="K463" s="13"/>
      <c r="L463" s="1039"/>
      <c r="M463" s="142"/>
      <c r="N463" s="142"/>
      <c r="O463" s="142"/>
      <c r="P463" s="236"/>
      <c r="Q463" s="238"/>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4"/>
    </row>
    <row r="464" ht="29.25" customHeight="1">
      <c r="A464" t="s" s="709">
        <f>IF(L469=FALSE,IF('Adatlap'!$L$1="Magyar","Jelölje be!","Please, check!"),"")</f>
        <v>399</v>
      </c>
      <c r="B464" t="s" s="715">
        <f>IF('Adatlap'!L1="Magyar",'Fordítások'!C611,'Fordítások'!B611)</f>
        <v>911</v>
      </c>
      <c r="C464" s="109"/>
      <c r="D464" s="109"/>
      <c r="E464" s="109"/>
      <c r="F464" s="109"/>
      <c r="G464" s="109"/>
      <c r="H464" s="109"/>
      <c r="I464" s="109"/>
      <c r="J464" s="109"/>
      <c r="K464" s="13"/>
      <c r="L464" s="1039"/>
      <c r="M464" s="142"/>
      <c r="N464" s="142"/>
      <c r="O464" s="142"/>
      <c r="P464" s="236"/>
      <c r="Q464" s="238"/>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4"/>
    </row>
    <row r="465" ht="12.75" customHeight="1">
      <c r="A465" s="28"/>
      <c r="B465" s="109"/>
      <c r="C465" s="109"/>
      <c r="D465" s="109"/>
      <c r="E465" s="109"/>
      <c r="F465" s="109"/>
      <c r="G465" s="109"/>
      <c r="H465" s="109"/>
      <c r="I465" s="109"/>
      <c r="J465" s="109"/>
      <c r="K465" s="13"/>
      <c r="L465" s="1039"/>
      <c r="M465" s="142"/>
      <c r="N465" s="142"/>
      <c r="O465" s="142"/>
      <c r="P465" s="236"/>
      <c r="Q465" s="238"/>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4"/>
    </row>
    <row r="466" ht="12.75" customHeight="1">
      <c r="A466" s="28"/>
      <c r="B466" s="13"/>
      <c r="C466" s="13"/>
      <c r="D466" s="13"/>
      <c r="E466" s="13"/>
      <c r="F466" s="13"/>
      <c r="G466" s="13"/>
      <c r="H466" s="13"/>
      <c r="I466" s="13"/>
      <c r="J466" s="13"/>
      <c r="K466" s="13"/>
      <c r="L466" s="1039"/>
      <c r="M466" s="142"/>
      <c r="N466" s="142"/>
      <c r="O466" s="142"/>
      <c r="P466" s="236"/>
      <c r="Q466" s="238"/>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4"/>
    </row>
    <row r="467" ht="16.5" customHeight="1">
      <c r="A467" t="s" s="851">
        <f>IF(OR('Adatlap'!$M$3=3,'Adatlap'!$M$3=4),IF('Adatlap'!L1="Magyar",'Fordítások'!C669,'Fordítások'!B669),IF('Adatlap'!L1="Magyar",'Fordítások'!C668,'Fordítások'!B668))</f>
        <v>912</v>
      </c>
      <c r="B467" s="150"/>
      <c r="C467" t="s" s="852">
        <f>IF('Adatlap'!L1="Magyar",'Fordítások'!C613,'Fordítások'!B613)</f>
        <v>913</v>
      </c>
      <c r="D467" s="13"/>
      <c r="E467" s="13"/>
      <c r="F467" s="13"/>
      <c r="G467" s="13"/>
      <c r="H467" s="13"/>
      <c r="I467" s="13"/>
      <c r="J467" s="13"/>
      <c r="K467" s="13"/>
      <c r="L467" s="1039"/>
      <c r="M467" s="142"/>
      <c r="N467" s="142"/>
      <c r="O467" s="142"/>
      <c r="P467" s="236"/>
      <c r="Q467" s="238"/>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4"/>
    </row>
    <row r="468" ht="12.75" customHeight="1">
      <c r="A468" s="28"/>
      <c r="B468" s="13"/>
      <c r="C468" s="13"/>
      <c r="D468" s="13"/>
      <c r="E468" s="13"/>
      <c r="F468" s="13"/>
      <c r="G468" s="13"/>
      <c r="H468" s="13"/>
      <c r="I468" s="13"/>
      <c r="J468" s="13"/>
      <c r="K468" s="13"/>
      <c r="L468" s="1039"/>
      <c r="M468" s="142"/>
      <c r="N468" s="142"/>
      <c r="O468" s="142"/>
      <c r="P468" s="236"/>
      <c r="Q468" s="238"/>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4"/>
    </row>
    <row r="469" ht="26.25" customHeight="1">
      <c r="A469" t="s" s="709">
        <f>IF(L469=FALSE,IF('Adatlap'!$L$1="Magyar","Jelölje be!","Please, check!"),"")</f>
        <v>399</v>
      </c>
      <c r="B469" t="s" s="715">
        <f>IF('Adatlap'!L1="Magyar",'Fordítások'!C614,'Fordítások'!B614)</f>
        <v>914</v>
      </c>
      <c r="C469" s="109"/>
      <c r="D469" s="109"/>
      <c r="E469" s="109"/>
      <c r="F469" s="109"/>
      <c r="G469" s="109"/>
      <c r="H469" s="109"/>
      <c r="I469" s="109"/>
      <c r="J469" s="109"/>
      <c r="K469" s="13"/>
      <c r="L469" t="b" s="1042">
        <v>0</v>
      </c>
      <c r="M469" s="142"/>
      <c r="N469" s="142"/>
      <c r="O469" s="377">
        <v>172</v>
      </c>
      <c r="P469" s="236"/>
      <c r="Q469" s="238"/>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4"/>
    </row>
    <row r="470" ht="38.25" customHeight="1">
      <c r="A470" s="28"/>
      <c r="B470" s="109"/>
      <c r="C470" s="109"/>
      <c r="D470" s="109"/>
      <c r="E470" s="109"/>
      <c r="F470" s="109"/>
      <c r="G470" s="109"/>
      <c r="H470" s="109"/>
      <c r="I470" s="109"/>
      <c r="J470" s="109"/>
      <c r="K470" s="13"/>
      <c r="L470" s="1039"/>
      <c r="M470" s="142"/>
      <c r="N470" s="142"/>
      <c r="O470" s="142"/>
      <c r="P470" s="236"/>
      <c r="Q470" s="238"/>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4"/>
    </row>
    <row r="471" ht="12.75" customHeight="1">
      <c r="A471" s="28"/>
      <c r="B471" s="13"/>
      <c r="C471" s="13"/>
      <c r="D471" s="13"/>
      <c r="E471" s="13"/>
      <c r="F471" s="13"/>
      <c r="G471" s="13"/>
      <c r="H471" s="13"/>
      <c r="I471" s="13"/>
      <c r="J471" s="13"/>
      <c r="K471" s="13"/>
      <c r="L471" s="1039"/>
      <c r="M471" s="142"/>
      <c r="N471" s="142"/>
      <c r="O471" s="142"/>
      <c r="P471" s="236"/>
      <c r="Q471" s="238"/>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4"/>
    </row>
    <row r="472" ht="12.75" customHeight="1">
      <c r="A472" t="s" s="853">
        <f>IF('Adatlap'!L1="Magyar","a)","(a)")</f>
        <v>508</v>
      </c>
      <c r="B472" t="s" s="864">
        <f>IF('Adatlap'!L1="Magyar",'Fordítások'!C616,'Fordítások'!B616)</f>
        <v>915</v>
      </c>
      <c r="C472" s="13"/>
      <c r="D472" s="13"/>
      <c r="E472" s="13"/>
      <c r="F472" s="13"/>
      <c r="G472" s="13"/>
      <c r="H472" s="13"/>
      <c r="I472" s="13"/>
      <c r="J472" s="13"/>
      <c r="K472" s="13"/>
      <c r="L472" s="1039"/>
      <c r="M472" s="142"/>
      <c r="N472" s="142"/>
      <c r="O472" s="142"/>
      <c r="P472" s="236"/>
      <c r="Q472" s="238"/>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4"/>
    </row>
    <row r="473" ht="12.75" customHeight="1">
      <c r="A473" s="28"/>
      <c r="B473" s="13"/>
      <c r="C473" s="13"/>
      <c r="D473" s="13"/>
      <c r="E473" s="13"/>
      <c r="F473" s="13"/>
      <c r="G473" s="13"/>
      <c r="H473" s="13"/>
      <c r="I473" s="13"/>
      <c r="J473" s="13"/>
      <c r="K473" s="13"/>
      <c r="L473" s="1039"/>
      <c r="M473" s="142"/>
      <c r="N473" s="142"/>
      <c r="O473" s="142"/>
      <c r="P473" s="236"/>
      <c r="Q473" s="238"/>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4"/>
    </row>
    <row r="474" ht="27" customHeight="1">
      <c r="A474" s="28"/>
      <c r="B474" t="s" s="1007">
        <f>IF(L474=FALSE,IF('Adatlap'!$L$1="Magyar","Jelölje be!","Please, check!"),"")</f>
        <v>399</v>
      </c>
      <c r="C474" t="s" s="710">
        <f>IF('Adatlap'!$L$1="Magyar",'Fordítások'!C619,'Fordítások'!B619)</f>
        <v>916</v>
      </c>
      <c r="D474" s="96"/>
      <c r="E474" s="96"/>
      <c r="F474" s="96"/>
      <c r="G474" s="96"/>
      <c r="H474" s="96"/>
      <c r="I474" s="96"/>
      <c r="J474" s="96"/>
      <c r="K474" s="13"/>
      <c r="L474" t="b" s="1042">
        <v>0</v>
      </c>
      <c r="M474" s="142"/>
      <c r="N474" s="142"/>
      <c r="O474" s="377">
        <v>173</v>
      </c>
      <c r="P474" s="236"/>
      <c r="Q474" s="238"/>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4"/>
    </row>
    <row r="475" ht="21.75" customHeight="1">
      <c r="A475" s="28"/>
      <c r="B475" s="13"/>
      <c r="C475" s="96"/>
      <c r="D475" s="96"/>
      <c r="E475" s="96"/>
      <c r="F475" s="96"/>
      <c r="G475" s="96"/>
      <c r="H475" s="96"/>
      <c r="I475" s="96"/>
      <c r="J475" s="96"/>
      <c r="K475" s="13"/>
      <c r="L475" s="1039"/>
      <c r="M475" s="142"/>
      <c r="N475" s="142"/>
      <c r="O475" s="142"/>
      <c r="P475" s="236"/>
      <c r="Q475" s="238"/>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4"/>
    </row>
    <row r="476" ht="26.25" customHeight="1">
      <c r="A476" s="28"/>
      <c r="B476" t="s" s="1007">
        <f>IF(L476=FALSE,IF('Adatlap'!$L$1="Magyar","Jelölje be!","Please, check!"),"")</f>
        <v>399</v>
      </c>
      <c r="C476" t="s" s="710">
        <f>IF('Adatlap'!$L$1="Magyar",'Fordítások'!C620,'Fordítások'!B620)</f>
        <v>917</v>
      </c>
      <c r="D476" s="96"/>
      <c r="E476" s="96"/>
      <c r="F476" s="96"/>
      <c r="G476" s="96"/>
      <c r="H476" s="96"/>
      <c r="I476" s="96"/>
      <c r="J476" s="96"/>
      <c r="K476" s="13"/>
      <c r="L476" t="b" s="1042">
        <v>0</v>
      </c>
      <c r="M476" s="142"/>
      <c r="N476" s="142"/>
      <c r="O476" s="377">
        <v>174</v>
      </c>
      <c r="P476" s="236"/>
      <c r="Q476" s="238"/>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4"/>
    </row>
    <row r="477" ht="15" customHeight="1">
      <c r="A477" s="28"/>
      <c r="B477" s="156"/>
      <c r="C477" s="96"/>
      <c r="D477" s="96"/>
      <c r="E477" s="96"/>
      <c r="F477" s="96"/>
      <c r="G477" s="96"/>
      <c r="H477" s="96"/>
      <c r="I477" s="96"/>
      <c r="J477" s="96"/>
      <c r="K477" s="13"/>
      <c r="L477" s="1039"/>
      <c r="M477" s="142"/>
      <c r="N477" s="142"/>
      <c r="O477" s="142"/>
      <c r="P477" s="236"/>
      <c r="Q477" s="238"/>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4"/>
    </row>
    <row r="478" ht="27" customHeight="1">
      <c r="A478" s="28"/>
      <c r="B478" t="s" s="1007">
        <f>IF(L478=FALSE,IF('Adatlap'!$L$1="Magyar","Jelölje be!","Please, check!"),"")</f>
        <v>399</v>
      </c>
      <c r="C478" t="s" s="710">
        <f>IF('Adatlap'!$L$1="Magyar",'Fordítások'!C684,'Fordítások'!B684)</f>
        <v>918</v>
      </c>
      <c r="D478" s="96"/>
      <c r="E478" s="96"/>
      <c r="F478" s="96"/>
      <c r="G478" s="96"/>
      <c r="H478" s="96"/>
      <c r="I478" s="96"/>
      <c r="J478" s="96"/>
      <c r="K478" s="13"/>
      <c r="L478" t="b" s="1042">
        <v>0</v>
      </c>
      <c r="M478" s="142"/>
      <c r="N478" s="142"/>
      <c r="O478" s="377">
        <v>176</v>
      </c>
      <c r="P478" s="236"/>
      <c r="Q478" s="238"/>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4"/>
    </row>
    <row r="479" ht="22.5" customHeight="1">
      <c r="A479" s="28"/>
      <c r="B479" s="13"/>
      <c r="C479" s="96"/>
      <c r="D479" s="96"/>
      <c r="E479" s="96"/>
      <c r="F479" s="96"/>
      <c r="G479" s="96"/>
      <c r="H479" s="96"/>
      <c r="I479" s="96"/>
      <c r="J479" s="96"/>
      <c r="K479" s="13"/>
      <c r="L479" s="1039"/>
      <c r="M479" s="142"/>
      <c r="N479" s="142"/>
      <c r="O479" s="142"/>
      <c r="P479" s="236"/>
      <c r="Q479" s="238"/>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4"/>
    </row>
    <row r="480" ht="27" customHeight="1">
      <c r="A480" s="28"/>
      <c r="B480" t="s" s="1007">
        <f>IF(L480=FALSE,IF('Adatlap'!$L$1="Magyar","Jelölje be!","Please, check!"),"")</f>
        <v>399</v>
      </c>
      <c r="C480" t="s" s="710">
        <f>IF('Adatlap'!$L$1="Magyar",'Fordítások'!C621,'Fordítások'!B621)</f>
        <v>919</v>
      </c>
      <c r="D480" s="96"/>
      <c r="E480" s="96"/>
      <c r="F480" s="96"/>
      <c r="G480" s="96"/>
      <c r="H480" s="96"/>
      <c r="I480" s="96"/>
      <c r="J480" s="96"/>
      <c r="K480" s="13"/>
      <c r="L480" s="1039"/>
      <c r="M480" s="142"/>
      <c r="N480" s="142"/>
      <c r="O480" s="377">
        <v>175</v>
      </c>
      <c r="P480" s="236"/>
      <c r="Q480" s="238"/>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4"/>
    </row>
    <row r="481" ht="12.75" customHeight="1">
      <c r="A481" s="28"/>
      <c r="B481" s="13"/>
      <c r="C481" s="109"/>
      <c r="D481" s="109"/>
      <c r="E481" s="109"/>
      <c r="F481" s="109"/>
      <c r="G481" s="109"/>
      <c r="H481" s="109"/>
      <c r="I481" s="109"/>
      <c r="J481" s="109"/>
      <c r="K481" s="13"/>
      <c r="L481" s="1039"/>
      <c r="M481" s="142"/>
      <c r="N481" s="142"/>
      <c r="O481" s="142"/>
      <c r="P481" s="236"/>
      <c r="Q481" s="238"/>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4"/>
    </row>
    <row r="482" ht="27" customHeight="1">
      <c r="A482" s="28"/>
      <c r="B482" t="s" s="1007">
        <f>IF(L482=FALSE,IF('Adatlap'!$L$1="Magyar","Jelölje be!","Please, check!"),"")</f>
        <v>399</v>
      </c>
      <c r="C482" t="s" s="710">
        <f>IF('Adatlap'!$L$1="Magyar",'Fordítások'!C622,'Fordítások'!B622)</f>
        <v>920</v>
      </c>
      <c r="D482" s="96"/>
      <c r="E482" s="96"/>
      <c r="F482" s="96"/>
      <c r="G482" s="96"/>
      <c r="H482" s="96"/>
      <c r="I482" s="96"/>
      <c r="J482" s="96"/>
      <c r="K482" s="13"/>
      <c r="L482" t="b" s="1042">
        <v>0</v>
      </c>
      <c r="M482" s="142"/>
      <c r="N482" s="142"/>
      <c r="O482" s="377">
        <v>177</v>
      </c>
      <c r="P482" s="236"/>
      <c r="Q482" s="238"/>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4"/>
    </row>
    <row r="483" ht="21.75" customHeight="1">
      <c r="A483" s="1119"/>
      <c r="B483" s="29"/>
      <c r="C483" s="96"/>
      <c r="D483" s="96"/>
      <c r="E483" s="96"/>
      <c r="F483" s="96"/>
      <c r="G483" s="96"/>
      <c r="H483" s="96"/>
      <c r="I483" s="96"/>
      <c r="J483" s="96"/>
      <c r="K483" s="13"/>
      <c r="L483" s="1039"/>
      <c r="M483" s="142"/>
      <c r="N483" s="142"/>
      <c r="O483" s="142"/>
      <c r="P483" s="236"/>
      <c r="Q483" s="238"/>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4"/>
    </row>
    <row r="484" ht="24.95" customHeight="1" hidden="1">
      <c r="A484" s="1119"/>
      <c r="B484" t="s" s="1007">
        <f>IF(L484=FALSE,IF('Adatlap'!$L$1="Magyar","Jelölje be!","Please, check!"),"")</f>
        <v>399</v>
      </c>
      <c r="C484" t="s" s="1120">
        <f>IF('Adatlap'!$L$1="Magyar",'Fordítások'!C713,'Fordítások'!B713)</f>
        <v>921</v>
      </c>
      <c r="D484" s="1121"/>
      <c r="E484" s="1121"/>
      <c r="F484" s="1121"/>
      <c r="G484" s="1121"/>
      <c r="H484" s="1121"/>
      <c r="I484" s="1121"/>
      <c r="J484" s="1121"/>
      <c r="K484" s="13"/>
      <c r="L484" s="1039"/>
      <c r="M484" s="142"/>
      <c r="N484" s="142"/>
      <c r="O484" s="142"/>
      <c r="P484" s="237"/>
      <c r="Q484" s="238"/>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4"/>
    </row>
    <row r="485" ht="15" customHeight="1" hidden="1">
      <c r="A485" s="1119"/>
      <c r="B485" s="156"/>
      <c r="C485" s="96"/>
      <c r="D485" s="96"/>
      <c r="E485" s="96"/>
      <c r="F485" s="96"/>
      <c r="G485" s="96"/>
      <c r="H485" s="96"/>
      <c r="I485" s="96"/>
      <c r="J485" s="96"/>
      <c r="K485" s="13"/>
      <c r="L485" s="1039"/>
      <c r="M485" s="142"/>
      <c r="N485" s="142"/>
      <c r="O485" s="142"/>
      <c r="P485" s="237"/>
      <c r="Q485" s="238"/>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4"/>
    </row>
    <row r="486" ht="27" customHeight="1" hidden="1">
      <c r="A486" t="s" s="1122">
        <f>'Nyilatkozatok_3'!A91</f>
        <v>922</v>
      </c>
      <c r="B486" s="29"/>
      <c r="C486" s="96"/>
      <c r="D486" s="96"/>
      <c r="E486" s="96"/>
      <c r="F486" s="96"/>
      <c r="G486" s="96"/>
      <c r="H486" s="96"/>
      <c r="I486" s="96"/>
      <c r="J486" s="96"/>
      <c r="K486" s="13"/>
      <c r="L486" s="1039"/>
      <c r="M486" s="142"/>
      <c r="N486" s="142"/>
      <c r="O486" s="142"/>
      <c r="P486" s="237"/>
      <c r="Q486" s="238"/>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4"/>
    </row>
    <row r="487" ht="27" customHeight="1">
      <c r="A487" s="28"/>
      <c r="B487" t="s" s="1007">
        <f>IF(AND(L487=FALSE,L489=FALSE),IF('Adatlap'!$L$1="Magyar","Jelölje be!","Please, check!"),"")</f>
        <v>399</v>
      </c>
      <c r="C487" t="s" s="710">
        <f>IF('Adatlap'!$L$1="Magyar",'Fordítások'!C623,'Fordítások'!B623)</f>
        <v>923</v>
      </c>
      <c r="D487" s="96"/>
      <c r="E487" s="96"/>
      <c r="F487" s="96"/>
      <c r="G487" s="96"/>
      <c r="H487" s="96"/>
      <c r="I487" s="96"/>
      <c r="J487" s="96"/>
      <c r="K487" s="13"/>
      <c r="L487" t="b" s="1042">
        <v>0</v>
      </c>
      <c r="M487" s="142"/>
      <c r="N487" t="b" s="871">
        <v>0</v>
      </c>
      <c r="O487" s="377">
        <v>187</v>
      </c>
      <c r="P487" s="236"/>
      <c r="Q487" s="238"/>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4"/>
    </row>
    <row r="488" ht="27" customHeight="1">
      <c r="A488" s="28"/>
      <c r="B488" s="156"/>
      <c r="C488" s="96"/>
      <c r="D488" s="96"/>
      <c r="E488" s="96"/>
      <c r="F488" s="96"/>
      <c r="G488" s="96"/>
      <c r="H488" s="96"/>
      <c r="I488" s="96"/>
      <c r="J488" s="96"/>
      <c r="K488" s="13"/>
      <c r="L488" s="1039"/>
      <c r="M488" s="142"/>
      <c r="N488" s="1123"/>
      <c r="O488" s="142"/>
      <c r="P488" s="236"/>
      <c r="Q488" s="238"/>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4"/>
    </row>
    <row r="489" ht="27" customHeight="1" hidden="1">
      <c r="A489" s="28"/>
      <c r="B489" t="s" s="1007">
        <f>IF(AND(L487=FALSE,L489=FALSE),IF('Adatlap'!$L$1="Magyar","Jelölje be!","Please, check!"),"")</f>
        <v>399</v>
      </c>
      <c r="C489" t="s" s="710">
        <f>IF('Adatlap'!$L$1="Magyar",'Fordítások'!C623,'Fordítások'!B623)</f>
        <v>923</v>
      </c>
      <c r="D489" s="96"/>
      <c r="E489" s="96"/>
      <c r="F489" s="96"/>
      <c r="G489" s="96"/>
      <c r="H489" s="96"/>
      <c r="I489" s="96"/>
      <c r="J489" s="96"/>
      <c r="K489" s="13"/>
      <c r="L489" t="b" s="1042">
        <v>0</v>
      </c>
      <c r="M489" s="142"/>
      <c r="N489" t="b" s="871">
        <v>0</v>
      </c>
      <c r="O489" s="377">
        <v>188</v>
      </c>
      <c r="P489" s="237"/>
      <c r="Q489" s="238"/>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4"/>
    </row>
    <row r="490" ht="28.5" customHeight="1">
      <c r="A490" t="s" s="853">
        <f>'Nyilatkozatok_3'!A221</f>
        <v>629</v>
      </c>
      <c r="B490" t="s" s="864">
        <f>IF('Adatlap'!L1="Magyar",'Fordítások'!C617,'Fordítások'!B617)</f>
        <v>924</v>
      </c>
      <c r="C490" s="13"/>
      <c r="D490" s="13"/>
      <c r="E490" s="13"/>
      <c r="F490" s="13"/>
      <c r="G490" s="13"/>
      <c r="H490" s="13"/>
      <c r="I490" s="13"/>
      <c r="J490" s="13"/>
      <c r="K490" s="13"/>
      <c r="L490" s="1039"/>
      <c r="M490" s="142"/>
      <c r="N490" s="142"/>
      <c r="O490" s="142"/>
      <c r="P490" s="236"/>
      <c r="Q490" s="238"/>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4"/>
    </row>
    <row r="491" ht="12.75" customHeight="1">
      <c r="A491" s="28"/>
      <c r="B491" s="13"/>
      <c r="C491" s="13"/>
      <c r="D491" s="13"/>
      <c r="E491" s="13"/>
      <c r="F491" s="13"/>
      <c r="G491" s="13"/>
      <c r="H491" s="13"/>
      <c r="I491" s="13"/>
      <c r="J491" s="13"/>
      <c r="K491" s="13"/>
      <c r="L491" s="1039"/>
      <c r="M491" s="142"/>
      <c r="N491" s="142"/>
      <c r="O491" s="142"/>
      <c r="P491" s="236"/>
      <c r="Q491" s="238"/>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4"/>
    </row>
    <row r="492" ht="26.25" customHeight="1">
      <c r="A492" s="28"/>
      <c r="B492" t="s" s="1007">
        <f>IF(L492=FALSE,IF('Adatlap'!$L$1="Magyar","Jelölje be!","Please, check!"),"")</f>
        <v>399</v>
      </c>
      <c r="C492" t="s" s="710">
        <f>IF('Adatlap'!$L$1="Magyar",'Fordítások'!C624,'Fordítások'!B624)</f>
        <v>925</v>
      </c>
      <c r="D492" s="96"/>
      <c r="E492" s="96"/>
      <c r="F492" s="96"/>
      <c r="G492" s="96"/>
      <c r="H492" s="96"/>
      <c r="I492" s="96"/>
      <c r="J492" s="96"/>
      <c r="K492" s="13"/>
      <c r="L492" t="b" s="1042">
        <v>0</v>
      </c>
      <c r="M492" s="142"/>
      <c r="N492" s="142"/>
      <c r="O492" s="377">
        <v>178</v>
      </c>
      <c r="P492" s="236"/>
      <c r="Q492" s="238"/>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4"/>
    </row>
    <row r="493" ht="23.25" customHeight="1">
      <c r="A493" s="28"/>
      <c r="B493" s="13"/>
      <c r="C493" s="96"/>
      <c r="D493" s="96"/>
      <c r="E493" s="96"/>
      <c r="F493" s="96"/>
      <c r="G493" s="96"/>
      <c r="H493" s="96"/>
      <c r="I493" s="96"/>
      <c r="J493" s="96"/>
      <c r="K493" s="13"/>
      <c r="L493" s="1039"/>
      <c r="M493" s="142"/>
      <c r="N493" s="142"/>
      <c r="O493" s="142"/>
      <c r="P493" s="236"/>
      <c r="Q493" s="238"/>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4"/>
    </row>
    <row r="494" ht="23.25" customHeight="1">
      <c r="A494" t="s" s="853">
        <f>'Nyilatkozatok_3'!A294</f>
        <v>926</v>
      </c>
      <c r="B494" t="s" s="864">
        <f>IF('Adatlap'!L1="Magyar",'Fordítások'!C618,'Fordítások'!B618)</f>
        <v>927</v>
      </c>
      <c r="C494" s="96"/>
      <c r="D494" s="96"/>
      <c r="E494" s="96"/>
      <c r="F494" s="96"/>
      <c r="G494" s="96"/>
      <c r="H494" s="96"/>
      <c r="I494" s="96"/>
      <c r="J494" s="96"/>
      <c r="K494" s="13"/>
      <c r="L494" s="1039"/>
      <c r="M494" s="142"/>
      <c r="N494" s="142"/>
      <c r="O494" s="142"/>
      <c r="P494" s="236"/>
      <c r="Q494" s="238"/>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4"/>
    </row>
    <row r="495" ht="8.45" customHeight="1">
      <c r="A495" s="907"/>
      <c r="B495" s="155"/>
      <c r="C495" s="96"/>
      <c r="D495" s="96"/>
      <c r="E495" s="96"/>
      <c r="F495" s="96"/>
      <c r="G495" s="96"/>
      <c r="H495" s="96"/>
      <c r="I495" s="96"/>
      <c r="J495" s="96"/>
      <c r="K495" s="13"/>
      <c r="L495" s="1039"/>
      <c r="M495" s="142"/>
      <c r="N495" s="142"/>
      <c r="O495" s="142"/>
      <c r="P495" s="236"/>
      <c r="Q495" s="238"/>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4"/>
    </row>
    <row r="496" ht="26.25" customHeight="1">
      <c r="A496" s="28"/>
      <c r="B496" t="s" s="1007">
        <f>IF(L496=FALSE,IF('Adatlap'!$L$1="Magyar","Jelölje be!","Please, check!"),"")</f>
        <v>399</v>
      </c>
      <c r="C496" t="s" s="710">
        <f>IF('Adatlap'!$L$1="Magyar",'Fordítások'!C625,'Fordítások'!B625)</f>
        <v>928</v>
      </c>
      <c r="D496" s="96"/>
      <c r="E496" s="96"/>
      <c r="F496" s="96"/>
      <c r="G496" s="96"/>
      <c r="H496" s="96"/>
      <c r="I496" s="96"/>
      <c r="J496" s="96"/>
      <c r="K496" s="13"/>
      <c r="L496" t="b" s="1042">
        <v>0</v>
      </c>
      <c r="M496" s="142"/>
      <c r="N496" s="142"/>
      <c r="O496" s="142"/>
      <c r="P496" s="236"/>
      <c r="Q496" s="238"/>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4"/>
    </row>
    <row r="497" ht="24.75" customHeight="1">
      <c r="A497" s="28"/>
      <c r="B497" s="13"/>
      <c r="C497" s="96"/>
      <c r="D497" s="96"/>
      <c r="E497" s="96"/>
      <c r="F497" s="96"/>
      <c r="G497" s="96"/>
      <c r="H497" s="96"/>
      <c r="I497" s="96"/>
      <c r="J497" s="96"/>
      <c r="K497" s="13"/>
      <c r="L497" s="1039"/>
      <c r="M497" s="142"/>
      <c r="N497" s="142"/>
      <c r="O497" s="142"/>
      <c r="P497" s="236"/>
      <c r="Q497" s="238"/>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4"/>
    </row>
    <row r="498" ht="15" customHeight="1">
      <c r="A498" s="28"/>
      <c r="B498" t="s" s="1124">
        <f>IF(L498=FALSE,IF('Adatlap'!$L$1="Magyar","Jelölje be!","Please, check!"),"")</f>
        <v>399</v>
      </c>
      <c r="C498" t="s" s="491">
        <f>IF('Adatlap'!$L$1="Magyar",'Fordítások'!C692,'Fordítások'!B692)</f>
        <v>929</v>
      </c>
      <c r="D498" s="175"/>
      <c r="E498" s="175"/>
      <c r="F498" s="175"/>
      <c r="G498" s="175"/>
      <c r="H498" s="175"/>
      <c r="I498" s="1058"/>
      <c r="J498" t="s" s="758">
        <v>930</v>
      </c>
      <c r="K498" s="13"/>
      <c r="L498" s="1039"/>
      <c r="M498" s="142"/>
      <c r="N498" s="142"/>
      <c r="O498" s="142"/>
      <c r="P498" s="236"/>
      <c r="Q498" s="238"/>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4"/>
    </row>
    <row r="499" ht="15" customHeight="1">
      <c r="A499" s="28"/>
      <c r="B499" s="1125"/>
      <c r="C499" t="s" s="1007">
        <f>IF(I498="",IF('Adatlap'!$L$1="Magyar",'Fordítások'!C693,'Fordítások'!B693),"")</f>
        <v>931</v>
      </c>
      <c r="D499" s="156"/>
      <c r="E499" s="156"/>
      <c r="F499" s="156"/>
      <c r="G499" s="156"/>
      <c r="H499" s="156"/>
      <c r="I499" s="1126"/>
      <c r="J499" s="96"/>
      <c r="K499" s="13"/>
      <c r="L499" t="b" s="1042">
        <v>0</v>
      </c>
      <c r="M499" s="142"/>
      <c r="N499" s="142"/>
      <c r="O499" s="142"/>
      <c r="P499" s="236"/>
      <c r="Q499" s="238"/>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4"/>
    </row>
    <row r="500" ht="13.5" customHeight="1">
      <c r="A500" s="28"/>
      <c r="B500" s="13"/>
      <c r="C500" s="96"/>
      <c r="D500" s="96"/>
      <c r="E500" s="96"/>
      <c r="F500" s="96"/>
      <c r="G500" s="96"/>
      <c r="H500" s="96"/>
      <c r="I500" s="96"/>
      <c r="J500" s="96"/>
      <c r="K500" s="13"/>
      <c r="L500" s="1039"/>
      <c r="M500" s="142"/>
      <c r="N500" s="142"/>
      <c r="O500" s="142"/>
      <c r="P500" s="236"/>
      <c r="Q500" s="238"/>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4"/>
    </row>
    <row r="501" ht="24.75" customHeight="1">
      <c r="A501" t="s" s="851">
        <f>IF(OR('Adatlap'!$M$3=3,'Adatlap'!$M$3=4),IF('Adatlap'!L1="Magyar",'Fordítások'!C670,'Fordítások'!B670),IF('Adatlap'!L1="Magyar",'Fordítások'!C669,'Fordítások'!B669))</f>
        <v>932</v>
      </c>
      <c r="B501" s="150"/>
      <c r="C501" t="s" s="772">
        <f>IF('Adatlap'!L1="Magyar",'Fordítások'!C626,'Fordítások'!B626)</f>
        <v>933</v>
      </c>
      <c r="D501" s="773"/>
      <c r="E501" s="773"/>
      <c r="F501" s="773"/>
      <c r="G501" s="773"/>
      <c r="H501" s="773"/>
      <c r="I501" s="773"/>
      <c r="J501" s="773"/>
      <c r="K501" s="13"/>
      <c r="L501" s="1039"/>
      <c r="M501" s="142"/>
      <c r="N501" s="142"/>
      <c r="O501" s="142"/>
      <c r="P501" s="236"/>
      <c r="Q501" s="238"/>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4"/>
    </row>
    <row r="502" ht="12" customHeight="1">
      <c r="A502" s="28"/>
      <c r="B502" s="13"/>
      <c r="C502" s="96"/>
      <c r="D502" s="96"/>
      <c r="E502" s="96"/>
      <c r="F502" s="96"/>
      <c r="G502" s="96"/>
      <c r="H502" s="96"/>
      <c r="I502" s="96"/>
      <c r="J502" s="96"/>
      <c r="K502" s="13"/>
      <c r="L502" s="1039"/>
      <c r="M502" s="142"/>
      <c r="N502" s="142"/>
      <c r="O502" s="142"/>
      <c r="P502" s="236"/>
      <c r="Q502" s="238"/>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4"/>
    </row>
    <row r="503" ht="23.25" customHeight="1">
      <c r="A503" t="s" s="709">
        <f>IF(L503=FALSE,IF('Adatlap'!$L$1="Magyar","Jelölje be!","Please, check!"),"")</f>
        <v>399</v>
      </c>
      <c r="B503" t="s" s="915">
        <f>IF('Adatlap'!$L$1="Magyar",'Fordítások'!C627,'Fordítások'!B627)</f>
        <v>934</v>
      </c>
      <c r="C503" s="850"/>
      <c r="D503" s="850"/>
      <c r="E503" s="850"/>
      <c r="F503" s="850"/>
      <c r="G503" s="850"/>
      <c r="H503" s="850"/>
      <c r="I503" s="850"/>
      <c r="J503" s="850"/>
      <c r="K503" s="13"/>
      <c r="L503" t="b" s="1042">
        <v>0</v>
      </c>
      <c r="M503" s="142"/>
      <c r="N503" s="142"/>
      <c r="O503" s="142"/>
      <c r="P503" s="236"/>
      <c r="Q503" s="238"/>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4"/>
    </row>
    <row r="504" ht="12.75" customHeight="1">
      <c r="A504" s="711"/>
      <c r="B504" s="856"/>
      <c r="C504" s="850"/>
      <c r="D504" s="850"/>
      <c r="E504" s="850"/>
      <c r="F504" s="850"/>
      <c r="G504" s="850"/>
      <c r="H504" s="850"/>
      <c r="I504" s="850"/>
      <c r="J504" s="850"/>
      <c r="K504" s="13"/>
      <c r="L504" s="1039"/>
      <c r="M504" s="142"/>
      <c r="N504" s="142"/>
      <c r="O504" s="142"/>
      <c r="P504" s="236"/>
      <c r="Q504" s="238"/>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4"/>
    </row>
    <row r="505" ht="25.5" customHeight="1">
      <c r="A505" t="s" s="709">
        <f>IF(L505=FALSE,IF('Adatlap'!$L$1="Magyar","Jelölje be!","Please, check!"),"")</f>
        <v>399</v>
      </c>
      <c r="B505" t="s" s="710">
        <f>IF('Adatlap'!$L$1="Magyar",'Fordítások'!C628,'Fordítások'!B628)</f>
        <v>935</v>
      </c>
      <c r="C505" s="96"/>
      <c r="D505" s="96"/>
      <c r="E505" s="96"/>
      <c r="F505" s="96"/>
      <c r="G505" s="96"/>
      <c r="H505" s="96"/>
      <c r="I505" s="96"/>
      <c r="J505" s="96"/>
      <c r="K505" s="13"/>
      <c r="L505" t="b" s="1042">
        <v>0</v>
      </c>
      <c r="M505" s="142"/>
      <c r="N505" s="142"/>
      <c r="O505" s="142"/>
      <c r="P505" s="236"/>
      <c r="Q505" s="238"/>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4"/>
    </row>
    <row r="506" ht="13.65" customHeight="1">
      <c r="A506" s="711"/>
      <c r="B506" s="856"/>
      <c r="C506" t="s" s="710">
        <f>IF(OR('Nyilatkozatok_1'!L42=TRUE,'Nyilatkozatok_1'!L46=TRUE),IF('Adatlap'!$L$1="Magyar",'Fordítások'!C632,'Fordítások'!B632),"")</f>
      </c>
      <c r="D506" s="96"/>
      <c r="E506" s="96"/>
      <c r="F506" s="96"/>
      <c r="G506" s="96"/>
      <c r="H506" s="96"/>
      <c r="I506" s="96"/>
      <c r="J506" s="96"/>
      <c r="K506" s="13"/>
      <c r="L506" s="1039"/>
      <c r="M506" s="142"/>
      <c r="N506" s="142"/>
      <c r="O506" s="142"/>
      <c r="P506" s="236"/>
      <c r="Q506" s="238"/>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4"/>
    </row>
    <row r="507" ht="12.75" customHeight="1">
      <c r="A507" s="711"/>
      <c r="B507" t="s" s="915">
        <f>IF('Adatlap'!$L$1="Magyar",'Fordítások'!C629,'Fordítások'!B629)</f>
        <v>936</v>
      </c>
      <c r="C507" s="856"/>
      <c r="D507" s="856"/>
      <c r="E507" s="856"/>
      <c r="F507" s="856"/>
      <c r="G507" s="856"/>
      <c r="H507" s="856"/>
      <c r="I507" s="856"/>
      <c r="J507" s="856"/>
      <c r="K507" s="13"/>
      <c r="L507" t="b" s="1042">
        <v>0</v>
      </c>
      <c r="M507" s="142"/>
      <c r="N507" s="142"/>
      <c r="O507" s="142"/>
      <c r="P507" s="236"/>
      <c r="Q507" s="238"/>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4"/>
    </row>
    <row r="508" ht="12.75" customHeight="1">
      <c r="A508" s="711"/>
      <c r="B508" t="s" s="915">
        <f>IF('Adatlap'!$L$1="Magyar",'Fordítások'!C630,'Fordítások'!B630)</f>
        <v>937</v>
      </c>
      <c r="C508" s="856"/>
      <c r="D508" s="856"/>
      <c r="E508" s="856"/>
      <c r="F508" s="856"/>
      <c r="G508" s="856"/>
      <c r="H508" s="856"/>
      <c r="I508" s="856"/>
      <c r="J508" s="856"/>
      <c r="K508" s="13"/>
      <c r="L508" s="1039"/>
      <c r="M508" s="142"/>
      <c r="N508" s="142"/>
      <c r="O508" s="142"/>
      <c r="P508" s="236"/>
      <c r="Q508" s="238"/>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4"/>
    </row>
    <row r="509" ht="12.75" customHeight="1">
      <c r="A509" s="711"/>
      <c r="B509" t="s" s="915">
        <f>IF('Adatlap'!$L$1="Magyar",'Fordítások'!C631,'Fordítások'!B631)</f>
        <v>938</v>
      </c>
      <c r="C509" s="856"/>
      <c r="D509" s="856"/>
      <c r="E509" s="856"/>
      <c r="F509" s="856"/>
      <c r="G509" s="856"/>
      <c r="H509" s="856"/>
      <c r="I509" s="856"/>
      <c r="J509" s="856"/>
      <c r="K509" s="13"/>
      <c r="L509" s="1127"/>
      <c r="M509" s="143"/>
      <c r="N509" s="143"/>
      <c r="O509" s="143"/>
      <c r="P509" s="1128"/>
      <c r="Q509" s="717"/>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4"/>
    </row>
    <row r="510" ht="12.75" customHeight="1">
      <c r="A510" s="1129"/>
      <c r="B510" t="s" s="33">
        <v>939</v>
      </c>
      <c r="C510" s="13"/>
      <c r="D510" s="13"/>
      <c r="E510" s="13"/>
      <c r="F510" s="13"/>
      <c r="G510" s="13"/>
      <c r="H510" s="13"/>
      <c r="I510" s="13"/>
      <c r="J510" s="13"/>
      <c r="K510" s="13"/>
      <c r="L510" s="856"/>
      <c r="M510" s="13"/>
      <c r="N510" s="13"/>
      <c r="O510" s="13"/>
      <c r="P510" s="262"/>
      <c r="Q510" s="262"/>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4"/>
    </row>
    <row r="511" ht="12.75" customHeight="1">
      <c r="A511" s="711"/>
      <c r="B511" s="856"/>
      <c r="C511" s="856"/>
      <c r="D511" s="856"/>
      <c r="E511" s="856"/>
      <c r="F511" s="856"/>
      <c r="G511" s="856"/>
      <c r="H511" s="856"/>
      <c r="I511" s="856"/>
      <c r="J511" s="856"/>
      <c r="K511" s="13"/>
      <c r="L511" s="1034"/>
      <c r="M511" s="227"/>
      <c r="N511" s="227"/>
      <c r="O511" s="227"/>
      <c r="P511" s="591"/>
      <c r="Q511" s="318"/>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4"/>
    </row>
    <row r="512" ht="24" customHeight="1">
      <c r="A512" t="s" s="709">
        <f>IF(L512=FALSE,IF('Adatlap'!$L$1="Magyar","Jelölje be!","Please, check!"),"")</f>
        <v>399</v>
      </c>
      <c r="B512" t="s" s="915">
        <f>IF('Adatlap'!$L$1="Magyar",'Fordítások'!C633,'Fordítások'!B633)</f>
        <v>940</v>
      </c>
      <c r="C512" s="856"/>
      <c r="D512" s="856"/>
      <c r="E512" s="856"/>
      <c r="F512" s="856"/>
      <c r="G512" s="856"/>
      <c r="H512" s="856"/>
      <c r="I512" s="856"/>
      <c r="J512" s="856"/>
      <c r="K512" s="13"/>
      <c r="L512" t="b" s="1042">
        <v>0</v>
      </c>
      <c r="M512" s="142"/>
      <c r="N512" s="142"/>
      <c r="O512" s="142"/>
      <c r="P512" s="236"/>
      <c r="Q512" s="238"/>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4"/>
    </row>
    <row r="513" ht="12.75" customHeight="1">
      <c r="A513" s="28"/>
      <c r="B513" s="13"/>
      <c r="C513" s="13"/>
      <c r="D513" s="13"/>
      <c r="E513" s="13"/>
      <c r="F513" s="13"/>
      <c r="G513" s="13"/>
      <c r="H513" s="13"/>
      <c r="I513" s="13"/>
      <c r="J513" s="13"/>
      <c r="K513" s="13"/>
      <c r="L513" s="1039"/>
      <c r="M513" s="142"/>
      <c r="N513" s="142"/>
      <c r="O513" s="142"/>
      <c r="P513" s="236"/>
      <c r="Q513" s="238"/>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4"/>
    </row>
    <row r="514" ht="12.75" customHeight="1">
      <c r="A514" s="28"/>
      <c r="B514" s="13"/>
      <c r="C514" s="13"/>
      <c r="D514" s="13"/>
      <c r="E514" s="13"/>
      <c r="F514" s="13"/>
      <c r="G514" s="13"/>
      <c r="H514" s="13"/>
      <c r="I514" s="13"/>
      <c r="J514" s="13"/>
      <c r="K514" s="13"/>
      <c r="L514" s="1039"/>
      <c r="M514" s="142"/>
      <c r="N514" s="142"/>
      <c r="O514" s="142"/>
      <c r="P514" s="236"/>
      <c r="Q514" s="238"/>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4"/>
    </row>
    <row r="515" ht="32.25" customHeight="1">
      <c r="A515" t="s" s="108">
        <f>IF('Adatlap'!$L$1="Magyar",'Fordítások'!C634,'Fordítások'!B634)</f>
        <v>941</v>
      </c>
      <c r="B515" s="109"/>
      <c r="C515" s="109"/>
      <c r="D515" s="109"/>
      <c r="E515" s="109"/>
      <c r="F515" s="109"/>
      <c r="G515" s="109"/>
      <c r="H515" s="109"/>
      <c r="I515" s="109"/>
      <c r="J515" s="109"/>
      <c r="K515" s="13"/>
      <c r="L515" s="1039"/>
      <c r="M515" s="142"/>
      <c r="N515" s="142"/>
      <c r="O515" s="142"/>
      <c r="P515" s="236"/>
      <c r="Q515" s="238"/>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4"/>
    </row>
    <row r="516" ht="12.75" customHeight="1">
      <c r="A516" s="28"/>
      <c r="B516" s="13"/>
      <c r="C516" s="13"/>
      <c r="D516" s="13"/>
      <c r="E516" s="13"/>
      <c r="F516" s="13"/>
      <c r="G516" s="13"/>
      <c r="H516" s="13"/>
      <c r="I516" s="13"/>
      <c r="J516" s="13"/>
      <c r="K516" s="13"/>
      <c r="L516" s="1039"/>
      <c r="M516" s="142"/>
      <c r="N516" s="142"/>
      <c r="O516" s="142"/>
      <c r="P516" s="236"/>
      <c r="Q516" s="238"/>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4"/>
    </row>
    <row r="517" ht="12.75" customHeight="1">
      <c r="A517" s="428"/>
      <c r="B517" s="39"/>
      <c r="C517" s="39"/>
      <c r="D517" s="39"/>
      <c r="E517" s="39"/>
      <c r="F517" s="39"/>
      <c r="G517" s="39"/>
      <c r="H517" s="39"/>
      <c r="I517" s="39"/>
      <c r="J517" s="39"/>
      <c r="K517" s="13"/>
      <c r="L517" s="1039"/>
      <c r="M517" s="142"/>
      <c r="N517" s="142"/>
      <c r="O517" s="142"/>
      <c r="P517" s="236"/>
      <c r="Q517" s="238"/>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4"/>
    </row>
    <row r="518" ht="12.75" customHeight="1">
      <c r="A518" t="s" s="1130">
        <f>IF('Adatlap'!$L$1="Magyar",'Fordítások'!C635,'Fordítások'!B635)</f>
        <v>942</v>
      </c>
      <c r="B518" s="1131"/>
      <c r="C518" s="1132"/>
      <c r="D518" s="1133"/>
      <c r="E518" t="s" s="1130">
        <f>IF('Adatlap'!$L$1="Magyar",'Fordítások'!C636,'Fordítások'!B636)</f>
        <v>943</v>
      </c>
      <c r="F518" s="1131"/>
      <c r="G518" s="1131"/>
      <c r="H518" s="1131"/>
      <c r="I518" s="1131"/>
      <c r="J518" s="1134"/>
      <c r="K518" s="72"/>
      <c r="L518" s="1039"/>
      <c r="M518" s="142"/>
      <c r="N518" s="142"/>
      <c r="O518" s="142"/>
      <c r="P518" s="236"/>
      <c r="Q518" s="238"/>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4"/>
    </row>
    <row r="519" ht="12.75" customHeight="1">
      <c r="A519" s="1135"/>
      <c r="B519" s="1136"/>
      <c r="C519" s="1136"/>
      <c r="D519" s="1137"/>
      <c r="E519" s="1138"/>
      <c r="F519" s="1139"/>
      <c r="G519" s="1139"/>
      <c r="H519" s="1139"/>
      <c r="I519" s="1139"/>
      <c r="J519" s="1140"/>
      <c r="K519" s="72"/>
      <c r="L519" s="1039"/>
      <c r="M519" s="142"/>
      <c r="N519" s="142"/>
      <c r="O519" s="142"/>
      <c r="P519" s="236"/>
      <c r="Q519" s="238"/>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4"/>
    </row>
    <row r="520" ht="12.75" customHeight="1">
      <c r="A520" s="1135"/>
      <c r="B520" s="1136"/>
      <c r="C520" s="1136"/>
      <c r="D520" s="1137"/>
      <c r="E520" s="1138"/>
      <c r="F520" s="1139"/>
      <c r="G520" s="1139"/>
      <c r="H520" s="1139"/>
      <c r="I520" s="1139"/>
      <c r="J520" s="1140"/>
      <c r="K520" s="72"/>
      <c r="L520" s="1039"/>
      <c r="M520" s="142"/>
      <c r="N520" s="142"/>
      <c r="O520" s="142"/>
      <c r="P520" s="236"/>
      <c r="Q520" s="238"/>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4"/>
    </row>
    <row r="521" ht="12.75" customHeight="1">
      <c r="A521" s="1141"/>
      <c r="B521" s="1142"/>
      <c r="C521" s="1142"/>
      <c r="D521" s="1143"/>
      <c r="E521" s="1144"/>
      <c r="F521" s="1145"/>
      <c r="G521" s="1145"/>
      <c r="H521" s="1145"/>
      <c r="I521" s="1145"/>
      <c r="J521" s="1146"/>
      <c r="K521" s="72"/>
      <c r="L521" s="1039"/>
      <c r="M521" s="142"/>
      <c r="N521" s="142"/>
      <c r="O521" s="142"/>
      <c r="P521" s="236"/>
      <c r="Q521" s="238"/>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4"/>
    </row>
    <row r="522" ht="12.75" customHeight="1">
      <c r="A522" t="s" s="1130">
        <f>IF('Adatlap'!$L$1="Magyar",'Fordítások'!C637,'Fordítások'!B637)</f>
        <v>944</v>
      </c>
      <c r="B522" s="1131"/>
      <c r="C522" s="1131"/>
      <c r="D522" s="1134"/>
      <c r="E522" t="s" s="1147">
        <f>IF('Adatlap'!$L$1="Magyar",'Fordítások'!C638,'Fordítások'!B638)</f>
        <v>945</v>
      </c>
      <c r="F522" s="1132"/>
      <c r="G522" s="1132"/>
      <c r="H522" s="1132"/>
      <c r="I522" s="1132"/>
      <c r="J522" s="1133"/>
      <c r="K522" s="72"/>
      <c r="L522" s="1039"/>
      <c r="M522" s="142"/>
      <c r="N522" s="142"/>
      <c r="O522" s="142"/>
      <c r="P522" s="236"/>
      <c r="Q522" s="238"/>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4"/>
    </row>
    <row r="523" ht="12.75" customHeight="1">
      <c r="A523" s="1148"/>
      <c r="B523" s="1149"/>
      <c r="C523" s="1149"/>
      <c r="D523" s="1150"/>
      <c r="E523" s="1148"/>
      <c r="F523" s="1149"/>
      <c r="G523" s="1149"/>
      <c r="H523" s="1149"/>
      <c r="I523" s="1149"/>
      <c r="J523" s="1150"/>
      <c r="K523" s="72"/>
      <c r="L523" s="1039"/>
      <c r="M523" s="142"/>
      <c r="N523" s="142"/>
      <c r="O523" s="142"/>
      <c r="P523" s="236"/>
      <c r="Q523" s="238"/>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4"/>
    </row>
    <row r="524" ht="12.75" customHeight="1">
      <c r="A524" s="1148"/>
      <c r="B524" s="1149"/>
      <c r="C524" s="1149"/>
      <c r="D524" s="1150"/>
      <c r="E524" s="1148"/>
      <c r="F524" s="1149"/>
      <c r="G524" s="1149"/>
      <c r="H524" s="1149"/>
      <c r="I524" s="1149"/>
      <c r="J524" s="1150"/>
      <c r="K524" s="72"/>
      <c r="L524" s="1039"/>
      <c r="M524" s="142"/>
      <c r="N524" s="142"/>
      <c r="O524" s="142"/>
      <c r="P524" s="236"/>
      <c r="Q524" s="238"/>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4"/>
    </row>
    <row r="525" ht="12.75" customHeight="1">
      <c r="A525" s="1151"/>
      <c r="B525" s="1152"/>
      <c r="C525" s="1152"/>
      <c r="D525" s="1153"/>
      <c r="E525" s="1151"/>
      <c r="F525" s="1152"/>
      <c r="G525" s="1152"/>
      <c r="H525" s="1152"/>
      <c r="I525" s="1152"/>
      <c r="J525" s="1153"/>
      <c r="K525" s="72"/>
      <c r="L525" s="1039"/>
      <c r="M525" s="142"/>
      <c r="N525" s="142"/>
      <c r="O525" s="142"/>
      <c r="P525" s="236"/>
      <c r="Q525" s="238"/>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4"/>
    </row>
    <row r="526" ht="12.75" customHeight="1">
      <c r="A526" s="1154"/>
      <c r="B526" s="69"/>
      <c r="C526" s="69"/>
      <c r="D526" s="69"/>
      <c r="E526" s="69"/>
      <c r="F526" s="69"/>
      <c r="G526" s="69"/>
      <c r="H526" s="69"/>
      <c r="I526" s="69"/>
      <c r="J526" s="69"/>
      <c r="K526" s="13"/>
      <c r="L526" s="1039"/>
      <c r="M526" s="142"/>
      <c r="N526" s="142"/>
      <c r="O526" s="142"/>
      <c r="P526" s="236"/>
      <c r="Q526" s="238"/>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4"/>
    </row>
    <row r="527" ht="12.75" customHeight="1">
      <c r="A527" s="28"/>
      <c r="B527" s="13"/>
      <c r="C527" s="13"/>
      <c r="D527" s="13"/>
      <c r="E527" s="13"/>
      <c r="F527" s="13"/>
      <c r="G527" s="13"/>
      <c r="H527" s="13"/>
      <c r="I527" s="13"/>
      <c r="J527" s="13"/>
      <c r="K527" s="13"/>
      <c r="L527" s="1039"/>
      <c r="M527" s="142"/>
      <c r="N527" s="142"/>
      <c r="O527" s="142"/>
      <c r="P527" s="236"/>
      <c r="Q527" s="238"/>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4"/>
    </row>
    <row r="528" ht="12.75" customHeight="1">
      <c r="A528" s="28"/>
      <c r="B528" s="13"/>
      <c r="C528" s="13"/>
      <c r="D528" s="13"/>
      <c r="E528" s="13"/>
      <c r="F528" s="13"/>
      <c r="G528" s="13"/>
      <c r="H528" s="13"/>
      <c r="I528" s="13"/>
      <c r="J528" s="13"/>
      <c r="K528" s="13"/>
      <c r="L528" s="1039"/>
      <c r="M528" s="142"/>
      <c r="N528" s="142"/>
      <c r="O528" s="142"/>
      <c r="P528" s="236"/>
      <c r="Q528" s="238"/>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4"/>
    </row>
    <row r="529" ht="12.75" customHeight="1">
      <c r="A529" s="28"/>
      <c r="B529" s="13"/>
      <c r="C529" s="13"/>
      <c r="D529" s="13"/>
      <c r="E529" s="13"/>
      <c r="F529" s="13"/>
      <c r="G529" s="13"/>
      <c r="H529" s="13"/>
      <c r="I529" s="13"/>
      <c r="J529" s="13"/>
      <c r="K529" s="13"/>
      <c r="L529" s="1039"/>
      <c r="M529" s="142"/>
      <c r="N529" s="142"/>
      <c r="O529" s="142"/>
      <c r="P529" s="236"/>
      <c r="Q529" s="238"/>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4"/>
    </row>
    <row r="530" ht="12.75" customHeight="1">
      <c r="A530" s="28"/>
      <c r="B530" s="13"/>
      <c r="C530" s="13"/>
      <c r="D530" s="13"/>
      <c r="E530" s="13"/>
      <c r="F530" s="13"/>
      <c r="G530" s="13"/>
      <c r="H530" s="13"/>
      <c r="I530" s="13"/>
      <c r="J530" s="13"/>
      <c r="K530" s="13"/>
      <c r="L530" s="1039"/>
      <c r="M530" s="142"/>
      <c r="N530" s="142"/>
      <c r="O530" s="142"/>
      <c r="P530" s="236"/>
      <c r="Q530" s="238"/>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4"/>
    </row>
    <row r="531" ht="12.75" customHeight="1">
      <c r="A531" s="28"/>
      <c r="B531" s="13"/>
      <c r="C531" s="13"/>
      <c r="D531" s="13"/>
      <c r="E531" s="13"/>
      <c r="F531" s="13"/>
      <c r="G531" s="13"/>
      <c r="H531" s="13"/>
      <c r="I531" s="13"/>
      <c r="J531" s="13"/>
      <c r="K531" s="13"/>
      <c r="L531" s="1039"/>
      <c r="M531" s="142"/>
      <c r="N531" s="142"/>
      <c r="O531" s="142"/>
      <c r="P531" s="236"/>
      <c r="Q531" s="238"/>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4"/>
    </row>
    <row r="532" ht="12.75" customHeight="1">
      <c r="A532" s="130"/>
      <c r="B532" s="17"/>
      <c r="C532" s="17"/>
      <c r="D532" s="17"/>
      <c r="E532" s="17"/>
      <c r="F532" s="17"/>
      <c r="G532" s="17"/>
      <c r="H532" s="17"/>
      <c r="I532" s="17"/>
      <c r="J532" s="17"/>
      <c r="K532" s="17"/>
      <c r="L532" s="1039"/>
      <c r="M532" s="142"/>
      <c r="N532" s="142"/>
      <c r="O532" s="142"/>
      <c r="P532" s="236"/>
      <c r="Q532" s="238"/>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8"/>
    </row>
  </sheetData>
  <mergeCells count="448">
    <mergeCell ref="C448:J448"/>
    <mergeCell ref="A448:B448"/>
    <mergeCell ref="A467:B467"/>
    <mergeCell ref="C501:J501"/>
    <mergeCell ref="A501:B501"/>
    <mergeCell ref="B450:J451"/>
    <mergeCell ref="B464:J464"/>
    <mergeCell ref="B469:J470"/>
    <mergeCell ref="A53:A54"/>
    <mergeCell ref="C61:J61"/>
    <mergeCell ref="A63:B63"/>
    <mergeCell ref="C63:I63"/>
    <mergeCell ref="C93:J93"/>
    <mergeCell ref="B76:J76"/>
    <mergeCell ref="B78:J78"/>
    <mergeCell ref="C80:J80"/>
    <mergeCell ref="B84:J85"/>
    <mergeCell ref="B89:J89"/>
    <mergeCell ref="C82:J82"/>
    <mergeCell ref="B87:J87"/>
    <mergeCell ref="B67:J67"/>
    <mergeCell ref="C68:J68"/>
    <mergeCell ref="C70:J70"/>
    <mergeCell ref="C72:J72"/>
    <mergeCell ref="B65:I65"/>
    <mergeCell ref="B57:C57"/>
    <mergeCell ref="D57:I57"/>
    <mergeCell ref="B58:C58"/>
    <mergeCell ref="D58:I58"/>
    <mergeCell ref="B59:C59"/>
    <mergeCell ref="D59:I59"/>
    <mergeCell ref="B55:C55"/>
    <mergeCell ref="D55:I55"/>
    <mergeCell ref="B56:C56"/>
    <mergeCell ref="D56:I56"/>
    <mergeCell ref="Q44:Q47"/>
    <mergeCell ref="B53:J53"/>
    <mergeCell ref="E38:J38"/>
    <mergeCell ref="F46:G46"/>
    <mergeCell ref="H46:I46"/>
    <mergeCell ref="F47:G47"/>
    <mergeCell ref="H47:I47"/>
    <mergeCell ref="C44:J44"/>
    <mergeCell ref="F48:G48"/>
    <mergeCell ref="H48:I48"/>
    <mergeCell ref="B46:E47"/>
    <mergeCell ref="B48:E48"/>
    <mergeCell ref="B39:J39"/>
    <mergeCell ref="C50:J50"/>
    <mergeCell ref="E42:J42"/>
    <mergeCell ref="O44:O47"/>
    <mergeCell ref="P44:P47"/>
    <mergeCell ref="B29:J30"/>
    <mergeCell ref="B21:J21"/>
    <mergeCell ref="B23:J23"/>
    <mergeCell ref="C25:J25"/>
    <mergeCell ref="B34:J34"/>
    <mergeCell ref="C1:J1"/>
    <mergeCell ref="B10:J10"/>
    <mergeCell ref="B12:J12"/>
    <mergeCell ref="B19:J19"/>
    <mergeCell ref="C17:J17"/>
    <mergeCell ref="A5:H5"/>
    <mergeCell ref="A8:B8"/>
    <mergeCell ref="C8:J8"/>
    <mergeCell ref="C13:J13"/>
    <mergeCell ref="C15:J15"/>
    <mergeCell ref="A3:B3"/>
    <mergeCell ref="I5:I6"/>
    <mergeCell ref="B103:E103"/>
    <mergeCell ref="F103:G103"/>
    <mergeCell ref="H103:I103"/>
    <mergeCell ref="C105:J105"/>
    <mergeCell ref="B74:J74"/>
    <mergeCell ref="A108:A109"/>
    <mergeCell ref="B108:J108"/>
    <mergeCell ref="B106:I106"/>
    <mergeCell ref="B94:J94"/>
    <mergeCell ref="E97:J97"/>
    <mergeCell ref="C99:J99"/>
    <mergeCell ref="B101:E102"/>
    <mergeCell ref="F101:G101"/>
    <mergeCell ref="H101:I101"/>
    <mergeCell ref="F102:G102"/>
    <mergeCell ref="H102:I102"/>
    <mergeCell ref="B113:C113"/>
    <mergeCell ref="D113:I113"/>
    <mergeCell ref="B114:C114"/>
    <mergeCell ref="D114:I114"/>
    <mergeCell ref="C116:J116"/>
    <mergeCell ref="B110:C110"/>
    <mergeCell ref="D110:I110"/>
    <mergeCell ref="B111:C111"/>
    <mergeCell ref="D111:I111"/>
    <mergeCell ref="B112:C112"/>
    <mergeCell ref="D112:I112"/>
    <mergeCell ref="C123:J123"/>
    <mergeCell ref="C125:J125"/>
    <mergeCell ref="C127:J127"/>
    <mergeCell ref="B129:J129"/>
    <mergeCell ref="B131:J131"/>
    <mergeCell ref="A118:B118"/>
    <mergeCell ref="C118:J118"/>
    <mergeCell ref="B120:J120"/>
    <mergeCell ref="B122:J122"/>
    <mergeCell ref="B149:J149"/>
    <mergeCell ref="E152:J152"/>
    <mergeCell ref="C154:J154"/>
    <mergeCell ref="B156:E157"/>
    <mergeCell ref="F156:G156"/>
    <mergeCell ref="H156:I156"/>
    <mergeCell ref="F157:G157"/>
    <mergeCell ref="H157:I157"/>
    <mergeCell ref="B133:J133"/>
    <mergeCell ref="C135:J135"/>
    <mergeCell ref="B139:J140"/>
    <mergeCell ref="B144:J144"/>
    <mergeCell ref="B142:J142"/>
    <mergeCell ref="C137:J137"/>
    <mergeCell ref="C147:J147"/>
    <mergeCell ref="C148:J148"/>
    <mergeCell ref="D166:I166"/>
    <mergeCell ref="B167:C167"/>
    <mergeCell ref="D167:I167"/>
    <mergeCell ref="B158:E158"/>
    <mergeCell ref="F158:G158"/>
    <mergeCell ref="H158:I158"/>
    <mergeCell ref="C160:J160"/>
    <mergeCell ref="A163:A164"/>
    <mergeCell ref="B163:J163"/>
    <mergeCell ref="B161:J161"/>
    <mergeCell ref="A218:A219"/>
    <mergeCell ref="B218:J218"/>
    <mergeCell ref="E207:J207"/>
    <mergeCell ref="C209:J209"/>
    <mergeCell ref="B211:E212"/>
    <mergeCell ref="F211:G211"/>
    <mergeCell ref="H211:I211"/>
    <mergeCell ref="F212:G212"/>
    <mergeCell ref="H212:I212"/>
    <mergeCell ref="B220:C220"/>
    <mergeCell ref="D220:I220"/>
    <mergeCell ref="B221:C221"/>
    <mergeCell ref="D221:I221"/>
    <mergeCell ref="B222:C222"/>
    <mergeCell ref="D222:I222"/>
    <mergeCell ref="B213:E213"/>
    <mergeCell ref="F213:G213"/>
    <mergeCell ref="H213:I213"/>
    <mergeCell ref="C215:J215"/>
    <mergeCell ref="A228:B228"/>
    <mergeCell ref="B232:J232"/>
    <mergeCell ref="C233:J233"/>
    <mergeCell ref="C228:I228"/>
    <mergeCell ref="B230:I230"/>
    <mergeCell ref="B223:C223"/>
    <mergeCell ref="D223:I223"/>
    <mergeCell ref="B224:C224"/>
    <mergeCell ref="D224:I224"/>
    <mergeCell ref="C226:J226"/>
    <mergeCell ref="C245:J245"/>
    <mergeCell ref="B249:J250"/>
    <mergeCell ref="B254:J254"/>
    <mergeCell ref="B259:J259"/>
    <mergeCell ref="C247:J247"/>
    <mergeCell ref="B252:J252"/>
    <mergeCell ref="C258:J258"/>
    <mergeCell ref="C235:J235"/>
    <mergeCell ref="C237:J237"/>
    <mergeCell ref="B239:J239"/>
    <mergeCell ref="B241:J241"/>
    <mergeCell ref="B243:J243"/>
    <mergeCell ref="A273:A274"/>
    <mergeCell ref="B273:J273"/>
    <mergeCell ref="B271:I271"/>
    <mergeCell ref="E262:J262"/>
    <mergeCell ref="C264:J264"/>
    <mergeCell ref="B266:E267"/>
    <mergeCell ref="F266:G266"/>
    <mergeCell ref="H266:I266"/>
    <mergeCell ref="F267:G267"/>
    <mergeCell ref="H267:I267"/>
    <mergeCell ref="B275:C275"/>
    <mergeCell ref="D275:I275"/>
    <mergeCell ref="B276:C276"/>
    <mergeCell ref="D276:I276"/>
    <mergeCell ref="B277:C277"/>
    <mergeCell ref="D277:I277"/>
    <mergeCell ref="B268:E268"/>
    <mergeCell ref="F268:G268"/>
    <mergeCell ref="H268:I268"/>
    <mergeCell ref="C270:J270"/>
    <mergeCell ref="A283:B283"/>
    <mergeCell ref="B287:J287"/>
    <mergeCell ref="C288:J288"/>
    <mergeCell ref="C283:I283"/>
    <mergeCell ref="B285:I285"/>
    <mergeCell ref="B278:C278"/>
    <mergeCell ref="D278:I278"/>
    <mergeCell ref="B279:C279"/>
    <mergeCell ref="D279:I279"/>
    <mergeCell ref="C281:J281"/>
    <mergeCell ref="C300:J300"/>
    <mergeCell ref="B304:J305"/>
    <mergeCell ref="B309:J309"/>
    <mergeCell ref="B314:J314"/>
    <mergeCell ref="C302:J302"/>
    <mergeCell ref="B307:J307"/>
    <mergeCell ref="C313:J313"/>
    <mergeCell ref="C290:J290"/>
    <mergeCell ref="C292:J292"/>
    <mergeCell ref="B294:J294"/>
    <mergeCell ref="B296:J296"/>
    <mergeCell ref="B298:J298"/>
    <mergeCell ref="B323:E323"/>
    <mergeCell ref="F323:G323"/>
    <mergeCell ref="H323:I323"/>
    <mergeCell ref="C325:J325"/>
    <mergeCell ref="A328:A329"/>
    <mergeCell ref="B328:J328"/>
    <mergeCell ref="B326:I326"/>
    <mergeCell ref="E317:J317"/>
    <mergeCell ref="C319:J319"/>
    <mergeCell ref="B321:E322"/>
    <mergeCell ref="F321:G321"/>
    <mergeCell ref="H321:I321"/>
    <mergeCell ref="F322:G322"/>
    <mergeCell ref="H322:I322"/>
    <mergeCell ref="A383:A384"/>
    <mergeCell ref="B383:J383"/>
    <mergeCell ref="B385:C385"/>
    <mergeCell ref="D385:I385"/>
    <mergeCell ref="F377:G377"/>
    <mergeCell ref="H377:I377"/>
    <mergeCell ref="F378:G378"/>
    <mergeCell ref="H378:I378"/>
    <mergeCell ref="B378:E378"/>
    <mergeCell ref="C380:J380"/>
    <mergeCell ref="B381:I381"/>
    <mergeCell ref="C435:J435"/>
    <mergeCell ref="B436:I436"/>
    <mergeCell ref="A438:A439"/>
    <mergeCell ref="B438:J438"/>
    <mergeCell ref="B440:C440"/>
    <mergeCell ref="D440:I440"/>
    <mergeCell ref="F432:G432"/>
    <mergeCell ref="H432:I432"/>
    <mergeCell ref="F433:G433"/>
    <mergeCell ref="H433:I433"/>
    <mergeCell ref="B433:E433"/>
    <mergeCell ref="B444:C444"/>
    <mergeCell ref="D444:I444"/>
    <mergeCell ref="C446:J446"/>
    <mergeCell ref="B441:C441"/>
    <mergeCell ref="D441:I441"/>
    <mergeCell ref="B442:C442"/>
    <mergeCell ref="D442:I442"/>
    <mergeCell ref="B443:C443"/>
    <mergeCell ref="D443:I443"/>
    <mergeCell ref="O99:O102"/>
    <mergeCell ref="P99:P102"/>
    <mergeCell ref="Q99:Q102"/>
    <mergeCell ref="O154:O157"/>
    <mergeCell ref="P154:P157"/>
    <mergeCell ref="Q154:Q157"/>
    <mergeCell ref="C190:J190"/>
    <mergeCell ref="B194:J195"/>
    <mergeCell ref="B199:J199"/>
    <mergeCell ref="B197:J197"/>
    <mergeCell ref="C180:J180"/>
    <mergeCell ref="C182:J182"/>
    <mergeCell ref="B184:J184"/>
    <mergeCell ref="B186:J186"/>
    <mergeCell ref="B188:J188"/>
    <mergeCell ref="A173:B173"/>
    <mergeCell ref="B168:C168"/>
    <mergeCell ref="D168:I168"/>
    <mergeCell ref="B169:C169"/>
    <mergeCell ref="D169:I169"/>
    <mergeCell ref="C171:J171"/>
    <mergeCell ref="B165:C165"/>
    <mergeCell ref="D165:I165"/>
    <mergeCell ref="B166:C166"/>
    <mergeCell ref="A338:B338"/>
    <mergeCell ref="C338:I338"/>
    <mergeCell ref="B340:I340"/>
    <mergeCell ref="B342:J342"/>
    <mergeCell ref="C343:J343"/>
    <mergeCell ref="C173:I173"/>
    <mergeCell ref="B175:I175"/>
    <mergeCell ref="B177:J177"/>
    <mergeCell ref="C178:J178"/>
    <mergeCell ref="C192:J192"/>
    <mergeCell ref="B216:I216"/>
    <mergeCell ref="B204:J204"/>
    <mergeCell ref="C203:J203"/>
    <mergeCell ref="B333:C333"/>
    <mergeCell ref="D333:I333"/>
    <mergeCell ref="B334:C334"/>
    <mergeCell ref="D334:I334"/>
    <mergeCell ref="C336:J336"/>
    <mergeCell ref="B330:C330"/>
    <mergeCell ref="D330:I330"/>
    <mergeCell ref="B331:C331"/>
    <mergeCell ref="D331:I331"/>
    <mergeCell ref="B332:C332"/>
    <mergeCell ref="D332:I332"/>
    <mergeCell ref="C391:J391"/>
    <mergeCell ref="B386:C386"/>
    <mergeCell ref="D386:I386"/>
    <mergeCell ref="B387:C387"/>
    <mergeCell ref="D387:I387"/>
    <mergeCell ref="B388:C388"/>
    <mergeCell ref="D388:I388"/>
    <mergeCell ref="C345:J345"/>
    <mergeCell ref="C347:J347"/>
    <mergeCell ref="B349:J349"/>
    <mergeCell ref="B351:J351"/>
    <mergeCell ref="B353:J353"/>
    <mergeCell ref="C355:J355"/>
    <mergeCell ref="C357:J357"/>
    <mergeCell ref="B359:J360"/>
    <mergeCell ref="B362:J362"/>
    <mergeCell ref="B364:J364"/>
    <mergeCell ref="C368:J368"/>
    <mergeCell ref="B369:J369"/>
    <mergeCell ref="B389:C389"/>
    <mergeCell ref="D389:I389"/>
    <mergeCell ref="B505:J505"/>
    <mergeCell ref="A515:J515"/>
    <mergeCell ref="A519:D519"/>
    <mergeCell ref="A520:D520"/>
    <mergeCell ref="A521:D521"/>
    <mergeCell ref="A522:D522"/>
    <mergeCell ref="E522:J522"/>
    <mergeCell ref="E518:J518"/>
    <mergeCell ref="C478:J479"/>
    <mergeCell ref="C506:J506"/>
    <mergeCell ref="C484:J484"/>
    <mergeCell ref="B510:I510"/>
    <mergeCell ref="C476:J477"/>
    <mergeCell ref="C480:J480"/>
    <mergeCell ref="C482:J483"/>
    <mergeCell ref="C487:J488"/>
    <mergeCell ref="C489:J489"/>
    <mergeCell ref="A483:B483"/>
    <mergeCell ref="C498:H498"/>
    <mergeCell ref="B498:B499"/>
    <mergeCell ref="R44:R47"/>
    <mergeCell ref="C400:J400"/>
    <mergeCell ref="C402:J402"/>
    <mergeCell ref="B404:J404"/>
    <mergeCell ref="B406:J406"/>
    <mergeCell ref="B408:J408"/>
    <mergeCell ref="A393:B393"/>
    <mergeCell ref="C393:I393"/>
    <mergeCell ref="B395:I395"/>
    <mergeCell ref="B397:J397"/>
    <mergeCell ref="C398:J398"/>
    <mergeCell ref="E372:J372"/>
    <mergeCell ref="C374:J374"/>
    <mergeCell ref="B376:E377"/>
    <mergeCell ref="F376:G376"/>
    <mergeCell ref="H376:I376"/>
    <mergeCell ref="S44:S47"/>
    <mergeCell ref="T44:T47"/>
    <mergeCell ref="U44:U47"/>
    <mergeCell ref="V44:V47"/>
    <mergeCell ref="V99:V102"/>
    <mergeCell ref="C474:J475"/>
    <mergeCell ref="C492:J493"/>
    <mergeCell ref="C496:J497"/>
    <mergeCell ref="P65:W65"/>
    <mergeCell ref="P67:X67"/>
    <mergeCell ref="Q68:Y68"/>
    <mergeCell ref="E427:J427"/>
    <mergeCell ref="C429:J429"/>
    <mergeCell ref="B431:E432"/>
    <mergeCell ref="F431:G431"/>
    <mergeCell ref="H431:I431"/>
    <mergeCell ref="C410:J410"/>
    <mergeCell ref="C412:J412"/>
    <mergeCell ref="B414:J415"/>
    <mergeCell ref="B417:J417"/>
    <mergeCell ref="B419:J419"/>
    <mergeCell ref="C423:J423"/>
    <mergeCell ref="B424:J424"/>
    <mergeCell ref="R99:R102"/>
    <mergeCell ref="T99:T102"/>
    <mergeCell ref="U99:U102"/>
    <mergeCell ref="R209:R212"/>
    <mergeCell ref="S209:S212"/>
    <mergeCell ref="T209:T212"/>
    <mergeCell ref="U209:U212"/>
    <mergeCell ref="V209:V212"/>
    <mergeCell ref="R154:R157"/>
    <mergeCell ref="S154:S157"/>
    <mergeCell ref="T154:T157"/>
    <mergeCell ref="U154:U157"/>
    <mergeCell ref="V154:V157"/>
    <mergeCell ref="Y99:Y102"/>
    <mergeCell ref="W154:W157"/>
    <mergeCell ref="X154:X157"/>
    <mergeCell ref="U374:U377"/>
    <mergeCell ref="V374:V377"/>
    <mergeCell ref="U264:U267"/>
    <mergeCell ref="V264:V267"/>
    <mergeCell ref="O429:O432"/>
    <mergeCell ref="P429:P432"/>
    <mergeCell ref="Q429:Q432"/>
    <mergeCell ref="R429:R432"/>
    <mergeCell ref="S429:S432"/>
    <mergeCell ref="T429:T432"/>
    <mergeCell ref="U429:U432"/>
    <mergeCell ref="V429:V432"/>
    <mergeCell ref="O319:O322"/>
    <mergeCell ref="P319:P322"/>
    <mergeCell ref="Q319:Q322"/>
    <mergeCell ref="R319:R322"/>
    <mergeCell ref="S319:S322"/>
    <mergeCell ref="T319:T322"/>
    <mergeCell ref="U319:U322"/>
    <mergeCell ref="V319:V322"/>
    <mergeCell ref="O374:O377"/>
    <mergeCell ref="B453:G453"/>
    <mergeCell ref="C454:J454"/>
    <mergeCell ref="B458:J458"/>
    <mergeCell ref="C456:J457"/>
    <mergeCell ref="B460:J460"/>
    <mergeCell ref="W44:W46"/>
    <mergeCell ref="X44:X46"/>
    <mergeCell ref="W99:W102"/>
    <mergeCell ref="X99:X102"/>
    <mergeCell ref="P374:P377"/>
    <mergeCell ref="Q374:Q377"/>
    <mergeCell ref="R374:R377"/>
    <mergeCell ref="S374:S377"/>
    <mergeCell ref="T374:T377"/>
    <mergeCell ref="O209:O212"/>
    <mergeCell ref="P209:P212"/>
    <mergeCell ref="Q209:Q212"/>
    <mergeCell ref="O264:O267"/>
    <mergeCell ref="P264:P267"/>
    <mergeCell ref="Q264:Q267"/>
    <mergeCell ref="R264:R267"/>
    <mergeCell ref="S264:S267"/>
    <mergeCell ref="T264:T267"/>
    <mergeCell ref="S99:S102"/>
  </mergeCells>
  <pageMargins left="0.708661" right="0.708661" top="0.748031" bottom="0.748031" header="0.314961" footer="0.314961"/>
  <pageSetup firstPageNumber="1" fitToHeight="1" fitToWidth="1" scale="88" useFirstPageNumber="0" orientation="portrait" pageOrder="downThenOver"/>
  <headerFooter>
    <oddFooter>&amp;C&amp;"Helvetica Neue,Regular"&amp;12&amp;K000000&amp;P</oddFooter>
  </headerFooter>
  <drawing r:id="rId1"/>
</worksheet>
</file>

<file path=xl/worksheets/sheet17.xml><?xml version="1.0" encoding="utf-8"?>
<worksheet xmlns:r="http://schemas.openxmlformats.org/officeDocument/2006/relationships" xmlns="http://schemas.openxmlformats.org/spreadsheetml/2006/main">
  <dimension ref="A1:Z461"/>
  <sheetViews>
    <sheetView workbookViewId="0" showGridLines="0" defaultGridColor="1"/>
  </sheetViews>
  <sheetFormatPr defaultColWidth="11.5" defaultRowHeight="12.75" customHeight="1" outlineLevelRow="0" outlineLevelCol="0"/>
  <cols>
    <col min="1" max="1" width="12.6719" style="1155" customWidth="1"/>
    <col min="2" max="2" width="22.5" style="1155" customWidth="1"/>
    <col min="3" max="3" width="74.3516" style="1155" customWidth="1"/>
    <col min="4" max="9" width="9" style="1155" customWidth="1"/>
    <col min="10" max="12" width="7.5" style="1155" customWidth="1"/>
    <col min="13" max="14" width="9.17188" style="1155" customWidth="1"/>
    <col min="15" max="26" width="11.5" style="1155" customWidth="1"/>
    <col min="27" max="16384" width="11.5" style="1155" customWidth="1"/>
  </cols>
  <sheetData>
    <row r="1" ht="12.75" customHeight="1">
      <c r="A1" s="1156"/>
      <c r="B1" s="142"/>
      <c r="C1" s="142"/>
      <c r="D1" s="142"/>
      <c r="E1" s="142"/>
      <c r="F1" s="142"/>
      <c r="G1" s="142"/>
      <c r="H1" s="142"/>
      <c r="I1" s="142"/>
      <c r="J1" s="142"/>
      <c r="K1" s="142"/>
      <c r="L1" s="142"/>
      <c r="M1" s="142"/>
      <c r="N1" s="142"/>
      <c r="O1" s="142"/>
      <c r="P1" s="237"/>
      <c r="Q1" s="237"/>
      <c r="R1" s="237"/>
      <c r="S1" s="237"/>
      <c r="T1" s="237"/>
      <c r="U1" s="237"/>
      <c r="V1" s="237"/>
      <c r="W1" s="237"/>
      <c r="X1" s="237"/>
      <c r="Y1" s="237"/>
      <c r="Z1" s="237"/>
    </row>
    <row r="2" ht="15" customHeight="1">
      <c r="A2" s="1157"/>
      <c r="B2" s="1157"/>
      <c r="C2" s="142"/>
      <c r="D2" s="142"/>
      <c r="E2" s="142"/>
      <c r="F2" s="142"/>
      <c r="G2" s="142"/>
      <c r="H2" s="142"/>
      <c r="I2" s="142"/>
      <c r="J2" s="142"/>
      <c r="K2" s="142"/>
      <c r="L2" s="142"/>
      <c r="M2" s="142"/>
      <c r="N2" s="142"/>
      <c r="O2" s="142"/>
      <c r="P2" s="237"/>
      <c r="Q2" s="237"/>
      <c r="R2" s="237"/>
      <c r="S2" s="237"/>
      <c r="T2" s="237"/>
      <c r="U2" s="237"/>
      <c r="V2" s="237"/>
      <c r="W2" s="237"/>
      <c r="X2" s="237"/>
      <c r="Y2" s="237"/>
      <c r="Z2" s="237"/>
    </row>
    <row r="3" ht="23.25" customHeight="1">
      <c r="A3" t="s" s="1158">
        <v>947</v>
      </c>
      <c r="B3" s="1159"/>
      <c r="C3" s="142"/>
      <c r="D3" s="142"/>
      <c r="E3" s="142"/>
      <c r="F3" s="142"/>
      <c r="G3" s="142"/>
      <c r="H3" s="142"/>
      <c r="I3" s="142"/>
      <c r="J3" s="142"/>
      <c r="K3" s="142"/>
      <c r="L3" s="142"/>
      <c r="M3" s="142"/>
      <c r="N3" s="142"/>
      <c r="O3" s="142"/>
      <c r="P3" s="237"/>
      <c r="Q3" s="237"/>
      <c r="R3" s="237"/>
      <c r="S3" s="237"/>
      <c r="T3" s="237"/>
      <c r="U3" s="237"/>
      <c r="V3" s="237"/>
      <c r="W3" s="237"/>
      <c r="X3" s="237"/>
      <c r="Y3" s="237"/>
      <c r="Z3" s="237"/>
    </row>
    <row r="4" ht="24" customHeight="1">
      <c r="A4" s="1160"/>
      <c r="B4" s="1160"/>
      <c r="C4" s="142"/>
      <c r="D4" s="1161"/>
      <c r="E4" s="1161"/>
      <c r="F4" s="1161"/>
      <c r="G4" s="1161"/>
      <c r="H4" s="1161"/>
      <c r="I4" s="1161"/>
      <c r="J4" s="1161"/>
      <c r="K4" t="s" s="1162">
        <v>948</v>
      </c>
      <c r="L4" s="1161"/>
      <c r="M4" s="142"/>
      <c r="N4" s="142"/>
      <c r="O4" s="142"/>
      <c r="P4" s="237"/>
      <c r="Q4" s="237"/>
      <c r="R4" s="237"/>
      <c r="S4" s="237"/>
      <c r="T4" s="237"/>
      <c r="U4" s="237"/>
      <c r="V4" s="237"/>
      <c r="W4" s="237"/>
      <c r="X4" s="237"/>
      <c r="Y4" s="237"/>
      <c r="Z4" s="237"/>
    </row>
    <row r="5" ht="16.5" customHeight="1">
      <c r="A5" s="1161"/>
      <c r="B5" s="1161"/>
      <c r="C5" s="1163"/>
      <c r="D5" t="s" s="1164">
        <v>949</v>
      </c>
      <c r="E5" s="1165"/>
      <c r="F5" s="1166"/>
      <c r="G5" t="s" s="1164">
        <v>950</v>
      </c>
      <c r="H5" s="1165"/>
      <c r="I5" s="1166"/>
      <c r="J5" t="s" s="1164">
        <v>951</v>
      </c>
      <c r="K5" s="1165"/>
      <c r="L5" s="1166"/>
      <c r="M5" s="1167"/>
      <c r="N5" s="142"/>
      <c r="O5" s="142"/>
      <c r="P5" s="237"/>
      <c r="Q5" s="237"/>
      <c r="R5" s="237"/>
      <c r="S5" s="237"/>
      <c r="T5" s="237"/>
      <c r="U5" s="237"/>
      <c r="V5" s="237"/>
      <c r="W5" s="237"/>
      <c r="X5" s="237"/>
      <c r="Y5" s="237"/>
      <c r="Z5" s="237"/>
    </row>
    <row r="6" ht="81" customHeight="1">
      <c r="A6" t="s" s="1168">
        <v>952</v>
      </c>
      <c r="B6" s="1169"/>
      <c r="C6" t="s" s="1168">
        <v>953</v>
      </c>
      <c r="D6" t="s" s="1170">
        <v>954</v>
      </c>
      <c r="E6" t="s" s="1171">
        <v>955</v>
      </c>
      <c r="F6" t="s" s="1172">
        <v>956</v>
      </c>
      <c r="G6" t="s" s="1173">
        <v>957</v>
      </c>
      <c r="H6" t="s" s="1171">
        <v>958</v>
      </c>
      <c r="I6" t="s" s="1172">
        <v>959</v>
      </c>
      <c r="J6" t="s" s="1173">
        <v>960</v>
      </c>
      <c r="K6" t="s" s="1171">
        <v>961</v>
      </c>
      <c r="L6" t="s" s="1172">
        <v>962</v>
      </c>
      <c r="M6" s="1167"/>
      <c r="N6" s="142"/>
      <c r="O6" s="142"/>
      <c r="P6" s="237"/>
      <c r="Q6" s="237"/>
      <c r="R6" s="237"/>
      <c r="S6" s="237"/>
      <c r="T6" s="237"/>
      <c r="U6" s="237"/>
      <c r="V6" s="237"/>
      <c r="W6" s="237"/>
      <c r="X6" s="237"/>
      <c r="Y6" s="237"/>
      <c r="Z6" s="237"/>
    </row>
    <row r="7" ht="13.5" customHeight="1">
      <c r="A7" t="s" s="1174">
        <f>IF('Adatlap'!L1="Magyar",'Fordítások'!C372,'Fordítások'!B372)</f>
        <v>963</v>
      </c>
      <c r="B7" s="1175"/>
      <c r="C7" t="s" s="1176">
        <f>IF('Adatlap'!L1="Magyar","nem szerepel","not included")</f>
        <v>963</v>
      </c>
      <c r="D7" s="1177"/>
      <c r="E7" s="1177"/>
      <c r="F7" s="1177"/>
      <c r="G7" s="1177"/>
      <c r="H7" s="1177"/>
      <c r="I7" s="1177"/>
      <c r="J7" s="1177"/>
      <c r="K7" s="1177"/>
      <c r="L7" s="1178"/>
      <c r="M7" s="1167"/>
      <c r="N7" s="142"/>
      <c r="O7" s="142"/>
      <c r="P7" s="237"/>
      <c r="Q7" s="237"/>
      <c r="R7" s="237"/>
      <c r="S7" s="237"/>
      <c r="T7" s="237"/>
      <c r="U7" s="237"/>
      <c r="V7" s="237"/>
      <c r="W7" s="237"/>
      <c r="X7" s="237"/>
      <c r="Y7" s="237"/>
      <c r="Z7" s="237"/>
    </row>
    <row r="8" ht="12.75" customHeight="1">
      <c r="A8" s="1179">
        <v>2001</v>
      </c>
      <c r="B8" t="s" s="1180">
        <v>964</v>
      </c>
      <c r="C8" t="s" s="1181">
        <v>965</v>
      </c>
      <c r="D8" s="1182">
        <v>4.1</v>
      </c>
      <c r="E8" s="1182">
        <v>1000</v>
      </c>
      <c r="F8" s="1183">
        <f>D8/E8</f>
        <v>0.0041</v>
      </c>
      <c r="G8" s="1184">
        <v>0.6899999999999999</v>
      </c>
      <c r="H8" s="1182">
        <v>10</v>
      </c>
      <c r="I8" s="1183">
        <f>G8/H8</f>
        <v>0.06900000000000001</v>
      </c>
      <c r="J8" s="1184">
        <v>0.05</v>
      </c>
      <c r="K8" t="s" s="1185">
        <v>966</v>
      </c>
      <c r="L8" t="s" s="1186">
        <v>257</v>
      </c>
      <c r="M8" s="1167"/>
      <c r="N8" s="142"/>
      <c r="O8" s="142"/>
      <c r="P8" s="237"/>
      <c r="Q8" s="237"/>
      <c r="R8" s="237"/>
      <c r="S8" s="237"/>
      <c r="T8" s="237"/>
      <c r="U8" s="237"/>
      <c r="V8" s="237"/>
      <c r="W8" s="237"/>
      <c r="X8" s="237"/>
      <c r="Y8" s="237"/>
      <c r="Z8" s="237"/>
    </row>
    <row r="9" ht="12.75" customHeight="1">
      <c r="A9" s="1187">
        <v>2002</v>
      </c>
      <c r="B9" t="s" s="1188">
        <v>964</v>
      </c>
      <c r="C9" t="s" s="1189">
        <v>967</v>
      </c>
      <c r="D9" s="1190">
        <v>6.7</v>
      </c>
      <c r="E9" s="1190">
        <v>5000</v>
      </c>
      <c r="F9" s="1191">
        <f>D9/E9</f>
        <v>0.00134</v>
      </c>
      <c r="G9" s="1192">
        <v>0.5</v>
      </c>
      <c r="H9" s="1190">
        <v>10</v>
      </c>
      <c r="I9" s="1191">
        <f>G9/H9</f>
        <v>0.05</v>
      </c>
      <c r="J9" s="1192">
        <v>0.05</v>
      </c>
      <c r="K9" t="s" s="1193">
        <v>966</v>
      </c>
      <c r="L9" t="s" s="1194">
        <v>257</v>
      </c>
      <c r="M9" s="1167"/>
      <c r="N9" s="142"/>
      <c r="O9" s="142"/>
      <c r="P9" s="237"/>
      <c r="Q9" s="237"/>
      <c r="R9" s="237"/>
      <c r="S9" s="237"/>
      <c r="T9" s="237"/>
      <c r="U9" s="237"/>
      <c r="V9" s="237"/>
      <c r="W9" s="237"/>
      <c r="X9" s="237"/>
      <c r="Y9" s="237"/>
      <c r="Z9" s="237"/>
    </row>
    <row r="10" ht="12.75" customHeight="1">
      <c r="A10" s="1187">
        <v>2003</v>
      </c>
      <c r="B10" t="s" s="1188">
        <v>964</v>
      </c>
      <c r="C10" t="s" s="1189">
        <v>968</v>
      </c>
      <c r="D10" s="1190">
        <v>40</v>
      </c>
      <c r="E10" s="1190">
        <v>1000</v>
      </c>
      <c r="F10" s="1191">
        <f>D10/E10</f>
        <v>0.04</v>
      </c>
      <c r="G10" s="1192">
        <v>1.35</v>
      </c>
      <c r="H10" s="1190">
        <v>10</v>
      </c>
      <c r="I10" s="1191">
        <f>G10/H10</f>
        <v>0.135</v>
      </c>
      <c r="J10" s="1192">
        <v>0.05</v>
      </c>
      <c r="K10" t="s" s="1193">
        <v>966</v>
      </c>
      <c r="L10" t="s" s="1194">
        <v>969</v>
      </c>
      <c r="M10" s="1167"/>
      <c r="N10" s="142"/>
      <c r="O10" s="142"/>
      <c r="P10" s="237"/>
      <c r="Q10" s="237"/>
      <c r="R10" s="237"/>
      <c r="S10" s="237"/>
      <c r="T10" s="237"/>
      <c r="U10" s="237"/>
      <c r="V10" s="237"/>
      <c r="W10" s="237"/>
      <c r="X10" s="237"/>
      <c r="Y10" s="237"/>
      <c r="Z10" s="237"/>
    </row>
    <row r="11" ht="12.75" customHeight="1">
      <c r="A11" s="1187">
        <v>2004</v>
      </c>
      <c r="B11" t="s" s="1188">
        <v>964</v>
      </c>
      <c r="C11" t="s" s="1189">
        <v>970</v>
      </c>
      <c r="D11" s="1190">
        <v>8.640000000000001</v>
      </c>
      <c r="E11" s="1190">
        <v>1000</v>
      </c>
      <c r="F11" s="1191">
        <f>D11/E11</f>
        <v>0.00864</v>
      </c>
      <c r="G11" s="1192">
        <v>0.95</v>
      </c>
      <c r="H11" s="1190">
        <v>10</v>
      </c>
      <c r="I11" s="1191">
        <f>G11/H11</f>
        <v>0.095</v>
      </c>
      <c r="J11" s="1192">
        <v>0.05</v>
      </c>
      <c r="K11" t="s" s="1193">
        <v>966</v>
      </c>
      <c r="L11" t="s" s="1194">
        <v>971</v>
      </c>
      <c r="M11" s="1167"/>
      <c r="N11" s="142"/>
      <c r="O11" s="142"/>
      <c r="P11" s="237"/>
      <c r="Q11" s="237"/>
      <c r="R11" s="237"/>
      <c r="S11" s="237"/>
      <c r="T11" s="237"/>
      <c r="U11" s="237"/>
      <c r="V11" s="237"/>
      <c r="W11" s="237"/>
      <c r="X11" s="237"/>
      <c r="Y11" s="237"/>
      <c r="Z11" s="237"/>
    </row>
    <row r="12" ht="12.75" customHeight="1">
      <c r="A12" s="1187">
        <v>2005</v>
      </c>
      <c r="B12" t="s" s="1188">
        <v>964</v>
      </c>
      <c r="C12" t="s" s="1189">
        <v>972</v>
      </c>
      <c r="D12" s="1190">
        <v>2.8</v>
      </c>
      <c r="E12" s="1190">
        <v>1000</v>
      </c>
      <c r="F12" s="1191">
        <f>D12/E12</f>
        <v>0.0028</v>
      </c>
      <c r="G12" s="1192">
        <v>0.391</v>
      </c>
      <c r="H12" s="1190">
        <v>10</v>
      </c>
      <c r="I12" s="1191">
        <f>G12/H12</f>
        <v>0.0391</v>
      </c>
      <c r="J12" s="1192">
        <v>0.05</v>
      </c>
      <c r="K12" t="s" s="1193">
        <v>966</v>
      </c>
      <c r="L12" t="s" s="1194">
        <v>969</v>
      </c>
      <c r="M12" s="1167"/>
      <c r="N12" s="142"/>
      <c r="O12" s="142"/>
      <c r="P12" s="237"/>
      <c r="Q12" s="237"/>
      <c r="R12" s="237"/>
      <c r="S12" s="237"/>
      <c r="T12" s="237"/>
      <c r="U12" s="237"/>
      <c r="V12" s="237"/>
      <c r="W12" s="237"/>
      <c r="X12" s="237"/>
      <c r="Y12" s="237"/>
      <c r="Z12" s="237"/>
    </row>
    <row r="13" ht="12.75" customHeight="1">
      <c r="A13" s="1187">
        <v>2006</v>
      </c>
      <c r="B13" t="s" s="1188">
        <v>964</v>
      </c>
      <c r="C13" t="s" s="1189">
        <v>973</v>
      </c>
      <c r="D13" s="1190">
        <v>15</v>
      </c>
      <c r="E13" s="1190">
        <v>1000</v>
      </c>
      <c r="F13" s="1191">
        <f>D13/E13</f>
        <v>0.015</v>
      </c>
      <c r="G13" s="1192">
        <v>0.419</v>
      </c>
      <c r="H13" s="1190">
        <v>10</v>
      </c>
      <c r="I13" s="1191">
        <f>G13/H13</f>
        <v>0.0419</v>
      </c>
      <c r="J13" s="1192">
        <v>0.05</v>
      </c>
      <c r="K13" t="s" s="1193">
        <v>966</v>
      </c>
      <c r="L13" t="s" s="1194">
        <v>969</v>
      </c>
      <c r="M13" s="1167"/>
      <c r="N13" s="142"/>
      <c r="O13" s="142"/>
      <c r="P13" s="237"/>
      <c r="Q13" s="237"/>
      <c r="R13" s="237"/>
      <c r="S13" s="237"/>
      <c r="T13" s="237"/>
      <c r="U13" s="237"/>
      <c r="V13" s="237"/>
      <c r="W13" s="237"/>
      <c r="X13" s="237"/>
      <c r="Y13" s="237"/>
      <c r="Z13" s="237"/>
    </row>
    <row r="14" ht="12.75" customHeight="1">
      <c r="A14" s="1187">
        <v>2007</v>
      </c>
      <c r="B14" t="s" s="1188">
        <v>964</v>
      </c>
      <c r="C14" t="s" s="1189">
        <v>974</v>
      </c>
      <c r="D14" s="1190">
        <v>27</v>
      </c>
      <c r="E14" s="1190">
        <v>1000</v>
      </c>
      <c r="F14" s="1191">
        <f>D14/E14</f>
        <v>0.027</v>
      </c>
      <c r="G14" s="1192">
        <v>0.2</v>
      </c>
      <c r="H14" s="1190">
        <v>10</v>
      </c>
      <c r="I14" s="1191">
        <f>G14/H14</f>
        <v>0.02</v>
      </c>
      <c r="J14" s="1192">
        <v>0.05</v>
      </c>
      <c r="K14" t="s" s="1193">
        <v>966</v>
      </c>
      <c r="L14" t="s" s="1194">
        <v>969</v>
      </c>
      <c r="M14" s="1167"/>
      <c r="N14" s="142"/>
      <c r="O14" s="142"/>
      <c r="P14" s="237"/>
      <c r="Q14" s="237"/>
      <c r="R14" s="237"/>
      <c r="S14" s="237"/>
      <c r="T14" s="237"/>
      <c r="U14" s="237"/>
      <c r="V14" s="237"/>
      <c r="W14" s="237"/>
      <c r="X14" s="237"/>
      <c r="Y14" s="237"/>
      <c r="Z14" s="237"/>
    </row>
    <row r="15" ht="12.75" customHeight="1">
      <c r="A15" s="1187">
        <v>2008</v>
      </c>
      <c r="B15" t="s" s="1188">
        <v>964</v>
      </c>
      <c r="C15" t="s" s="1189">
        <v>975</v>
      </c>
      <c r="D15" s="1190">
        <v>7.1</v>
      </c>
      <c r="E15" s="1190">
        <v>1000</v>
      </c>
      <c r="F15" s="1191">
        <f>D15/E15</f>
        <v>0.0071</v>
      </c>
      <c r="G15" s="1192">
        <v>1.9</v>
      </c>
      <c r="H15" s="1190">
        <v>50</v>
      </c>
      <c r="I15" s="1191">
        <f>G15/H15</f>
        <v>0.038</v>
      </c>
      <c r="J15" s="1192">
        <v>0.05</v>
      </c>
      <c r="K15" t="s" s="1193">
        <v>966</v>
      </c>
      <c r="L15" t="s" s="1194">
        <v>971</v>
      </c>
      <c r="M15" s="1167"/>
      <c r="N15" s="142"/>
      <c r="O15" s="142"/>
      <c r="P15" s="237"/>
      <c r="Q15" s="237"/>
      <c r="R15" s="237"/>
      <c r="S15" s="237"/>
      <c r="T15" s="237"/>
      <c r="U15" s="237"/>
      <c r="V15" s="237"/>
      <c r="W15" s="237"/>
      <c r="X15" s="237"/>
      <c r="Y15" s="237"/>
      <c r="Z15" s="237"/>
    </row>
    <row r="16" ht="12.75" customHeight="1">
      <c r="A16" s="1187">
        <v>2009</v>
      </c>
      <c r="B16" t="s" s="1188">
        <v>964</v>
      </c>
      <c r="C16" t="s" s="1189">
        <v>976</v>
      </c>
      <c r="D16" s="1190">
        <v>4.6</v>
      </c>
      <c r="E16" s="1190">
        <v>1000</v>
      </c>
      <c r="F16" s="1191">
        <f>D16/E16</f>
        <v>0.0046</v>
      </c>
      <c r="G16" s="1192">
        <v>0.14</v>
      </c>
      <c r="H16" s="1190">
        <v>10</v>
      </c>
      <c r="I16" s="1191">
        <f>G16/H16</f>
        <v>0.014</v>
      </c>
      <c r="J16" s="1192">
        <v>0.05</v>
      </c>
      <c r="K16" t="s" s="1193">
        <v>966</v>
      </c>
      <c r="L16" t="s" s="1194">
        <v>969</v>
      </c>
      <c r="M16" s="1167"/>
      <c r="N16" s="142"/>
      <c r="O16" s="142"/>
      <c r="P16" s="237"/>
      <c r="Q16" s="237"/>
      <c r="R16" s="237"/>
      <c r="S16" s="237"/>
      <c r="T16" s="237"/>
      <c r="U16" s="237"/>
      <c r="V16" s="237"/>
      <c r="W16" s="237"/>
      <c r="X16" s="237"/>
      <c r="Y16" s="237"/>
      <c r="Z16" s="237"/>
    </row>
    <row r="17" ht="12.75" customHeight="1">
      <c r="A17" s="1187">
        <v>2010</v>
      </c>
      <c r="B17" t="s" s="1188">
        <v>964</v>
      </c>
      <c r="C17" t="s" s="1189">
        <v>977</v>
      </c>
      <c r="D17" s="1190">
        <v>0.57</v>
      </c>
      <c r="E17" s="1190">
        <v>10000</v>
      </c>
      <c r="F17" s="1191">
        <f>D17/E17</f>
        <v>5.7e-05</v>
      </c>
      <c r="G17" s="1195"/>
      <c r="H17" s="1196"/>
      <c r="I17" s="1191">
        <f>F17</f>
        <v>5.7e-05</v>
      </c>
      <c r="J17" s="1192">
        <v>0.05</v>
      </c>
      <c r="K17" t="s" s="1193">
        <v>966</v>
      </c>
      <c r="L17" t="s" s="1194">
        <v>969</v>
      </c>
      <c r="M17" s="1167"/>
      <c r="N17" s="142"/>
      <c r="O17" s="142"/>
      <c r="P17" s="237"/>
      <c r="Q17" s="237"/>
      <c r="R17" s="237"/>
      <c r="S17" s="237"/>
      <c r="T17" s="237"/>
      <c r="U17" s="237"/>
      <c r="V17" s="237"/>
      <c r="W17" s="237"/>
      <c r="X17" s="237"/>
      <c r="Y17" s="237"/>
      <c r="Z17" s="237"/>
    </row>
    <row r="18" ht="12.75" customHeight="1">
      <c r="A18" s="1187">
        <v>2011</v>
      </c>
      <c r="B18" t="s" s="1188">
        <v>964</v>
      </c>
      <c r="C18" t="s" s="1189">
        <v>978</v>
      </c>
      <c r="D18" s="1190">
        <v>18</v>
      </c>
      <c r="E18" s="1190">
        <v>1000</v>
      </c>
      <c r="F18" s="1191">
        <f>D18/E18</f>
        <v>0.018</v>
      </c>
      <c r="G18" s="1195"/>
      <c r="H18" s="1196"/>
      <c r="I18" s="1191">
        <f>F18</f>
        <v>0.018</v>
      </c>
      <c r="J18" s="1192">
        <v>0.05</v>
      </c>
      <c r="K18" t="s" s="1193">
        <v>966</v>
      </c>
      <c r="L18" t="s" s="1194">
        <v>971</v>
      </c>
      <c r="M18" s="1167"/>
      <c r="N18" s="142"/>
      <c r="O18" s="142"/>
      <c r="P18" s="237"/>
      <c r="Q18" s="237"/>
      <c r="R18" s="237"/>
      <c r="S18" s="237"/>
      <c r="T18" s="237"/>
      <c r="U18" s="237"/>
      <c r="V18" s="237"/>
      <c r="W18" s="237"/>
      <c r="X18" s="237"/>
      <c r="Y18" s="237"/>
      <c r="Z18" s="237"/>
    </row>
    <row r="19" ht="12.75" customHeight="1">
      <c r="A19" s="1187">
        <v>2012</v>
      </c>
      <c r="B19" t="s" s="1188">
        <v>964</v>
      </c>
      <c r="C19" t="s" s="1189">
        <v>979</v>
      </c>
      <c r="D19" s="1190">
        <v>2</v>
      </c>
      <c r="E19" s="1190">
        <v>1000</v>
      </c>
      <c r="F19" s="1191">
        <f>D19/E19</f>
        <v>0.002</v>
      </c>
      <c r="G19" s="1195"/>
      <c r="H19" s="1196"/>
      <c r="I19" s="1191">
        <f>F19</f>
        <v>0.002</v>
      </c>
      <c r="J19" s="1192">
        <v>0.05</v>
      </c>
      <c r="K19" t="s" s="1193">
        <v>966</v>
      </c>
      <c r="L19" t="s" s="1194">
        <v>971</v>
      </c>
      <c r="M19" s="1167"/>
      <c r="N19" s="142"/>
      <c r="O19" s="142"/>
      <c r="P19" s="237"/>
      <c r="Q19" s="237"/>
      <c r="R19" s="237"/>
      <c r="S19" s="237"/>
      <c r="T19" s="237"/>
      <c r="U19" s="237"/>
      <c r="V19" s="237"/>
      <c r="W19" s="237"/>
      <c r="X19" s="237"/>
      <c r="Y19" s="237"/>
      <c r="Z19" s="237"/>
    </row>
    <row r="20" ht="12.75" customHeight="1">
      <c r="A20" s="1187">
        <v>2013</v>
      </c>
      <c r="B20" t="s" s="1188">
        <v>964</v>
      </c>
      <c r="C20" t="s" s="1189">
        <v>980</v>
      </c>
      <c r="D20" s="1190">
        <v>0.73</v>
      </c>
      <c r="E20" s="1190">
        <v>1000</v>
      </c>
      <c r="F20" s="1191">
        <f>D20/E20</f>
        <v>0.00073</v>
      </c>
      <c r="G20" s="1195"/>
      <c r="H20" s="1196"/>
      <c r="I20" s="1191">
        <f>F20</f>
        <v>0.00073</v>
      </c>
      <c r="J20" s="1192">
        <v>0.05</v>
      </c>
      <c r="K20" t="s" s="1193">
        <v>966</v>
      </c>
      <c r="L20" t="s" s="1194">
        <v>971</v>
      </c>
      <c r="M20" s="1167"/>
      <c r="N20" s="142"/>
      <c r="O20" s="142"/>
      <c r="P20" s="237"/>
      <c r="Q20" s="237"/>
      <c r="R20" s="237"/>
      <c r="S20" s="237"/>
      <c r="T20" s="237"/>
      <c r="U20" s="237"/>
      <c r="V20" s="237"/>
      <c r="W20" s="237"/>
      <c r="X20" s="237"/>
      <c r="Y20" s="237"/>
      <c r="Z20" s="237"/>
    </row>
    <row r="21" ht="12.75" customHeight="1">
      <c r="A21" s="1187">
        <v>2014</v>
      </c>
      <c r="B21" t="s" s="1188">
        <v>964</v>
      </c>
      <c r="C21" t="s" s="1189">
        <v>981</v>
      </c>
      <c r="D21" s="1190">
        <v>100</v>
      </c>
      <c r="E21" s="1190">
        <v>1000</v>
      </c>
      <c r="F21" s="1191">
        <f>D21/E21</f>
        <v>0.1</v>
      </c>
      <c r="G21" s="1195"/>
      <c r="H21" s="1196"/>
      <c r="I21" s="1191">
        <f>F21</f>
        <v>0.1</v>
      </c>
      <c r="J21" s="1192">
        <v>0.05</v>
      </c>
      <c r="K21" t="s" s="1193">
        <v>966</v>
      </c>
      <c r="L21" t="s" s="1194">
        <v>971</v>
      </c>
      <c r="M21" s="1167"/>
      <c r="N21" s="142"/>
      <c r="O21" s="142"/>
      <c r="P21" s="237"/>
      <c r="Q21" s="237"/>
      <c r="R21" s="237"/>
      <c r="S21" s="237"/>
      <c r="T21" s="237"/>
      <c r="U21" s="237"/>
      <c r="V21" s="237"/>
      <c r="W21" s="237"/>
      <c r="X21" s="237"/>
      <c r="Y21" s="237"/>
      <c r="Z21" s="237"/>
    </row>
    <row r="22" ht="12.75" customHeight="1">
      <c r="A22" s="1187">
        <v>2015</v>
      </c>
      <c r="B22" t="s" s="1188">
        <v>964</v>
      </c>
      <c r="C22" t="s" s="1189">
        <v>982</v>
      </c>
      <c r="D22" s="1190">
        <v>6.6</v>
      </c>
      <c r="E22" s="1190">
        <v>1000</v>
      </c>
      <c r="F22" s="1191">
        <f>D22/E22</f>
        <v>0.0066</v>
      </c>
      <c r="G22" s="1195"/>
      <c r="H22" s="1196"/>
      <c r="I22" s="1191">
        <f>F22</f>
        <v>0.0066</v>
      </c>
      <c r="J22" s="1192">
        <v>0.05</v>
      </c>
      <c r="K22" t="s" s="1193">
        <v>966</v>
      </c>
      <c r="L22" t="s" s="1194">
        <v>971</v>
      </c>
      <c r="M22" s="1167"/>
      <c r="N22" s="142"/>
      <c r="O22" s="142"/>
      <c r="P22" s="237"/>
      <c r="Q22" s="237"/>
      <c r="R22" s="237"/>
      <c r="S22" s="237"/>
      <c r="T22" s="237"/>
      <c r="U22" s="237"/>
      <c r="V22" s="237"/>
      <c r="W22" s="237"/>
      <c r="X22" s="237"/>
      <c r="Y22" s="237"/>
      <c r="Z22" s="237"/>
    </row>
    <row r="23" ht="12.75" customHeight="1">
      <c r="A23" s="1187">
        <v>2016</v>
      </c>
      <c r="B23" t="s" s="1188">
        <v>964</v>
      </c>
      <c r="C23" t="s" s="1189">
        <v>983</v>
      </c>
      <c r="D23" s="1190">
        <v>0.88</v>
      </c>
      <c r="E23" s="1190">
        <v>1000</v>
      </c>
      <c r="F23" s="1191">
        <f>D23/E23</f>
        <v>0.00088</v>
      </c>
      <c r="G23" s="1195"/>
      <c r="H23" s="1196"/>
      <c r="I23" s="1191">
        <f>F23</f>
        <v>0.00088</v>
      </c>
      <c r="J23" s="1192">
        <v>0.05</v>
      </c>
      <c r="K23" t="s" s="1193">
        <v>966</v>
      </c>
      <c r="L23" t="s" s="1194">
        <v>971</v>
      </c>
      <c r="M23" s="1167"/>
      <c r="N23" s="142"/>
      <c r="O23" s="142"/>
      <c r="P23" s="237"/>
      <c r="Q23" s="237"/>
      <c r="R23" s="237"/>
      <c r="S23" s="237"/>
      <c r="T23" s="237"/>
      <c r="U23" s="237"/>
      <c r="V23" s="237"/>
      <c r="W23" s="237"/>
      <c r="X23" s="237"/>
      <c r="Y23" s="237"/>
      <c r="Z23" s="237"/>
    </row>
    <row r="24" ht="12.75" customHeight="1">
      <c r="A24" s="1187">
        <v>2017</v>
      </c>
      <c r="B24" t="s" s="1188">
        <v>964</v>
      </c>
      <c r="C24" t="s" s="1189">
        <v>984</v>
      </c>
      <c r="D24" s="1190">
        <v>1.96</v>
      </c>
      <c r="E24" s="1190">
        <v>1000</v>
      </c>
      <c r="F24" s="1191">
        <f>D24/E24</f>
        <v>0.00196</v>
      </c>
      <c r="G24" s="1195"/>
      <c r="H24" s="1196"/>
      <c r="I24" s="1191">
        <f>F24</f>
        <v>0.00196</v>
      </c>
      <c r="J24" s="1192">
        <v>0.5</v>
      </c>
      <c r="K24" t="s" s="1193">
        <v>985</v>
      </c>
      <c r="L24" t="s" s="1194">
        <v>971</v>
      </c>
      <c r="M24" s="1167"/>
      <c r="N24" s="142"/>
      <c r="O24" s="142"/>
      <c r="P24" s="237"/>
      <c r="Q24" s="237"/>
      <c r="R24" s="237"/>
      <c r="S24" s="237"/>
      <c r="T24" s="237"/>
      <c r="U24" s="237"/>
      <c r="V24" s="237"/>
      <c r="W24" s="237"/>
      <c r="X24" s="237"/>
      <c r="Y24" s="237"/>
      <c r="Z24" s="237"/>
    </row>
    <row r="25" ht="12.75" customHeight="1">
      <c r="A25" s="1197">
        <v>2018</v>
      </c>
      <c r="B25" t="s" s="1188">
        <v>964</v>
      </c>
      <c r="C25" t="s" s="1189">
        <v>986</v>
      </c>
      <c r="D25" s="1190">
        <v>10</v>
      </c>
      <c r="E25" s="1190">
        <v>1000</v>
      </c>
      <c r="F25" s="1191">
        <v>0.01</v>
      </c>
      <c r="G25" s="1195"/>
      <c r="H25" s="1196"/>
      <c r="I25" s="1191">
        <v>0.01</v>
      </c>
      <c r="J25" s="1192">
        <v>0.05</v>
      </c>
      <c r="K25" t="s" s="1193">
        <v>966</v>
      </c>
      <c r="L25" t="s" s="1194">
        <v>971</v>
      </c>
      <c r="M25" s="1167"/>
      <c r="N25" s="142"/>
      <c r="O25" s="142"/>
      <c r="P25" s="237"/>
      <c r="Q25" s="237"/>
      <c r="R25" s="237"/>
      <c r="S25" s="237"/>
      <c r="T25" s="237"/>
      <c r="U25" s="237"/>
      <c r="V25" s="237"/>
      <c r="W25" s="237"/>
      <c r="X25" s="237"/>
      <c r="Y25" s="237"/>
      <c r="Z25" s="237"/>
    </row>
    <row r="26" ht="12.75" customHeight="1">
      <c r="A26" s="1197">
        <v>2019</v>
      </c>
      <c r="B26" t="s" s="1188">
        <v>964</v>
      </c>
      <c r="C26" t="s" s="1189">
        <v>987</v>
      </c>
      <c r="D26" s="1190">
        <v>6.1</v>
      </c>
      <c r="E26" s="1190">
        <v>1000</v>
      </c>
      <c r="F26" s="1191">
        <f>D26/E26</f>
        <v>0.0061</v>
      </c>
      <c r="G26" s="1195"/>
      <c r="H26" s="1196"/>
      <c r="I26" s="1191">
        <f>F26</f>
        <v>0.0061</v>
      </c>
      <c r="J26" s="1192">
        <v>0.05</v>
      </c>
      <c r="K26" t="s" s="1193">
        <v>966</v>
      </c>
      <c r="L26" t="s" s="1194">
        <v>971</v>
      </c>
      <c r="M26" s="1167"/>
      <c r="N26" s="142"/>
      <c r="O26" s="142"/>
      <c r="P26" s="237"/>
      <c r="Q26" s="237"/>
      <c r="R26" s="237"/>
      <c r="S26" s="237"/>
      <c r="T26" s="237"/>
      <c r="U26" s="237"/>
      <c r="V26" s="237"/>
      <c r="W26" s="237"/>
      <c r="X26" s="237"/>
      <c r="Y26" s="237"/>
      <c r="Z26" s="237"/>
    </row>
    <row r="27" ht="24" customHeight="1">
      <c r="A27" s="1198">
        <v>2020</v>
      </c>
      <c r="B27" t="s" s="1188">
        <v>964</v>
      </c>
      <c r="C27" t="s" s="1199">
        <v>988</v>
      </c>
      <c r="D27" s="1190">
        <v>10</v>
      </c>
      <c r="E27" s="1190">
        <v>1000</v>
      </c>
      <c r="F27" s="1191">
        <f>D27/E27</f>
        <v>0.01</v>
      </c>
      <c r="G27" s="1195"/>
      <c r="H27" s="1196"/>
      <c r="I27" s="1191">
        <f>F27</f>
        <v>0.01</v>
      </c>
      <c r="J27" s="1192">
        <v>0.05</v>
      </c>
      <c r="K27" t="s" s="1193">
        <v>966</v>
      </c>
      <c r="L27" t="s" s="1194">
        <v>971</v>
      </c>
      <c r="M27" s="1167"/>
      <c r="N27" s="142"/>
      <c r="O27" s="142"/>
      <c r="P27" s="237"/>
      <c r="Q27" s="237"/>
      <c r="R27" s="237"/>
      <c r="S27" s="237"/>
      <c r="T27" s="237"/>
      <c r="U27" s="237"/>
      <c r="V27" s="237"/>
      <c r="W27" s="237"/>
      <c r="X27" s="237"/>
      <c r="Y27" s="237"/>
      <c r="Z27" s="237"/>
    </row>
    <row r="28" ht="12.75" customHeight="1">
      <c r="A28" s="1187">
        <v>2021</v>
      </c>
      <c r="B28" t="s" s="1188">
        <v>964</v>
      </c>
      <c r="C28" t="s" s="1189">
        <v>989</v>
      </c>
      <c r="D28" s="1190">
        <v>9</v>
      </c>
      <c r="E28" s="1190">
        <v>10000</v>
      </c>
      <c r="F28" s="1191">
        <f>D28/E28</f>
        <v>0.0009</v>
      </c>
      <c r="G28" s="1192">
        <v>0.25</v>
      </c>
      <c r="H28" s="1190">
        <v>50</v>
      </c>
      <c r="I28" s="1191">
        <f>G28/H28</f>
        <v>0.005</v>
      </c>
      <c r="J28" s="1192">
        <v>0.05</v>
      </c>
      <c r="K28" t="s" s="1193">
        <v>966</v>
      </c>
      <c r="L28" t="s" s="1194">
        <v>257</v>
      </c>
      <c r="M28" s="1167"/>
      <c r="N28" s="142"/>
      <c r="O28" s="142"/>
      <c r="P28" s="237"/>
      <c r="Q28" s="237"/>
      <c r="R28" s="237"/>
      <c r="S28" s="237"/>
      <c r="T28" s="237"/>
      <c r="U28" s="237"/>
      <c r="V28" s="237"/>
      <c r="W28" s="237"/>
      <c r="X28" s="237"/>
      <c r="Y28" s="237"/>
      <c r="Z28" s="237"/>
    </row>
    <row r="29" ht="12.75" customHeight="1">
      <c r="A29" s="1187">
        <v>2022</v>
      </c>
      <c r="B29" t="s" s="1188">
        <v>964</v>
      </c>
      <c r="C29" t="s" s="1189">
        <v>990</v>
      </c>
      <c r="D29" s="1190">
        <v>0.8065</v>
      </c>
      <c r="E29" s="1190">
        <v>1000</v>
      </c>
      <c r="F29" s="1191">
        <f>D29/E29</f>
        <v>0.0008065</v>
      </c>
      <c r="G29" s="1192">
        <v>0.23</v>
      </c>
      <c r="H29" s="1190">
        <v>50</v>
      </c>
      <c r="I29" s="1191">
        <f>G29/H29</f>
        <v>0.0046</v>
      </c>
      <c r="J29" s="1192">
        <v>0.05</v>
      </c>
      <c r="K29" t="s" s="1193">
        <v>966</v>
      </c>
      <c r="L29" t="s" s="1194">
        <v>257</v>
      </c>
      <c r="M29" s="1167"/>
      <c r="N29" s="142"/>
      <c r="O29" s="142"/>
      <c r="P29" s="237"/>
      <c r="Q29" s="237"/>
      <c r="R29" s="237"/>
      <c r="S29" s="237"/>
      <c r="T29" s="237"/>
      <c r="U29" s="237"/>
      <c r="V29" s="237"/>
      <c r="W29" s="237"/>
      <c r="X29" s="237"/>
      <c r="Y29" s="237"/>
      <c r="Z29" s="237"/>
    </row>
    <row r="30" ht="12.75" customHeight="1">
      <c r="A30" s="1187">
        <v>2023</v>
      </c>
      <c r="B30" t="s" s="1188">
        <v>964</v>
      </c>
      <c r="C30" t="s" s="1189">
        <v>991</v>
      </c>
      <c r="D30" s="1190">
        <v>3.3</v>
      </c>
      <c r="E30" s="1190">
        <v>10000</v>
      </c>
      <c r="F30" s="1191">
        <f>D30/E30</f>
        <v>0.00033</v>
      </c>
      <c r="G30" s="1192">
        <v>1.2</v>
      </c>
      <c r="H30" s="1190">
        <v>50</v>
      </c>
      <c r="I30" s="1191">
        <f>G30/H30</f>
        <v>0.024</v>
      </c>
      <c r="J30" s="1192">
        <v>0.05</v>
      </c>
      <c r="K30" t="s" s="1193">
        <v>966</v>
      </c>
      <c r="L30" t="s" s="1194">
        <v>257</v>
      </c>
      <c r="M30" s="1167"/>
      <c r="N30" s="142"/>
      <c r="O30" s="142"/>
      <c r="P30" s="237"/>
      <c r="Q30" s="237"/>
      <c r="R30" s="237"/>
      <c r="S30" s="237"/>
      <c r="T30" s="237"/>
      <c r="U30" s="237"/>
      <c r="V30" s="237"/>
      <c r="W30" s="237"/>
      <c r="X30" s="237"/>
      <c r="Y30" s="237"/>
      <c r="Z30" s="237"/>
    </row>
    <row r="31" ht="12.75" customHeight="1">
      <c r="A31" s="1187">
        <v>2024</v>
      </c>
      <c r="B31" t="s" s="1188">
        <v>964</v>
      </c>
      <c r="C31" t="s" s="1189">
        <v>992</v>
      </c>
      <c r="D31" s="1190">
        <v>0.5</v>
      </c>
      <c r="E31" s="1190">
        <v>5000</v>
      </c>
      <c r="F31" s="1191">
        <f>D31/E31</f>
        <v>0.0001</v>
      </c>
      <c r="G31" s="1195"/>
      <c r="H31" s="1196"/>
      <c r="I31" s="1191">
        <f>F31</f>
        <v>0.0001</v>
      </c>
      <c r="J31" s="1192">
        <v>0.05</v>
      </c>
      <c r="K31" t="s" s="1193">
        <v>966</v>
      </c>
      <c r="L31" t="s" s="1194">
        <v>257</v>
      </c>
      <c r="M31" s="1167"/>
      <c r="N31" s="142"/>
      <c r="O31" s="142"/>
      <c r="P31" s="237"/>
      <c r="Q31" s="237"/>
      <c r="R31" s="237"/>
      <c r="S31" s="237"/>
      <c r="T31" s="237"/>
      <c r="U31" s="237"/>
      <c r="V31" s="237"/>
      <c r="W31" s="237"/>
      <c r="X31" s="237"/>
      <c r="Y31" s="237"/>
      <c r="Z31" s="237"/>
    </row>
    <row r="32" ht="12.75" customHeight="1">
      <c r="A32" s="1197">
        <v>2025</v>
      </c>
      <c r="B32" t="s" s="1188">
        <v>964</v>
      </c>
      <c r="C32" t="s" s="1189">
        <v>993</v>
      </c>
      <c r="D32" s="1190">
        <v>22</v>
      </c>
      <c r="E32" s="1190">
        <v>1000</v>
      </c>
      <c r="F32" s="1191">
        <f>D32/E32</f>
        <v>0.022</v>
      </c>
      <c r="G32" s="1192">
        <v>10</v>
      </c>
      <c r="H32" s="1190">
        <v>100</v>
      </c>
      <c r="I32" s="1191">
        <f>G32/H32</f>
        <v>0.1</v>
      </c>
      <c r="J32" s="1192">
        <v>0.05</v>
      </c>
      <c r="K32" t="s" s="1193">
        <v>966</v>
      </c>
      <c r="L32" t="s" s="1194">
        <v>969</v>
      </c>
      <c r="M32" s="1167"/>
      <c r="N32" s="142"/>
      <c r="O32" s="142"/>
      <c r="P32" s="237"/>
      <c r="Q32" s="237"/>
      <c r="R32" s="237"/>
      <c r="S32" s="237"/>
      <c r="T32" s="237"/>
      <c r="U32" s="237"/>
      <c r="V32" s="237"/>
      <c r="W32" s="237"/>
      <c r="X32" s="237"/>
      <c r="Y32" s="237"/>
      <c r="Z32" s="237"/>
    </row>
    <row r="33" ht="12.75" customHeight="1">
      <c r="A33" s="1187">
        <v>2026</v>
      </c>
      <c r="B33" t="s" s="1188">
        <v>964</v>
      </c>
      <c r="C33" t="s" s="1189">
        <v>994</v>
      </c>
      <c r="D33" s="1190">
        <v>56</v>
      </c>
      <c r="E33" s="1190">
        <v>10000</v>
      </c>
      <c r="F33" s="1191">
        <f>D33/E33</f>
        <v>0.0056</v>
      </c>
      <c r="G33" s="1195"/>
      <c r="H33" s="1196"/>
      <c r="I33" s="1191">
        <f>F33</f>
        <v>0.0056</v>
      </c>
      <c r="J33" s="1192">
        <v>0.05</v>
      </c>
      <c r="K33" t="s" s="1193">
        <v>966</v>
      </c>
      <c r="L33" t="s" s="1194">
        <v>969</v>
      </c>
      <c r="M33" s="1167"/>
      <c r="N33" s="142"/>
      <c r="O33" s="142"/>
      <c r="P33" s="237"/>
      <c r="Q33" s="237"/>
      <c r="R33" s="237"/>
      <c r="S33" s="237"/>
      <c r="T33" s="237"/>
      <c r="U33" s="237"/>
      <c r="V33" s="237"/>
      <c r="W33" s="237"/>
      <c r="X33" s="237"/>
      <c r="Y33" s="237"/>
      <c r="Z33" s="237"/>
    </row>
    <row r="34" ht="12.75" customHeight="1">
      <c r="A34" s="1187">
        <v>2027</v>
      </c>
      <c r="B34" t="s" s="1188">
        <v>964</v>
      </c>
      <c r="C34" t="s" s="1189">
        <v>995</v>
      </c>
      <c r="D34" s="1190">
        <v>100</v>
      </c>
      <c r="E34" s="1190">
        <v>10000</v>
      </c>
      <c r="F34" s="1191">
        <f>D34/E34</f>
        <v>0.01</v>
      </c>
      <c r="G34" s="1195"/>
      <c r="H34" s="1196"/>
      <c r="I34" s="1191">
        <f>F34</f>
        <v>0.01</v>
      </c>
      <c r="J34" s="1192">
        <v>0.05</v>
      </c>
      <c r="K34" t="s" s="1193">
        <v>966</v>
      </c>
      <c r="L34" t="s" s="1194">
        <v>971</v>
      </c>
      <c r="M34" s="1167"/>
      <c r="N34" s="142"/>
      <c r="O34" s="142"/>
      <c r="P34" s="237"/>
      <c r="Q34" s="237"/>
      <c r="R34" s="237"/>
      <c r="S34" s="237"/>
      <c r="T34" s="237"/>
      <c r="U34" s="237"/>
      <c r="V34" s="237"/>
      <c r="W34" s="237"/>
      <c r="X34" s="237"/>
      <c r="Y34" s="237"/>
      <c r="Z34" s="237"/>
    </row>
    <row r="35" ht="12.75" customHeight="1">
      <c r="A35" s="1187">
        <v>2028</v>
      </c>
      <c r="B35" t="s" s="1188">
        <v>964</v>
      </c>
      <c r="C35" t="s" s="1189">
        <v>996</v>
      </c>
      <c r="D35" s="1190">
        <v>8.800000000000001</v>
      </c>
      <c r="E35" s="1190">
        <v>1000</v>
      </c>
      <c r="F35" s="1191">
        <f>D35/E35</f>
        <v>0.008800000000000001</v>
      </c>
      <c r="G35" s="1192">
        <v>5</v>
      </c>
      <c r="H35" s="1190">
        <v>100</v>
      </c>
      <c r="I35" s="1191">
        <f>G35/H35</f>
        <v>0.05</v>
      </c>
      <c r="J35" s="1192">
        <v>0.05</v>
      </c>
      <c r="K35" t="s" s="1193">
        <v>966</v>
      </c>
      <c r="L35" t="s" s="1194">
        <v>971</v>
      </c>
      <c r="M35" s="1167"/>
      <c r="N35" s="142"/>
      <c r="O35" s="142"/>
      <c r="P35" s="237"/>
      <c r="Q35" s="237"/>
      <c r="R35" s="237"/>
      <c r="S35" s="237"/>
      <c r="T35" s="237"/>
      <c r="U35" s="237"/>
      <c r="V35" s="237"/>
      <c r="W35" s="237"/>
      <c r="X35" s="237"/>
      <c r="Y35" s="237"/>
      <c r="Z35" s="237"/>
    </row>
    <row r="36" ht="12.75" customHeight="1">
      <c r="A36" s="1187">
        <v>2029</v>
      </c>
      <c r="B36" t="s" s="1188">
        <v>964</v>
      </c>
      <c r="C36" t="s" s="1189">
        <v>997</v>
      </c>
      <c r="D36" s="1190">
        <v>38</v>
      </c>
      <c r="E36" s="1190">
        <v>1000</v>
      </c>
      <c r="F36" s="1191">
        <f>D36/E36</f>
        <v>0.038</v>
      </c>
      <c r="G36" s="1195"/>
      <c r="H36" s="1196"/>
      <c r="I36" s="1191">
        <f>F36</f>
        <v>0.038</v>
      </c>
      <c r="J36" s="1192">
        <v>0.05</v>
      </c>
      <c r="K36" t="s" s="1193">
        <v>966</v>
      </c>
      <c r="L36" t="s" s="1194">
        <v>257</v>
      </c>
      <c r="M36" s="1167"/>
      <c r="N36" s="142"/>
      <c r="O36" s="142"/>
      <c r="P36" s="237"/>
      <c r="Q36" s="237"/>
      <c r="R36" s="237"/>
      <c r="S36" s="237"/>
      <c r="T36" s="237"/>
      <c r="U36" s="237"/>
      <c r="V36" s="237"/>
      <c r="W36" s="237"/>
      <c r="X36" s="237"/>
      <c r="Y36" s="237"/>
      <c r="Z36" s="237"/>
    </row>
    <row r="37" ht="12.75" customHeight="1">
      <c r="A37" s="1187">
        <v>2030</v>
      </c>
      <c r="B37" t="s" s="1188">
        <v>964</v>
      </c>
      <c r="C37" t="s" s="1188">
        <v>998</v>
      </c>
      <c r="D37" s="1192">
        <v>0.1</v>
      </c>
      <c r="E37" s="1190">
        <v>1000</v>
      </c>
      <c r="F37" s="1191">
        <f>D37/E37</f>
        <v>0.0001</v>
      </c>
      <c r="G37" s="1192">
        <v>0.32</v>
      </c>
      <c r="H37" s="1190">
        <v>100</v>
      </c>
      <c r="I37" s="1191">
        <f>G37/H37</f>
        <v>0.0032</v>
      </c>
      <c r="J37" s="1192">
        <v>0.5</v>
      </c>
      <c r="K37" t="s" s="1193">
        <v>985</v>
      </c>
      <c r="L37" t="s" s="1194">
        <v>971</v>
      </c>
      <c r="M37" s="1167"/>
      <c r="N37" s="142"/>
      <c r="O37" s="142"/>
      <c r="P37" s="237"/>
      <c r="Q37" s="237"/>
      <c r="R37" s="237"/>
      <c r="S37" s="237"/>
      <c r="T37" s="237"/>
      <c r="U37" s="237"/>
      <c r="V37" s="237"/>
      <c r="W37" s="237"/>
      <c r="X37" s="237"/>
      <c r="Y37" s="237"/>
      <c r="Z37" s="237"/>
    </row>
    <row r="38" ht="12.75" customHeight="1">
      <c r="A38" s="1187">
        <v>2031</v>
      </c>
      <c r="B38" t="s" s="1188">
        <v>964</v>
      </c>
      <c r="C38" t="s" s="1188">
        <v>999</v>
      </c>
      <c r="D38" s="1192">
        <v>238</v>
      </c>
      <c r="E38" s="1190">
        <v>1000</v>
      </c>
      <c r="F38" s="1191">
        <f>D38/E38</f>
        <v>0.238</v>
      </c>
      <c r="G38" s="1195"/>
      <c r="H38" s="1196"/>
      <c r="I38" s="1191">
        <f>F38</f>
        <v>0.238</v>
      </c>
      <c r="J38" s="1192">
        <v>0.05</v>
      </c>
      <c r="K38" t="s" s="1193">
        <v>966</v>
      </c>
      <c r="L38" t="s" s="1194">
        <v>969</v>
      </c>
      <c r="M38" s="1167"/>
      <c r="N38" s="142"/>
      <c r="O38" s="142"/>
      <c r="P38" s="237"/>
      <c r="Q38" s="237"/>
      <c r="R38" s="237"/>
      <c r="S38" s="237"/>
      <c r="T38" s="237"/>
      <c r="U38" s="237"/>
      <c r="V38" s="237"/>
      <c r="W38" s="237"/>
      <c r="X38" s="237"/>
      <c r="Y38" s="237"/>
      <c r="Z38" s="237"/>
    </row>
    <row r="39" ht="13.5" customHeight="1">
      <c r="A39" s="1187">
        <v>2032</v>
      </c>
      <c r="B39" t="s" s="1200">
        <v>964</v>
      </c>
      <c r="C39" t="s" s="1188">
        <v>1000</v>
      </c>
      <c r="D39" s="1192">
        <v>25.1</v>
      </c>
      <c r="E39" s="1190">
        <v>1000</v>
      </c>
      <c r="F39" s="1191">
        <f>D39/E39</f>
        <v>0.0251</v>
      </c>
      <c r="G39" s="1192">
        <v>12.5</v>
      </c>
      <c r="H39" s="1190">
        <v>50</v>
      </c>
      <c r="I39" s="1191">
        <f>G39/H39</f>
        <v>0.25</v>
      </c>
      <c r="J39" s="1192">
        <v>0.05</v>
      </c>
      <c r="K39" t="s" s="1193">
        <v>966</v>
      </c>
      <c r="L39" t="s" s="1194">
        <v>969</v>
      </c>
      <c r="M39" s="1167"/>
      <c r="N39" s="142"/>
      <c r="O39" s="142"/>
      <c r="P39" s="237"/>
      <c r="Q39" s="237"/>
      <c r="R39" s="237"/>
      <c r="S39" s="237"/>
      <c r="T39" s="237"/>
      <c r="U39" s="237"/>
      <c r="V39" s="237"/>
      <c r="W39" s="237"/>
      <c r="X39" s="237"/>
      <c r="Y39" s="237"/>
      <c r="Z39" s="237"/>
    </row>
    <row r="40" ht="12.75" customHeight="1">
      <c r="A40" s="1197">
        <v>2107</v>
      </c>
      <c r="B40" t="s" s="1180">
        <v>1001</v>
      </c>
      <c r="C40" t="s" s="1188">
        <v>1002</v>
      </c>
      <c r="D40" s="1192">
        <v>37.3</v>
      </c>
      <c r="E40" s="1190">
        <v>5000</v>
      </c>
      <c r="F40" s="1191">
        <f>D40/E40</f>
        <v>0.00746</v>
      </c>
      <c r="G40" s="1192">
        <v>1.5</v>
      </c>
      <c r="H40" s="1190">
        <v>10</v>
      </c>
      <c r="I40" s="1191">
        <f>G40/H40</f>
        <v>0.15</v>
      </c>
      <c r="J40" s="1192">
        <v>0.05</v>
      </c>
      <c r="K40" t="s" s="1193">
        <v>966</v>
      </c>
      <c r="L40" t="s" s="1194">
        <v>971</v>
      </c>
      <c r="M40" s="1167"/>
      <c r="N40" s="142"/>
      <c r="O40" s="142"/>
      <c r="P40" s="237"/>
      <c r="Q40" s="237"/>
      <c r="R40" s="237"/>
      <c r="S40" s="237"/>
      <c r="T40" s="237"/>
      <c r="U40" s="237"/>
      <c r="V40" s="237"/>
      <c r="W40" s="237"/>
      <c r="X40" s="237"/>
      <c r="Y40" s="237"/>
      <c r="Z40" s="237"/>
    </row>
    <row r="41" ht="12.75" customHeight="1">
      <c r="A41" s="1197">
        <v>2108</v>
      </c>
      <c r="B41" t="s" s="1188">
        <v>1001</v>
      </c>
      <c r="C41" t="s" s="1188">
        <v>1003</v>
      </c>
      <c r="D41" s="1192">
        <v>5</v>
      </c>
      <c r="E41" s="1190">
        <v>1000</v>
      </c>
      <c r="F41" s="1191">
        <f>D41/E41</f>
        <v>0.005</v>
      </c>
      <c r="G41" s="1192">
        <v>1.5</v>
      </c>
      <c r="H41" s="1190">
        <v>10</v>
      </c>
      <c r="I41" s="1191">
        <v>0.15</v>
      </c>
      <c r="J41" s="1192">
        <v>0.05</v>
      </c>
      <c r="K41" t="s" s="1193">
        <v>966</v>
      </c>
      <c r="L41" t="s" s="1194">
        <v>969</v>
      </c>
      <c r="M41" s="1167"/>
      <c r="N41" s="142"/>
      <c r="O41" s="142"/>
      <c r="P41" s="237"/>
      <c r="Q41" s="237"/>
      <c r="R41" s="237"/>
      <c r="S41" s="237"/>
      <c r="T41" s="237"/>
      <c r="U41" s="237"/>
      <c r="V41" s="237"/>
      <c r="W41" s="237"/>
      <c r="X41" s="237"/>
      <c r="Y41" s="237"/>
      <c r="Z41" s="237"/>
    </row>
    <row r="42" ht="12.75" customHeight="1">
      <c r="A42" s="1197">
        <v>2112</v>
      </c>
      <c r="B42" t="s" s="1188">
        <v>1001</v>
      </c>
      <c r="C42" t="s" s="1188">
        <v>1004</v>
      </c>
      <c r="D42" s="1192">
        <v>0.23</v>
      </c>
      <c r="E42" s="1190">
        <v>1000</v>
      </c>
      <c r="F42" s="1191">
        <f>D42/E42</f>
        <v>0.00023</v>
      </c>
      <c r="G42" s="1192">
        <v>0.18</v>
      </c>
      <c r="H42" s="1190">
        <v>100</v>
      </c>
      <c r="I42" s="1191">
        <f>G42/H42</f>
        <v>0.0018</v>
      </c>
      <c r="J42" s="1192">
        <v>0.05</v>
      </c>
      <c r="K42" t="s" s="1193">
        <v>966</v>
      </c>
      <c r="L42" t="s" s="1194">
        <v>971</v>
      </c>
      <c r="M42" s="1167"/>
      <c r="N42" s="142"/>
      <c r="O42" s="142"/>
      <c r="P42" s="237"/>
      <c r="Q42" s="237"/>
      <c r="R42" s="237"/>
      <c r="S42" s="237"/>
      <c r="T42" s="237"/>
      <c r="U42" s="237"/>
      <c r="V42" s="237"/>
      <c r="W42" s="237"/>
      <c r="X42" s="237"/>
      <c r="Y42" s="237"/>
      <c r="Z42" s="237"/>
    </row>
    <row r="43" ht="12.75" customHeight="1">
      <c r="A43" s="1197">
        <v>2113</v>
      </c>
      <c r="B43" t="s" s="1188">
        <v>1001</v>
      </c>
      <c r="C43" t="s" s="1188">
        <v>1005</v>
      </c>
      <c r="D43" s="1192">
        <v>1</v>
      </c>
      <c r="E43" s="1190">
        <v>1000</v>
      </c>
      <c r="F43" s="1191">
        <f>D43/E43</f>
        <v>0.001</v>
      </c>
      <c r="G43" s="1192">
        <v>0.74</v>
      </c>
      <c r="H43" s="1190">
        <v>10</v>
      </c>
      <c r="I43" s="1191">
        <f>G43/H43</f>
        <v>0.074</v>
      </c>
      <c r="J43" s="1192">
        <v>0.05</v>
      </c>
      <c r="K43" t="s" s="1193">
        <v>966</v>
      </c>
      <c r="L43" t="s" s="1194">
        <v>971</v>
      </c>
      <c r="M43" s="1167"/>
      <c r="N43" s="142"/>
      <c r="O43" s="142"/>
      <c r="P43" s="237"/>
      <c r="Q43" s="237"/>
      <c r="R43" s="237"/>
      <c r="S43" s="237"/>
      <c r="T43" s="237"/>
      <c r="U43" s="237"/>
      <c r="V43" s="237"/>
      <c r="W43" s="237"/>
      <c r="X43" s="237"/>
      <c r="Y43" s="237"/>
      <c r="Z43" s="237"/>
    </row>
    <row r="44" ht="12.75" customHeight="1">
      <c r="A44" s="1197">
        <v>2114</v>
      </c>
      <c r="B44" t="s" s="1188">
        <v>1001</v>
      </c>
      <c r="C44" t="s" s="1188">
        <v>1006</v>
      </c>
      <c r="D44" s="1192">
        <v>1</v>
      </c>
      <c r="E44" s="1190">
        <v>1000</v>
      </c>
      <c r="F44" s="1191">
        <f>D44/E44</f>
        <v>0.001</v>
      </c>
      <c r="G44" s="1192">
        <v>0.6</v>
      </c>
      <c r="H44" s="1190">
        <v>10</v>
      </c>
      <c r="I44" s="1191">
        <f>G44/H44</f>
        <v>0.06</v>
      </c>
      <c r="J44" s="1192">
        <v>0.05</v>
      </c>
      <c r="K44" t="s" s="1193">
        <v>966</v>
      </c>
      <c r="L44" t="s" s="1194">
        <v>971</v>
      </c>
      <c r="M44" s="1167"/>
      <c r="N44" s="142"/>
      <c r="O44" s="142"/>
      <c r="P44" s="237"/>
      <c r="Q44" s="237"/>
      <c r="R44" s="237"/>
      <c r="S44" s="237"/>
      <c r="T44" s="237"/>
      <c r="U44" s="237"/>
      <c r="V44" s="237"/>
      <c r="W44" s="237"/>
      <c r="X44" s="237"/>
      <c r="Y44" s="237"/>
      <c r="Z44" s="237"/>
    </row>
    <row r="45" ht="12.75" customHeight="1">
      <c r="A45" s="1197">
        <v>2115</v>
      </c>
      <c r="B45" t="s" s="1188">
        <v>1001</v>
      </c>
      <c r="C45" t="s" s="1188">
        <v>1007</v>
      </c>
      <c r="D45" s="1192">
        <v>1</v>
      </c>
      <c r="E45" s="1190">
        <v>1000</v>
      </c>
      <c r="F45" s="1191">
        <f>D45/E45</f>
        <v>0.001</v>
      </c>
      <c r="G45" s="1192">
        <v>2.5</v>
      </c>
      <c r="H45" s="1190">
        <v>10</v>
      </c>
      <c r="I45" s="1191">
        <f>G45/H45</f>
        <v>0.25</v>
      </c>
      <c r="J45" s="1192">
        <v>0.05</v>
      </c>
      <c r="K45" t="s" s="1193">
        <v>966</v>
      </c>
      <c r="L45" t="s" s="1194">
        <v>971</v>
      </c>
      <c r="M45" s="1167"/>
      <c r="N45" s="142"/>
      <c r="O45" s="142"/>
      <c r="P45" s="237"/>
      <c r="Q45" s="237"/>
      <c r="R45" s="237"/>
      <c r="S45" s="237"/>
      <c r="T45" s="237"/>
      <c r="U45" s="237"/>
      <c r="V45" s="237"/>
      <c r="W45" s="237"/>
      <c r="X45" s="237"/>
      <c r="Y45" s="237"/>
      <c r="Z45" s="237"/>
    </row>
    <row r="46" ht="12.75" customHeight="1">
      <c r="A46" s="1197">
        <v>2130</v>
      </c>
      <c r="B46" t="s" s="1188">
        <v>1001</v>
      </c>
      <c r="C46" t="s" s="1188">
        <v>1008</v>
      </c>
      <c r="D46" s="1192">
        <v>0.78</v>
      </c>
      <c r="E46" s="1190">
        <v>1000</v>
      </c>
      <c r="F46" s="1191">
        <f>D46/E46</f>
        <v>0.00078</v>
      </c>
      <c r="G46" s="1192">
        <v>0.36</v>
      </c>
      <c r="H46" s="1190">
        <v>100</v>
      </c>
      <c r="I46" s="1191">
        <f>G46/H46</f>
        <v>0.0036</v>
      </c>
      <c r="J46" s="1192">
        <v>0.05</v>
      </c>
      <c r="K46" t="s" s="1193">
        <v>966</v>
      </c>
      <c r="L46" t="s" s="1194">
        <v>971</v>
      </c>
      <c r="M46" s="1167"/>
      <c r="N46" s="142"/>
      <c r="O46" s="142"/>
      <c r="P46" s="237"/>
      <c r="Q46" s="237"/>
      <c r="R46" s="237"/>
      <c r="S46" s="237"/>
      <c r="T46" s="237"/>
      <c r="U46" s="237"/>
      <c r="V46" s="237"/>
      <c r="W46" s="237"/>
      <c r="X46" s="237"/>
      <c r="Y46" s="237"/>
      <c r="Z46" s="237"/>
    </row>
    <row r="47" ht="12.75" customHeight="1">
      <c r="A47" s="1197">
        <v>2131</v>
      </c>
      <c r="B47" t="s" s="1188">
        <v>1001</v>
      </c>
      <c r="C47" t="s" s="1188">
        <v>1009</v>
      </c>
      <c r="D47" s="1192">
        <v>3.2</v>
      </c>
      <c r="E47" s="1190">
        <v>5000</v>
      </c>
      <c r="F47" s="1191">
        <f>D47/E47</f>
        <v>0.0006400000000000001</v>
      </c>
      <c r="G47" s="1192">
        <v>1</v>
      </c>
      <c r="H47" s="1190">
        <v>100</v>
      </c>
      <c r="I47" s="1191">
        <f>G47/H47</f>
        <v>0.01</v>
      </c>
      <c r="J47" s="1192">
        <v>0.05</v>
      </c>
      <c r="K47" t="s" s="1193">
        <v>966</v>
      </c>
      <c r="L47" t="s" s="1194">
        <v>971</v>
      </c>
      <c r="M47" s="1167"/>
      <c r="N47" s="142"/>
      <c r="O47" s="142"/>
      <c r="P47" s="237"/>
      <c r="Q47" s="237"/>
      <c r="R47" s="237"/>
      <c r="S47" s="237"/>
      <c r="T47" s="237"/>
      <c r="U47" s="237"/>
      <c r="V47" s="237"/>
      <c r="W47" s="237"/>
      <c r="X47" s="237"/>
      <c r="Y47" s="237"/>
      <c r="Z47" s="237"/>
    </row>
    <row r="48" ht="12.75" customHeight="1">
      <c r="A48" s="1197">
        <v>2132</v>
      </c>
      <c r="B48" t="s" s="1188">
        <v>1001</v>
      </c>
      <c r="C48" t="s" s="1188">
        <v>1010</v>
      </c>
      <c r="D48" s="1192">
        <v>10</v>
      </c>
      <c r="E48" s="1190">
        <v>1000</v>
      </c>
      <c r="F48" s="1191">
        <f>D48/E48</f>
        <v>0.01</v>
      </c>
      <c r="G48" s="1195"/>
      <c r="H48" s="1196"/>
      <c r="I48" s="1191">
        <f>F48</f>
        <v>0.01</v>
      </c>
      <c r="J48" s="1192">
        <v>0.05</v>
      </c>
      <c r="K48" t="s" s="1193">
        <v>966</v>
      </c>
      <c r="L48" t="s" s="1194">
        <v>969</v>
      </c>
      <c r="M48" s="1167"/>
      <c r="N48" s="142"/>
      <c r="O48" s="142"/>
      <c r="P48" s="237"/>
      <c r="Q48" s="237"/>
      <c r="R48" s="237"/>
      <c r="S48" s="237"/>
      <c r="T48" s="237"/>
      <c r="U48" s="237"/>
      <c r="V48" s="237"/>
      <c r="W48" s="237"/>
      <c r="X48" s="237"/>
      <c r="Y48" s="237"/>
      <c r="Z48" s="237"/>
    </row>
    <row r="49" ht="12.75" customHeight="1">
      <c r="A49" s="1197">
        <v>2133</v>
      </c>
      <c r="B49" t="s" s="1188">
        <v>1001</v>
      </c>
      <c r="C49" t="s" s="1188">
        <v>1011</v>
      </c>
      <c r="D49" s="1192">
        <v>10</v>
      </c>
      <c r="E49" s="1190">
        <v>1000</v>
      </c>
      <c r="F49" s="1191">
        <f>D49/E49</f>
        <v>0.01</v>
      </c>
      <c r="G49" s="1192">
        <v>6.25</v>
      </c>
      <c r="H49" s="1190">
        <v>50</v>
      </c>
      <c r="I49" s="1191">
        <v>0.125</v>
      </c>
      <c r="J49" s="1192">
        <v>0.05</v>
      </c>
      <c r="K49" t="s" s="1193">
        <v>966</v>
      </c>
      <c r="L49" t="s" s="1194">
        <v>969</v>
      </c>
      <c r="M49" s="1167"/>
      <c r="N49" s="142"/>
      <c r="O49" s="142"/>
      <c r="P49" s="237"/>
      <c r="Q49" s="237"/>
      <c r="R49" s="237"/>
      <c r="S49" s="237"/>
      <c r="T49" s="237"/>
      <c r="U49" s="237"/>
      <c r="V49" s="237"/>
      <c r="W49" s="237"/>
      <c r="X49" s="237"/>
      <c r="Y49" s="237"/>
      <c r="Z49" s="237"/>
    </row>
    <row r="50" ht="12.75" customHeight="1">
      <c r="A50" s="1198">
        <v>2134</v>
      </c>
      <c r="B50" t="s" s="1188">
        <v>1001</v>
      </c>
      <c r="C50" t="s" s="1188">
        <v>1012</v>
      </c>
      <c r="D50" s="1192">
        <v>28</v>
      </c>
      <c r="E50" s="1190">
        <v>1000</v>
      </c>
      <c r="F50" s="1191">
        <f>D50/E50</f>
        <v>0.028</v>
      </c>
      <c r="G50" s="1192">
        <v>1.75</v>
      </c>
      <c r="H50" s="1190">
        <v>10</v>
      </c>
      <c r="I50" s="1191">
        <f>G50/H50</f>
        <v>0.175</v>
      </c>
      <c r="J50" s="1192">
        <v>0.05</v>
      </c>
      <c r="K50" t="s" s="1193">
        <v>966</v>
      </c>
      <c r="L50" t="s" s="1194">
        <v>969</v>
      </c>
      <c r="M50" s="1167"/>
      <c r="N50" s="142"/>
      <c r="O50" s="142"/>
      <c r="P50" s="237"/>
      <c r="Q50" s="237"/>
      <c r="R50" s="237"/>
      <c r="S50" s="237"/>
      <c r="T50" s="237"/>
      <c r="U50" s="237"/>
      <c r="V50" s="237"/>
      <c r="W50" s="237"/>
      <c r="X50" s="237"/>
      <c r="Y50" s="237"/>
      <c r="Z50" s="237"/>
    </row>
    <row r="51" ht="12.75" customHeight="1">
      <c r="A51" s="1197">
        <v>2135</v>
      </c>
      <c r="B51" t="s" s="1188">
        <v>1001</v>
      </c>
      <c r="C51" t="s" s="1188">
        <v>1013</v>
      </c>
      <c r="D51" s="1192">
        <v>480</v>
      </c>
      <c r="E51" s="1190">
        <v>1000</v>
      </c>
      <c r="F51" s="1191">
        <f>D51/E51</f>
        <v>0.48</v>
      </c>
      <c r="G51" s="1192">
        <v>100</v>
      </c>
      <c r="H51" s="1190">
        <v>100</v>
      </c>
      <c r="I51" s="1191">
        <f>G51/H51</f>
        <v>1</v>
      </c>
      <c r="J51" s="1192">
        <v>0.05</v>
      </c>
      <c r="K51" t="s" s="1193">
        <v>966</v>
      </c>
      <c r="L51" t="s" s="1194">
        <v>257</v>
      </c>
      <c r="M51" s="1167"/>
      <c r="N51" s="142"/>
      <c r="O51" s="142"/>
      <c r="P51" s="237"/>
      <c r="Q51" s="237"/>
      <c r="R51" s="237"/>
      <c r="S51" s="237"/>
      <c r="T51" s="237"/>
      <c r="U51" s="237"/>
      <c r="V51" s="237"/>
      <c r="W51" s="237"/>
      <c r="X51" s="237"/>
      <c r="Y51" s="237"/>
      <c r="Z51" s="237"/>
    </row>
    <row r="52" ht="12.75" customHeight="1">
      <c r="A52" s="1197">
        <v>2136</v>
      </c>
      <c r="B52" t="s" s="1188">
        <v>1001</v>
      </c>
      <c r="C52" t="s" s="1188">
        <v>1014</v>
      </c>
      <c r="D52" s="1192">
        <v>8.699999999999999</v>
      </c>
      <c r="E52" s="1190">
        <v>1000</v>
      </c>
      <c r="F52" s="1191">
        <f>D52/E52</f>
        <v>0.008699999999999999</v>
      </c>
      <c r="G52" s="1192">
        <v>1.75</v>
      </c>
      <c r="H52" s="1190">
        <v>10</v>
      </c>
      <c r="I52" s="1191">
        <f>G52/H52</f>
        <v>0.175</v>
      </c>
      <c r="J52" s="1192">
        <v>0.05</v>
      </c>
      <c r="K52" t="s" s="1193">
        <v>966</v>
      </c>
      <c r="L52" t="s" s="1194">
        <v>969</v>
      </c>
      <c r="M52" s="1167"/>
      <c r="N52" s="142"/>
      <c r="O52" s="142"/>
      <c r="P52" s="237"/>
      <c r="Q52" s="237"/>
      <c r="R52" s="237"/>
      <c r="S52" s="237"/>
      <c r="T52" s="237"/>
      <c r="U52" s="237"/>
      <c r="V52" s="237"/>
      <c r="W52" s="237"/>
      <c r="X52" s="237"/>
      <c r="Y52" s="237"/>
      <c r="Z52" s="237"/>
    </row>
    <row r="53" ht="12.75" customHeight="1">
      <c r="A53" s="1197">
        <v>2137</v>
      </c>
      <c r="B53" t="s" s="1188">
        <v>1001</v>
      </c>
      <c r="C53" t="s" s="1188">
        <v>1015</v>
      </c>
      <c r="D53" s="1195"/>
      <c r="E53" s="1196"/>
      <c r="F53" s="1191">
        <f>I53</f>
        <v>0.175</v>
      </c>
      <c r="G53" s="1192">
        <v>1.75</v>
      </c>
      <c r="H53" s="1190">
        <v>10</v>
      </c>
      <c r="I53" s="1191">
        <f>G53/H53</f>
        <v>0.175</v>
      </c>
      <c r="J53" s="1192">
        <v>0.05</v>
      </c>
      <c r="K53" t="s" s="1193">
        <v>966</v>
      </c>
      <c r="L53" t="s" s="1194">
        <v>971</v>
      </c>
      <c r="M53" s="1167"/>
      <c r="N53" s="142"/>
      <c r="O53" s="142"/>
      <c r="P53" s="237"/>
      <c r="Q53" s="237"/>
      <c r="R53" s="237"/>
      <c r="S53" s="237"/>
      <c r="T53" s="237"/>
      <c r="U53" s="237"/>
      <c r="V53" s="237"/>
      <c r="W53" s="237"/>
      <c r="X53" s="237"/>
      <c r="Y53" s="237"/>
      <c r="Z53" s="237"/>
    </row>
    <row r="54" ht="12.75" customHeight="1">
      <c r="A54" s="1197">
        <v>2138</v>
      </c>
      <c r="B54" t="s" s="1188">
        <v>1001</v>
      </c>
      <c r="C54" t="s" s="1188">
        <v>1016</v>
      </c>
      <c r="D54" s="1192">
        <v>9.5</v>
      </c>
      <c r="E54" s="1190">
        <v>1000</v>
      </c>
      <c r="F54" s="1191">
        <f>D54/E54</f>
        <v>0.0095</v>
      </c>
      <c r="G54" s="1192">
        <v>0.07000000000000001</v>
      </c>
      <c r="H54" s="1190">
        <v>10</v>
      </c>
      <c r="I54" s="1191">
        <f>G54/H54</f>
        <v>0.007</v>
      </c>
      <c r="J54" s="1192">
        <v>0.05</v>
      </c>
      <c r="K54" t="s" s="1193">
        <v>966</v>
      </c>
      <c r="L54" t="s" s="1194">
        <v>969</v>
      </c>
      <c r="M54" s="1167"/>
      <c r="N54" s="142"/>
      <c r="O54" s="142"/>
      <c r="P54" s="237"/>
      <c r="Q54" s="237"/>
      <c r="R54" s="237"/>
      <c r="S54" s="237"/>
      <c r="T54" s="237"/>
      <c r="U54" s="237"/>
      <c r="V54" s="237"/>
      <c r="W54" s="237"/>
      <c r="X54" s="237"/>
      <c r="Y54" s="237"/>
      <c r="Z54" s="237"/>
    </row>
    <row r="55" ht="12.75" customHeight="1">
      <c r="A55" s="1197">
        <v>2139</v>
      </c>
      <c r="B55" t="s" s="1188">
        <v>1001</v>
      </c>
      <c r="C55" t="s" s="1188">
        <v>1017</v>
      </c>
      <c r="D55" s="1192">
        <v>17</v>
      </c>
      <c r="E55" s="1190">
        <v>10000</v>
      </c>
      <c r="F55" s="1191">
        <f>D55/E55</f>
        <v>0.0017</v>
      </c>
      <c r="G55" s="1195"/>
      <c r="H55" s="1196"/>
      <c r="I55" s="1191">
        <f>F55</f>
        <v>0.0017</v>
      </c>
      <c r="J55" s="1192">
        <v>0.05</v>
      </c>
      <c r="K55" t="s" s="1193">
        <v>966</v>
      </c>
      <c r="L55" t="s" s="1194">
        <v>969</v>
      </c>
      <c r="M55" s="1167"/>
      <c r="N55" s="142"/>
      <c r="O55" s="142"/>
      <c r="P55" s="237"/>
      <c r="Q55" s="237"/>
      <c r="R55" s="237"/>
      <c r="S55" s="237"/>
      <c r="T55" s="237"/>
      <c r="U55" s="237"/>
      <c r="V55" s="237"/>
      <c r="W55" s="237"/>
      <c r="X55" s="237"/>
      <c r="Y55" s="237"/>
      <c r="Z55" s="237"/>
    </row>
    <row r="56" ht="12.75" customHeight="1">
      <c r="A56" s="1197">
        <v>2140</v>
      </c>
      <c r="B56" t="s" s="1188">
        <v>1001</v>
      </c>
      <c r="C56" t="s" s="1188">
        <v>1018</v>
      </c>
      <c r="D56" s="1192">
        <v>2</v>
      </c>
      <c r="E56" s="1190">
        <v>1000</v>
      </c>
      <c r="F56" s="1191">
        <f>D56/E56</f>
        <v>0.002</v>
      </c>
      <c r="G56" s="1192">
        <v>0.07000000000000001</v>
      </c>
      <c r="H56" s="1190">
        <v>10</v>
      </c>
      <c r="I56" s="1191">
        <f>G56/H56</f>
        <v>0.007</v>
      </c>
      <c r="J56" s="1192">
        <v>0.05</v>
      </c>
      <c r="K56" t="s" s="1193">
        <v>966</v>
      </c>
      <c r="L56" t="s" s="1194">
        <v>969</v>
      </c>
      <c r="M56" s="1167"/>
      <c r="N56" s="142"/>
      <c r="O56" s="142"/>
      <c r="P56" s="237"/>
      <c r="Q56" s="237"/>
      <c r="R56" s="237"/>
      <c r="S56" s="237"/>
      <c r="T56" s="237"/>
      <c r="U56" s="237"/>
      <c r="V56" s="237"/>
      <c r="W56" s="237"/>
      <c r="X56" s="237"/>
      <c r="Y56" s="237"/>
      <c r="Z56" s="237"/>
    </row>
    <row r="57" ht="12.75" customHeight="1">
      <c r="A57" s="1197">
        <v>2141</v>
      </c>
      <c r="B57" t="s" s="1188">
        <v>1001</v>
      </c>
      <c r="C57" t="s" s="1188">
        <v>1019</v>
      </c>
      <c r="D57" s="1192">
        <v>7</v>
      </c>
      <c r="E57" s="1190">
        <v>1000</v>
      </c>
      <c r="F57" s="1191">
        <f>D57/E57</f>
        <v>0.007</v>
      </c>
      <c r="G57" s="1195"/>
      <c r="H57" s="1196"/>
      <c r="I57" s="1191">
        <f>F57</f>
        <v>0.007</v>
      </c>
      <c r="J57" s="1192">
        <v>0.05</v>
      </c>
      <c r="K57" t="s" s="1193">
        <v>966</v>
      </c>
      <c r="L57" t="s" s="1194">
        <v>969</v>
      </c>
      <c r="M57" s="1167"/>
      <c r="N57" s="142"/>
      <c r="O57" s="142"/>
      <c r="P57" s="237"/>
      <c r="Q57" s="237"/>
      <c r="R57" s="237"/>
      <c r="S57" s="237"/>
      <c r="T57" s="237"/>
      <c r="U57" s="237"/>
      <c r="V57" s="237"/>
      <c r="W57" s="237"/>
      <c r="X57" s="237"/>
      <c r="Y57" s="237"/>
      <c r="Z57" s="237"/>
    </row>
    <row r="58" ht="12.75" customHeight="1">
      <c r="A58" s="1197">
        <v>2142</v>
      </c>
      <c r="B58" t="s" s="1188">
        <v>1001</v>
      </c>
      <c r="C58" t="s" s="1188">
        <v>1020</v>
      </c>
      <c r="D58" s="1192">
        <v>6.4</v>
      </c>
      <c r="E58" s="1190">
        <v>5000</v>
      </c>
      <c r="F58" s="1191">
        <f>D58/E58</f>
        <v>0.00128</v>
      </c>
      <c r="G58" s="1195"/>
      <c r="H58" s="1196"/>
      <c r="I58" s="1191">
        <f>F58</f>
        <v>0.00128</v>
      </c>
      <c r="J58" s="1192">
        <v>0.05</v>
      </c>
      <c r="K58" t="s" s="1193">
        <v>966</v>
      </c>
      <c r="L58" t="s" s="1194">
        <v>971</v>
      </c>
      <c r="M58" s="1167"/>
      <c r="N58" s="142"/>
      <c r="O58" s="142"/>
      <c r="P58" s="237"/>
      <c r="Q58" s="237"/>
      <c r="R58" s="237"/>
      <c r="S58" s="237"/>
      <c r="T58" s="237"/>
      <c r="U58" s="237"/>
      <c r="V58" s="237"/>
      <c r="W58" s="237"/>
      <c r="X58" s="237"/>
      <c r="Y58" s="237"/>
      <c r="Z58" s="237"/>
    </row>
    <row r="59" ht="12.75" customHeight="1">
      <c r="A59" s="1197">
        <v>2143</v>
      </c>
      <c r="B59" t="s" s="1188">
        <v>1001</v>
      </c>
      <c r="C59" t="s" s="1188">
        <v>1021</v>
      </c>
      <c r="D59" s="1192">
        <v>0.1</v>
      </c>
      <c r="E59" s="1190">
        <v>5000</v>
      </c>
      <c r="F59" s="1191">
        <f>D59/E59</f>
        <v>2e-05</v>
      </c>
      <c r="G59" s="1192">
        <v>0.0107</v>
      </c>
      <c r="H59" s="1190">
        <v>50</v>
      </c>
      <c r="I59" s="1191">
        <v>0.000214</v>
      </c>
      <c r="J59" s="1192">
        <v>0.05</v>
      </c>
      <c r="K59" t="s" s="1193">
        <v>966</v>
      </c>
      <c r="L59" t="s" s="1194">
        <v>971</v>
      </c>
      <c r="M59" s="1167"/>
      <c r="N59" s="142"/>
      <c r="O59" s="142"/>
      <c r="P59" s="237"/>
      <c r="Q59" s="237"/>
      <c r="R59" s="237"/>
      <c r="S59" s="237"/>
      <c r="T59" s="237"/>
      <c r="U59" s="237"/>
      <c r="V59" s="237"/>
      <c r="W59" s="237"/>
      <c r="X59" s="237"/>
      <c r="Y59" s="237"/>
      <c r="Z59" s="237"/>
    </row>
    <row r="60" ht="12.75" customHeight="1">
      <c r="A60" s="1197">
        <v>2144</v>
      </c>
      <c r="B60" t="s" s="1188">
        <v>1001</v>
      </c>
      <c r="C60" t="s" s="1188">
        <v>1022</v>
      </c>
      <c r="D60" s="1192">
        <v>0.42</v>
      </c>
      <c r="E60" s="1190">
        <v>5000</v>
      </c>
      <c r="F60" s="1191">
        <f>D60/E60</f>
        <v>8.4e-05</v>
      </c>
      <c r="G60" s="1192">
        <v>0.0107</v>
      </c>
      <c r="H60" s="1190">
        <v>50</v>
      </c>
      <c r="I60" s="1191">
        <f>G60/H60</f>
        <v>0.000214</v>
      </c>
      <c r="J60" s="1192">
        <v>0.05</v>
      </c>
      <c r="K60" t="s" s="1193">
        <v>966</v>
      </c>
      <c r="L60" t="s" s="1194">
        <v>971</v>
      </c>
      <c r="M60" s="1167"/>
      <c r="N60" s="142"/>
      <c r="O60" s="142"/>
      <c r="P60" s="237"/>
      <c r="Q60" s="237"/>
      <c r="R60" s="237"/>
      <c r="S60" s="237"/>
      <c r="T60" s="237"/>
      <c r="U60" s="237"/>
      <c r="V60" s="237"/>
      <c r="W60" s="237"/>
      <c r="X60" s="237"/>
      <c r="Y60" s="237"/>
      <c r="Z60" s="237"/>
    </row>
    <row r="61" ht="12.75" customHeight="1">
      <c r="A61" s="1197">
        <v>2146</v>
      </c>
      <c r="B61" t="s" s="1188">
        <v>1001</v>
      </c>
      <c r="C61" t="s" s="1188">
        <v>1023</v>
      </c>
      <c r="D61" s="1192">
        <v>3.6</v>
      </c>
      <c r="E61" s="1190">
        <v>1000</v>
      </c>
      <c r="F61" s="1191">
        <f>D61/E61</f>
        <v>0.0036</v>
      </c>
      <c r="G61" s="1195"/>
      <c r="H61" s="1196"/>
      <c r="I61" s="1191">
        <f>F61</f>
        <v>0.0036</v>
      </c>
      <c r="J61" s="1192">
        <v>0.5</v>
      </c>
      <c r="K61" t="s" s="1193">
        <v>985</v>
      </c>
      <c r="L61" t="s" s="1194">
        <v>971</v>
      </c>
      <c r="M61" s="1167"/>
      <c r="N61" s="142"/>
      <c r="O61" s="142"/>
      <c r="P61" s="237"/>
      <c r="Q61" s="237"/>
      <c r="R61" s="237"/>
      <c r="S61" s="237"/>
      <c r="T61" s="237"/>
      <c r="U61" s="237"/>
      <c r="V61" s="237"/>
      <c r="W61" s="237"/>
      <c r="X61" s="237"/>
      <c r="Y61" s="237"/>
      <c r="Z61" s="237"/>
    </row>
    <row r="62" ht="12.75" customHeight="1">
      <c r="A62" s="1197">
        <v>2147</v>
      </c>
      <c r="B62" t="s" s="1188">
        <v>1001</v>
      </c>
      <c r="C62" t="s" s="1188">
        <v>1024</v>
      </c>
      <c r="D62" s="1192">
        <f>(0.295+0.41)/2</f>
        <v>0.3525</v>
      </c>
      <c r="E62" s="1190">
        <v>10000</v>
      </c>
      <c r="F62" s="1191">
        <f>D62/E62</f>
        <v>3.525e-05</v>
      </c>
      <c r="G62" s="1192">
        <v>0.0044</v>
      </c>
      <c r="H62" s="1190">
        <v>50</v>
      </c>
      <c r="I62" s="1191">
        <f>G62/H62</f>
        <v>8.8e-05</v>
      </c>
      <c r="J62" s="1192">
        <v>0.05</v>
      </c>
      <c r="K62" t="s" s="1193">
        <v>966</v>
      </c>
      <c r="L62" t="s" s="1194">
        <v>971</v>
      </c>
      <c r="M62" s="1167"/>
      <c r="N62" s="142"/>
      <c r="O62" s="142"/>
      <c r="P62" s="237"/>
      <c r="Q62" s="237"/>
      <c r="R62" s="237"/>
      <c r="S62" s="237"/>
      <c r="T62" s="237"/>
      <c r="U62" s="237"/>
      <c r="V62" s="237"/>
      <c r="W62" s="237"/>
      <c r="X62" s="237"/>
      <c r="Y62" s="237"/>
      <c r="Z62" s="237"/>
    </row>
    <row r="63" ht="12.75" customHeight="1">
      <c r="A63" s="1197">
        <v>2148</v>
      </c>
      <c r="B63" t="s" s="1188">
        <v>1001</v>
      </c>
      <c r="C63" t="s" s="1188">
        <v>1025</v>
      </c>
      <c r="D63" s="1192">
        <v>0.01</v>
      </c>
      <c r="E63" s="1190">
        <v>1000</v>
      </c>
      <c r="F63" s="1191">
        <f>D63/E63</f>
        <v>1e-05</v>
      </c>
      <c r="G63" s="1195"/>
      <c r="H63" s="1196"/>
      <c r="I63" s="1191">
        <f>F63</f>
        <v>1e-05</v>
      </c>
      <c r="J63" s="1192">
        <v>0.05</v>
      </c>
      <c r="K63" t="s" s="1193">
        <v>966</v>
      </c>
      <c r="L63" t="s" s="1194">
        <v>971</v>
      </c>
      <c r="M63" s="1167"/>
      <c r="N63" s="142"/>
      <c r="O63" s="142"/>
      <c r="P63" s="237"/>
      <c r="Q63" s="237"/>
      <c r="R63" s="237"/>
      <c r="S63" s="237"/>
      <c r="T63" s="237"/>
      <c r="U63" s="237"/>
      <c r="V63" s="237"/>
      <c r="W63" s="237"/>
      <c r="X63" s="237"/>
      <c r="Y63" s="237"/>
      <c r="Z63" s="237"/>
    </row>
    <row r="64" ht="12.75" customHeight="1">
      <c r="A64" s="1197">
        <v>2149</v>
      </c>
      <c r="B64" t="s" s="1188">
        <v>1001</v>
      </c>
      <c r="C64" t="s" s="1188">
        <v>1026</v>
      </c>
      <c r="D64" s="1192">
        <v>1</v>
      </c>
      <c r="E64" s="1190">
        <v>10000</v>
      </c>
      <c r="F64" s="1191">
        <f>D64/E64</f>
        <v>0.0001</v>
      </c>
      <c r="G64" s="1195"/>
      <c r="H64" s="1196"/>
      <c r="I64" s="1191">
        <f>F64</f>
        <v>0.0001</v>
      </c>
      <c r="J64" s="1192">
        <v>0.5</v>
      </c>
      <c r="K64" t="s" s="1193">
        <v>985</v>
      </c>
      <c r="L64" t="s" s="1194">
        <v>971</v>
      </c>
      <c r="M64" s="1167"/>
      <c r="N64" s="142"/>
      <c r="O64" s="142"/>
      <c r="P64" s="237"/>
      <c r="Q64" s="237"/>
      <c r="R64" s="237"/>
      <c r="S64" s="237"/>
      <c r="T64" s="237"/>
      <c r="U64" s="237"/>
      <c r="V64" s="237"/>
      <c r="W64" s="237"/>
      <c r="X64" s="237"/>
      <c r="Y64" s="237"/>
      <c r="Z64" s="237"/>
    </row>
    <row r="65" ht="13.65" customHeight="1">
      <c r="A65" s="1187">
        <v>2150</v>
      </c>
      <c r="B65" t="s" s="1188">
        <v>1001</v>
      </c>
      <c r="C65" t="s" s="1188">
        <v>1027</v>
      </c>
      <c r="D65" s="1201">
        <v>100</v>
      </c>
      <c r="E65" s="1190">
        <v>1000</v>
      </c>
      <c r="F65" s="1191">
        <f>D65/E65</f>
        <v>0.1</v>
      </c>
      <c r="G65" s="1192">
        <v>100</v>
      </c>
      <c r="H65" s="1190">
        <v>50</v>
      </c>
      <c r="I65" s="1191">
        <f>G65/H65</f>
        <v>2</v>
      </c>
      <c r="J65" s="1192">
        <v>0.5</v>
      </c>
      <c r="K65" t="s" s="1202">
        <v>985</v>
      </c>
      <c r="L65" t="s" s="1203">
        <v>971</v>
      </c>
      <c r="M65" s="1167"/>
      <c r="N65" s="142"/>
      <c r="O65" s="142"/>
      <c r="P65" s="237"/>
      <c r="Q65" s="237"/>
      <c r="R65" s="237"/>
      <c r="S65" s="237"/>
      <c r="T65" s="237"/>
      <c r="U65" s="237"/>
      <c r="V65" s="237"/>
      <c r="W65" s="237"/>
      <c r="X65" s="237"/>
      <c r="Y65" s="237"/>
      <c r="Z65" s="237"/>
    </row>
    <row r="66" ht="13.65" customHeight="1">
      <c r="A66" s="1187">
        <v>2151</v>
      </c>
      <c r="B66" t="s" s="1188">
        <v>1001</v>
      </c>
      <c r="C66" t="s" s="1188">
        <v>1028</v>
      </c>
      <c r="D66" s="1201">
        <v>100</v>
      </c>
      <c r="E66" s="1190">
        <v>1000</v>
      </c>
      <c r="F66" s="1191">
        <f>D66/E66</f>
        <v>0.1</v>
      </c>
      <c r="G66" s="1195"/>
      <c r="H66" s="1196"/>
      <c r="I66" s="1191">
        <f>F66</f>
        <v>0.1</v>
      </c>
      <c r="J66" s="1192">
        <v>0.5</v>
      </c>
      <c r="K66" t="s" s="1202">
        <v>985</v>
      </c>
      <c r="L66" t="s" s="1203">
        <v>971</v>
      </c>
      <c r="M66" s="1167"/>
      <c r="N66" s="142"/>
      <c r="O66" s="142"/>
      <c r="P66" s="237"/>
      <c r="Q66" s="237"/>
      <c r="R66" s="237"/>
      <c r="S66" s="237"/>
      <c r="T66" s="237"/>
      <c r="U66" s="237"/>
      <c r="V66" s="237"/>
      <c r="W66" s="237"/>
      <c r="X66" s="237"/>
      <c r="Y66" s="237"/>
      <c r="Z66" s="237"/>
    </row>
    <row r="67" ht="12.75" customHeight="1">
      <c r="A67" s="1187">
        <v>2152</v>
      </c>
      <c r="B67" t="s" s="1188">
        <v>1001</v>
      </c>
      <c r="C67" t="s" s="1188">
        <v>1029</v>
      </c>
      <c r="D67" s="1192">
        <v>39</v>
      </c>
      <c r="E67" s="1190">
        <v>1000</v>
      </c>
      <c r="F67" s="1191">
        <f>D67/E67</f>
        <v>0.039</v>
      </c>
      <c r="G67" s="1192">
        <v>3.2</v>
      </c>
      <c r="H67" s="1190">
        <v>50</v>
      </c>
      <c r="I67" s="1191">
        <f>G67/H67</f>
        <v>0.064</v>
      </c>
      <c r="J67" s="1192">
        <v>0.05</v>
      </c>
      <c r="K67" t="s" s="1193">
        <v>966</v>
      </c>
      <c r="L67" t="s" s="1194">
        <v>969</v>
      </c>
      <c r="M67" s="1167"/>
      <c r="N67" s="142"/>
      <c r="O67" s="142"/>
      <c r="P67" s="237"/>
      <c r="Q67" s="237"/>
      <c r="R67" s="237"/>
      <c r="S67" s="237"/>
      <c r="T67" s="237"/>
      <c r="U67" s="237"/>
      <c r="V67" s="237"/>
      <c r="W67" s="237"/>
      <c r="X67" s="237"/>
      <c r="Y67" s="237"/>
      <c r="Z67" s="237"/>
    </row>
    <row r="68" ht="12.75" customHeight="1">
      <c r="A68" s="1187">
        <v>2153</v>
      </c>
      <c r="B68" t="s" s="1188">
        <v>1001</v>
      </c>
      <c r="C68" t="s" s="1188">
        <v>1030</v>
      </c>
      <c r="D68" s="1192">
        <v>100</v>
      </c>
      <c r="E68" s="1190">
        <v>1000</v>
      </c>
      <c r="F68" s="1191">
        <f>D68/E68</f>
        <v>0.1</v>
      </c>
      <c r="G68" s="1192">
        <v>100</v>
      </c>
      <c r="H68" s="1190">
        <v>50</v>
      </c>
      <c r="I68" s="1191">
        <f>G68/H68</f>
        <v>2</v>
      </c>
      <c r="J68" s="1192">
        <v>0.05</v>
      </c>
      <c r="K68" t="s" s="1193">
        <v>966</v>
      </c>
      <c r="L68" t="s" s="1194">
        <v>971</v>
      </c>
      <c r="M68" s="1167"/>
      <c r="N68" s="142"/>
      <c r="O68" s="142"/>
      <c r="P68" s="237"/>
      <c r="Q68" s="237"/>
      <c r="R68" s="237"/>
      <c r="S68" s="237"/>
      <c r="T68" s="237"/>
      <c r="U68" s="237"/>
      <c r="V68" s="237"/>
      <c r="W68" s="237"/>
      <c r="X68" s="237"/>
      <c r="Y68" s="237"/>
      <c r="Z68" s="237"/>
    </row>
    <row r="69" ht="12.75" customHeight="1">
      <c r="A69" s="1187">
        <v>2154</v>
      </c>
      <c r="B69" t="s" s="1188">
        <v>1001</v>
      </c>
      <c r="C69" t="s" s="1188">
        <v>1031</v>
      </c>
      <c r="D69" s="1192">
        <v>12.1</v>
      </c>
      <c r="E69" s="1190">
        <v>1000</v>
      </c>
      <c r="F69" s="1191">
        <f>D69/E69</f>
        <v>0.0121</v>
      </c>
      <c r="G69" s="1192">
        <v>0.254</v>
      </c>
      <c r="H69" s="1190">
        <v>10</v>
      </c>
      <c r="I69" s="1191">
        <f>G69/H69</f>
        <v>0.0254</v>
      </c>
      <c r="J69" s="1192">
        <v>0.05</v>
      </c>
      <c r="K69" t="s" s="1193">
        <v>966</v>
      </c>
      <c r="L69" t="s" s="1194">
        <v>969</v>
      </c>
      <c r="M69" s="1167"/>
      <c r="N69" s="142"/>
      <c r="O69" s="142"/>
      <c r="P69" s="237"/>
      <c r="Q69" s="237"/>
      <c r="R69" s="237"/>
      <c r="S69" s="237"/>
      <c r="T69" s="237"/>
      <c r="U69" s="237"/>
      <c r="V69" s="237"/>
      <c r="W69" s="237"/>
      <c r="X69" s="237"/>
      <c r="Y69" s="237"/>
      <c r="Z69" s="237"/>
    </row>
    <row r="70" ht="12.75" customHeight="1">
      <c r="A70" s="1204">
        <v>2155</v>
      </c>
      <c r="B70" t="s" s="1205">
        <v>1001</v>
      </c>
      <c r="C70" t="s" s="1206">
        <v>1032</v>
      </c>
      <c r="D70" s="1207">
        <v>5</v>
      </c>
      <c r="E70" s="1208">
        <v>1000</v>
      </c>
      <c r="F70" s="1209">
        <f>D70/E70</f>
        <v>0.005</v>
      </c>
      <c r="G70" s="1207">
        <v>1.5</v>
      </c>
      <c r="H70" s="1208">
        <v>10</v>
      </c>
      <c r="I70" s="1209">
        <f>G70/H70</f>
        <v>0.15</v>
      </c>
      <c r="J70" s="1207">
        <v>0.05</v>
      </c>
      <c r="K70" t="s" s="1210">
        <v>966</v>
      </c>
      <c r="L70" t="s" s="1211">
        <v>969</v>
      </c>
      <c r="M70" s="1167"/>
      <c r="N70" s="142"/>
      <c r="O70" s="142"/>
      <c r="P70" s="237"/>
      <c r="Q70" s="237"/>
      <c r="R70" s="237"/>
      <c r="S70" s="237"/>
      <c r="T70" s="237"/>
      <c r="U70" s="237"/>
      <c r="V70" s="237"/>
      <c r="W70" s="237"/>
      <c r="X70" s="237"/>
      <c r="Y70" s="237"/>
      <c r="Z70" s="237"/>
    </row>
    <row r="71" ht="12.75" customHeight="1">
      <c r="A71" s="1204">
        <v>2156</v>
      </c>
      <c r="B71" t="s" s="1205">
        <v>1001</v>
      </c>
      <c r="C71" t="s" s="1206">
        <v>1033</v>
      </c>
      <c r="D71" s="1207">
        <v>5</v>
      </c>
      <c r="E71" s="1208">
        <v>1000</v>
      </c>
      <c r="F71" s="1209">
        <f>D71/E71</f>
        <v>0.005</v>
      </c>
      <c r="G71" s="1207">
        <v>1.5</v>
      </c>
      <c r="H71" s="1208">
        <v>10</v>
      </c>
      <c r="I71" s="1209">
        <f>G71/H71</f>
        <v>0.15</v>
      </c>
      <c r="J71" s="1207">
        <v>0.05</v>
      </c>
      <c r="K71" t="s" s="1210">
        <v>966</v>
      </c>
      <c r="L71" t="s" s="1211">
        <v>969</v>
      </c>
      <c r="M71" s="1167"/>
      <c r="N71" s="142"/>
      <c r="O71" s="142"/>
      <c r="P71" s="237"/>
      <c r="Q71" s="237"/>
      <c r="R71" s="237"/>
      <c r="S71" s="237"/>
      <c r="T71" s="237"/>
      <c r="U71" s="237"/>
      <c r="V71" s="237"/>
      <c r="W71" s="237"/>
      <c r="X71" s="237"/>
      <c r="Y71" s="237"/>
      <c r="Z71" s="237"/>
    </row>
    <row r="72" ht="12.75" customHeight="1">
      <c r="A72" s="1204">
        <v>2157</v>
      </c>
      <c r="B72" t="s" s="1205">
        <v>1001</v>
      </c>
      <c r="C72" t="s" s="1206">
        <v>1034</v>
      </c>
      <c r="D72" s="1207">
        <v>50</v>
      </c>
      <c r="E72" s="1208">
        <v>1000</v>
      </c>
      <c r="F72" s="1209">
        <f>D72/E72</f>
        <v>0.05</v>
      </c>
      <c r="G72" s="1207">
        <v>25</v>
      </c>
      <c r="H72" s="1208">
        <v>10</v>
      </c>
      <c r="I72" s="1209">
        <f>G72/H72</f>
        <v>2.5</v>
      </c>
      <c r="J72" s="1207">
        <v>0.05</v>
      </c>
      <c r="K72" t="s" s="1210">
        <v>966</v>
      </c>
      <c r="L72" t="s" s="1211">
        <v>969</v>
      </c>
      <c r="M72" s="1167"/>
      <c r="N72" s="142"/>
      <c r="O72" s="142"/>
      <c r="P72" s="237"/>
      <c r="Q72" s="237"/>
      <c r="R72" s="237"/>
      <c r="S72" s="237"/>
      <c r="T72" s="237"/>
      <c r="U72" s="237"/>
      <c r="V72" s="237"/>
      <c r="W72" s="237"/>
      <c r="X72" s="237"/>
      <c r="Y72" s="237"/>
      <c r="Z72" s="237"/>
    </row>
    <row r="73" ht="12.75" customHeight="1">
      <c r="A73" s="1204">
        <v>2158</v>
      </c>
      <c r="B73" t="s" s="1205">
        <v>1001</v>
      </c>
      <c r="C73" t="s" s="1206">
        <v>1035</v>
      </c>
      <c r="D73" s="1207">
        <v>5</v>
      </c>
      <c r="E73" s="1208">
        <v>1000</v>
      </c>
      <c r="F73" s="1209">
        <f>D73/E73</f>
        <v>0.005</v>
      </c>
      <c r="G73" s="1207">
        <v>1.5</v>
      </c>
      <c r="H73" s="1208">
        <v>10</v>
      </c>
      <c r="I73" s="1209">
        <f>G73/H73</f>
        <v>0.15</v>
      </c>
      <c r="J73" s="1207">
        <v>0.05</v>
      </c>
      <c r="K73" t="s" s="1210">
        <v>966</v>
      </c>
      <c r="L73" t="s" s="1211">
        <v>971</v>
      </c>
      <c r="M73" s="1167"/>
      <c r="N73" s="142"/>
      <c r="O73" s="142"/>
      <c r="P73" s="237"/>
      <c r="Q73" s="237"/>
      <c r="R73" s="237"/>
      <c r="S73" s="237"/>
      <c r="T73" s="237"/>
      <c r="U73" s="237"/>
      <c r="V73" s="237"/>
      <c r="W73" s="237"/>
      <c r="X73" s="237"/>
      <c r="Y73" s="237"/>
      <c r="Z73" s="237"/>
    </row>
    <row r="74" ht="12.75" customHeight="1">
      <c r="A74" s="1204">
        <v>2159</v>
      </c>
      <c r="B74" t="s" s="1205">
        <v>1001</v>
      </c>
      <c r="C74" t="s" s="1206">
        <v>1036</v>
      </c>
      <c r="D74" s="1207">
        <v>5</v>
      </c>
      <c r="E74" s="1208">
        <v>1000</v>
      </c>
      <c r="F74" s="1209">
        <f>D74/E74</f>
        <v>0.005</v>
      </c>
      <c r="G74" s="1207">
        <v>1.5</v>
      </c>
      <c r="H74" s="1208">
        <v>10</v>
      </c>
      <c r="I74" s="1209">
        <v>0.15</v>
      </c>
      <c r="J74" s="1207">
        <v>0.05</v>
      </c>
      <c r="K74" t="s" s="1210">
        <v>966</v>
      </c>
      <c r="L74" t="s" s="1211">
        <v>971</v>
      </c>
      <c r="M74" s="1167"/>
      <c r="N74" s="142"/>
      <c r="O74" s="142"/>
      <c r="P74" s="237"/>
      <c r="Q74" s="237"/>
      <c r="R74" s="237"/>
      <c r="S74" s="237"/>
      <c r="T74" s="237"/>
      <c r="U74" s="237"/>
      <c r="V74" s="237"/>
      <c r="W74" s="237"/>
      <c r="X74" s="237"/>
      <c r="Y74" s="237"/>
      <c r="Z74" s="237"/>
    </row>
    <row r="75" ht="12.75" customHeight="1">
      <c r="A75" s="1204">
        <v>2160</v>
      </c>
      <c r="B75" t="s" s="1205">
        <v>1001</v>
      </c>
      <c r="C75" t="s" s="1206">
        <v>1037</v>
      </c>
      <c r="D75" s="1207">
        <v>50</v>
      </c>
      <c r="E75" s="1208">
        <v>1000</v>
      </c>
      <c r="F75" s="1209">
        <f>D75/E75</f>
        <v>0.05</v>
      </c>
      <c r="G75" s="1207">
        <v>25</v>
      </c>
      <c r="H75" s="1208">
        <v>10</v>
      </c>
      <c r="I75" s="1209">
        <v>2.5</v>
      </c>
      <c r="J75" s="1207">
        <v>0.05</v>
      </c>
      <c r="K75" t="s" s="1210">
        <v>966</v>
      </c>
      <c r="L75" t="s" s="1211">
        <v>971</v>
      </c>
      <c r="M75" s="1167"/>
      <c r="N75" s="142"/>
      <c r="O75" s="142"/>
      <c r="P75" s="237"/>
      <c r="Q75" s="237"/>
      <c r="R75" s="237"/>
      <c r="S75" s="237"/>
      <c r="T75" s="237"/>
      <c r="U75" s="237"/>
      <c r="V75" s="237"/>
      <c r="W75" s="237"/>
      <c r="X75" s="237"/>
      <c r="Y75" s="237"/>
      <c r="Z75" s="237"/>
    </row>
    <row r="76" ht="12.75" customHeight="1">
      <c r="A76" s="1204">
        <v>2161</v>
      </c>
      <c r="B76" t="s" s="1205">
        <v>1001</v>
      </c>
      <c r="C76" t="s" s="1206">
        <v>1038</v>
      </c>
      <c r="D76" s="1207">
        <v>0.43</v>
      </c>
      <c r="E76" s="1208">
        <v>1000</v>
      </c>
      <c r="F76" s="1209">
        <f>D76/E76</f>
        <v>0.00043</v>
      </c>
      <c r="G76" s="1207">
        <v>0.29</v>
      </c>
      <c r="H76" s="1208">
        <v>10</v>
      </c>
      <c r="I76" s="1209">
        <f>G76/H76</f>
        <v>0.029</v>
      </c>
      <c r="J76" s="1207">
        <v>0.05</v>
      </c>
      <c r="K76" t="s" s="1210">
        <v>966</v>
      </c>
      <c r="L76" t="s" s="1211">
        <v>969</v>
      </c>
      <c r="M76" s="1167"/>
      <c r="N76" s="142"/>
      <c r="O76" s="142"/>
      <c r="P76" s="237"/>
      <c r="Q76" s="237"/>
      <c r="R76" s="237"/>
      <c r="S76" s="237"/>
      <c r="T76" s="237"/>
      <c r="U76" s="237"/>
      <c r="V76" s="237"/>
      <c r="W76" s="237"/>
      <c r="X76" s="237"/>
      <c r="Y76" s="237"/>
      <c r="Z76" s="237"/>
    </row>
    <row r="77" ht="12.75" customHeight="1">
      <c r="A77" s="1204">
        <v>2162</v>
      </c>
      <c r="B77" t="s" s="1205">
        <v>1001</v>
      </c>
      <c r="C77" t="s" s="1206">
        <v>1039</v>
      </c>
      <c r="D77" s="1207">
        <v>0.43</v>
      </c>
      <c r="E77" s="1208">
        <v>1000</v>
      </c>
      <c r="F77" s="1209">
        <f>D77/E77</f>
        <v>0.00043</v>
      </c>
      <c r="G77" s="1207">
        <v>0.37</v>
      </c>
      <c r="H77" s="1208">
        <v>10</v>
      </c>
      <c r="I77" s="1209">
        <f>G77/H77</f>
        <v>0.037</v>
      </c>
      <c r="J77" s="1207">
        <v>0.05</v>
      </c>
      <c r="K77" t="s" s="1210">
        <v>966</v>
      </c>
      <c r="L77" t="s" s="1211">
        <v>969</v>
      </c>
      <c r="M77" s="1167"/>
      <c r="N77" s="142"/>
      <c r="O77" s="142"/>
      <c r="P77" s="237"/>
      <c r="Q77" s="237"/>
      <c r="R77" s="237"/>
      <c r="S77" s="237"/>
      <c r="T77" s="237"/>
      <c r="U77" s="237"/>
      <c r="V77" s="237"/>
      <c r="W77" s="237"/>
      <c r="X77" s="237"/>
      <c r="Y77" s="237"/>
      <c r="Z77" s="237"/>
    </row>
    <row r="78" ht="12.75" customHeight="1">
      <c r="A78" s="1204">
        <v>2163</v>
      </c>
      <c r="B78" t="s" s="1205">
        <v>1001</v>
      </c>
      <c r="C78" t="s" s="1206">
        <v>1040</v>
      </c>
      <c r="D78" s="1207">
        <v>0.4</v>
      </c>
      <c r="E78" s="1208">
        <v>1000</v>
      </c>
      <c r="F78" s="1209">
        <f>D78/E78</f>
        <v>0.0004</v>
      </c>
      <c r="G78" s="1207">
        <v>0.27</v>
      </c>
      <c r="H78" s="1208">
        <v>10</v>
      </c>
      <c r="I78" s="1209">
        <f>G78/H78</f>
        <v>0.027</v>
      </c>
      <c r="J78" s="1207">
        <v>0.05</v>
      </c>
      <c r="K78" t="s" s="1210">
        <v>966</v>
      </c>
      <c r="L78" t="s" s="1211">
        <v>969</v>
      </c>
      <c r="M78" s="1167"/>
      <c r="N78" s="142"/>
      <c r="O78" s="142"/>
      <c r="P78" s="237"/>
      <c r="Q78" s="237"/>
      <c r="R78" s="237"/>
      <c r="S78" s="237"/>
      <c r="T78" s="237"/>
      <c r="U78" s="237"/>
      <c r="V78" s="237"/>
      <c r="W78" s="237"/>
      <c r="X78" s="237"/>
      <c r="Y78" s="237"/>
      <c r="Z78" s="237"/>
    </row>
    <row r="79" ht="12.75" customHeight="1">
      <c r="A79" s="1204">
        <v>2164</v>
      </c>
      <c r="B79" t="s" s="1205">
        <v>1001</v>
      </c>
      <c r="C79" t="s" s="1206">
        <v>1041</v>
      </c>
      <c r="D79" s="1212"/>
      <c r="E79" s="1213"/>
      <c r="F79" s="1209">
        <f>I79</f>
        <v>0.01</v>
      </c>
      <c r="G79" s="1207">
        <v>0.1</v>
      </c>
      <c r="H79" s="1208">
        <v>10</v>
      </c>
      <c r="I79" s="1209">
        <f>G79/H79</f>
        <v>0.01</v>
      </c>
      <c r="J79" s="1207">
        <v>0.05</v>
      </c>
      <c r="K79" t="s" s="1210">
        <v>966</v>
      </c>
      <c r="L79" t="s" s="1211">
        <v>969</v>
      </c>
      <c r="M79" s="1167"/>
      <c r="N79" s="142"/>
      <c r="O79" s="142"/>
      <c r="P79" s="237"/>
      <c r="Q79" s="237"/>
      <c r="R79" s="237"/>
      <c r="S79" s="237"/>
      <c r="T79" s="237"/>
      <c r="U79" s="237"/>
      <c r="V79" s="237"/>
      <c r="W79" s="237"/>
      <c r="X79" s="237"/>
      <c r="Y79" s="237"/>
      <c r="Z79" s="237"/>
    </row>
    <row r="80" ht="12.75" customHeight="1">
      <c r="A80" s="1204">
        <v>2165</v>
      </c>
      <c r="B80" t="s" s="1205">
        <v>1001</v>
      </c>
      <c r="C80" t="s" s="1206">
        <v>1042</v>
      </c>
      <c r="D80" s="1207">
        <v>0.4</v>
      </c>
      <c r="E80" s="1208">
        <v>1000</v>
      </c>
      <c r="F80" s="1209">
        <f>D80/E80</f>
        <v>0.0004</v>
      </c>
      <c r="G80" s="1207">
        <v>0.12</v>
      </c>
      <c r="H80" s="1208">
        <v>10</v>
      </c>
      <c r="I80" s="1209">
        <f>G80/H80</f>
        <v>0.012</v>
      </c>
      <c r="J80" s="1207">
        <v>0.05</v>
      </c>
      <c r="K80" t="s" s="1210">
        <v>966</v>
      </c>
      <c r="L80" t="s" s="1211">
        <v>969</v>
      </c>
      <c r="M80" s="1167"/>
      <c r="N80" s="142"/>
      <c r="O80" s="142"/>
      <c r="P80" s="237"/>
      <c r="Q80" s="237"/>
      <c r="R80" s="237"/>
      <c r="S80" s="237"/>
      <c r="T80" s="237"/>
      <c r="U80" s="237"/>
      <c r="V80" s="237"/>
      <c r="W80" s="237"/>
      <c r="X80" s="237"/>
      <c r="Y80" s="237"/>
      <c r="Z80" s="237"/>
    </row>
    <row r="81" ht="12.75" customHeight="1">
      <c r="A81" s="1214">
        <v>2166</v>
      </c>
      <c r="B81" t="s" s="1205">
        <v>1001</v>
      </c>
      <c r="C81" t="s" s="1206">
        <v>1043</v>
      </c>
      <c r="D81" s="1207">
        <v>0.7</v>
      </c>
      <c r="E81" s="1208">
        <v>1000</v>
      </c>
      <c r="F81" s="1209">
        <f>D81/E81</f>
        <v>0.0007</v>
      </c>
      <c r="G81" s="1207">
        <v>4.86</v>
      </c>
      <c r="H81" s="1208">
        <v>10</v>
      </c>
      <c r="I81" s="1209">
        <f>G81/H81</f>
        <v>0.486</v>
      </c>
      <c r="J81" s="1207">
        <v>0.05</v>
      </c>
      <c r="K81" t="s" s="1210">
        <v>966</v>
      </c>
      <c r="L81" t="s" s="1211">
        <v>969</v>
      </c>
      <c r="M81" s="1167"/>
      <c r="N81" s="142"/>
      <c r="O81" s="142"/>
      <c r="P81" s="237"/>
      <c r="Q81" s="237"/>
      <c r="R81" s="237"/>
      <c r="S81" s="237"/>
      <c r="T81" s="237"/>
      <c r="U81" s="237"/>
      <c r="V81" s="237"/>
      <c r="W81" s="237"/>
      <c r="X81" s="237"/>
      <c r="Y81" s="237"/>
      <c r="Z81" s="237"/>
    </row>
    <row r="82" ht="12.75" customHeight="1">
      <c r="A82" s="1214">
        <v>2167</v>
      </c>
      <c r="B82" t="s" s="1205">
        <v>1001</v>
      </c>
      <c r="C82" t="s" s="1206">
        <v>1044</v>
      </c>
      <c r="D82" s="1207">
        <v>13</v>
      </c>
      <c r="E82" s="1208">
        <v>1000</v>
      </c>
      <c r="F82" s="1209">
        <f>D82/E82</f>
        <v>0.013</v>
      </c>
      <c r="G82" s="1207">
        <v>4.86</v>
      </c>
      <c r="H82" s="1208">
        <v>10</v>
      </c>
      <c r="I82" s="1209">
        <f>G82/H82</f>
        <v>0.486</v>
      </c>
      <c r="J82" s="1207">
        <v>0.05</v>
      </c>
      <c r="K82" t="s" s="1210">
        <v>966</v>
      </c>
      <c r="L82" t="s" s="1211">
        <v>1045</v>
      </c>
      <c r="M82" s="1167"/>
      <c r="N82" s="142"/>
      <c r="O82" s="142"/>
      <c r="P82" s="237"/>
      <c r="Q82" s="237"/>
      <c r="R82" s="237"/>
      <c r="S82" s="237"/>
      <c r="T82" s="237"/>
      <c r="U82" s="237"/>
      <c r="V82" s="237"/>
      <c r="W82" s="237"/>
      <c r="X82" s="237"/>
      <c r="Y82" s="237"/>
      <c r="Z82" s="237"/>
    </row>
    <row r="83" ht="12.75" customHeight="1">
      <c r="A83" s="1204">
        <v>2168</v>
      </c>
      <c r="B83" t="s" s="1205">
        <v>1001</v>
      </c>
      <c r="C83" t="s" s="1206">
        <v>1046</v>
      </c>
      <c r="D83" s="1207">
        <v>130</v>
      </c>
      <c r="E83" s="1208">
        <v>1000</v>
      </c>
      <c r="F83" s="1209">
        <f>D83/E83</f>
        <v>0.13</v>
      </c>
      <c r="G83" s="1207">
        <v>56</v>
      </c>
      <c r="H83" s="1208">
        <v>10</v>
      </c>
      <c r="I83" s="1209">
        <f>G83/H83</f>
        <v>5.6</v>
      </c>
      <c r="J83" s="1207">
        <v>0.05</v>
      </c>
      <c r="K83" t="s" s="1210">
        <v>966</v>
      </c>
      <c r="L83" t="s" s="1211">
        <v>971</v>
      </c>
      <c r="M83" s="1167"/>
      <c r="N83" s="142"/>
      <c r="O83" s="142"/>
      <c r="P83" s="237"/>
      <c r="Q83" s="237"/>
      <c r="R83" s="237"/>
      <c r="S83" s="237"/>
      <c r="T83" s="237"/>
      <c r="U83" s="237"/>
      <c r="V83" s="237"/>
      <c r="W83" s="237"/>
      <c r="X83" s="237"/>
      <c r="Y83" s="237"/>
      <c r="Z83" s="237"/>
    </row>
    <row r="84" ht="12.75" customHeight="1">
      <c r="A84" s="1204">
        <v>2170</v>
      </c>
      <c r="B84" t="s" s="1205">
        <v>1001</v>
      </c>
      <c r="C84" t="s" s="1206">
        <v>1047</v>
      </c>
      <c r="D84" s="1207">
        <v>0.3</v>
      </c>
      <c r="E84" s="1208">
        <v>1000</v>
      </c>
      <c r="F84" s="1209">
        <f>D84/E84</f>
        <v>0.0003</v>
      </c>
      <c r="G84" s="1207">
        <v>0.47</v>
      </c>
      <c r="H84" s="1208">
        <v>10</v>
      </c>
      <c r="I84" s="1209">
        <f>G84/H84</f>
        <v>0.047</v>
      </c>
      <c r="J84" s="1207">
        <v>0.05</v>
      </c>
      <c r="K84" t="s" s="1210">
        <v>966</v>
      </c>
      <c r="L84" t="s" s="1211">
        <v>969</v>
      </c>
      <c r="M84" s="1167"/>
      <c r="N84" s="142"/>
      <c r="O84" s="142"/>
      <c r="P84" s="237"/>
      <c r="Q84" s="237"/>
      <c r="R84" s="237"/>
      <c r="S84" s="237"/>
      <c r="T84" s="237"/>
      <c r="U84" s="237"/>
      <c r="V84" s="237"/>
      <c r="W84" s="237"/>
      <c r="X84" s="237"/>
      <c r="Y84" s="237"/>
      <c r="Z84" s="237"/>
    </row>
    <row r="85" ht="12.75" customHeight="1">
      <c r="A85" s="1204">
        <v>2171</v>
      </c>
      <c r="B85" t="s" s="1205">
        <v>1001</v>
      </c>
      <c r="C85" t="s" s="1206">
        <v>1048</v>
      </c>
      <c r="D85" s="1207">
        <v>1</v>
      </c>
      <c r="E85" s="1208">
        <v>1000</v>
      </c>
      <c r="F85" s="1209">
        <f>D85/E85</f>
        <v>0.001</v>
      </c>
      <c r="G85" s="1207">
        <v>0.2</v>
      </c>
      <c r="H85" s="1208">
        <v>10</v>
      </c>
      <c r="I85" s="1209">
        <f>G85/H85</f>
        <v>0.02</v>
      </c>
      <c r="J85" s="1207">
        <v>0.05</v>
      </c>
      <c r="K85" t="s" s="1210">
        <v>966</v>
      </c>
      <c r="L85" t="s" s="1211">
        <v>971</v>
      </c>
      <c r="M85" s="1167"/>
      <c r="N85" s="142"/>
      <c r="O85" s="142"/>
      <c r="P85" s="237"/>
      <c r="Q85" s="237"/>
      <c r="R85" s="237"/>
      <c r="S85" s="237"/>
      <c r="T85" s="237"/>
      <c r="U85" s="237"/>
      <c r="V85" s="237"/>
      <c r="W85" s="237"/>
      <c r="X85" s="237"/>
      <c r="Y85" s="237"/>
      <c r="Z85" s="237"/>
    </row>
    <row r="86" ht="12.75" customHeight="1">
      <c r="A86" s="1204">
        <v>2172</v>
      </c>
      <c r="B86" t="s" s="1205">
        <v>1001</v>
      </c>
      <c r="C86" t="s" s="1206">
        <v>1049</v>
      </c>
      <c r="D86" s="1207">
        <v>1</v>
      </c>
      <c r="E86" s="1208">
        <v>1000</v>
      </c>
      <c r="F86" s="1209">
        <f>D86/E86</f>
        <v>0.001</v>
      </c>
      <c r="G86" s="1207">
        <v>0.39</v>
      </c>
      <c r="H86" s="1208">
        <v>10</v>
      </c>
      <c r="I86" s="1209">
        <f>G86/H86</f>
        <v>0.039</v>
      </c>
      <c r="J86" s="1207">
        <v>0.05</v>
      </c>
      <c r="K86" t="s" s="1210">
        <v>966</v>
      </c>
      <c r="L86" t="s" s="1211">
        <v>969</v>
      </c>
      <c r="M86" s="1167"/>
      <c r="N86" s="142"/>
      <c r="O86" s="142"/>
      <c r="P86" s="237"/>
      <c r="Q86" s="237"/>
      <c r="R86" s="237"/>
      <c r="S86" s="237"/>
      <c r="T86" s="237"/>
      <c r="U86" s="237"/>
      <c r="V86" s="237"/>
      <c r="W86" s="237"/>
      <c r="X86" s="237"/>
      <c r="Y86" s="237"/>
      <c r="Z86" s="237"/>
    </row>
    <row r="87" ht="12.75" customHeight="1">
      <c r="A87" s="1204">
        <v>2173</v>
      </c>
      <c r="B87" t="s" s="1205">
        <v>1001</v>
      </c>
      <c r="C87" t="s" s="1206">
        <v>1050</v>
      </c>
      <c r="D87" s="1207">
        <v>1</v>
      </c>
      <c r="E87" s="1208">
        <v>1000</v>
      </c>
      <c r="F87" s="1209">
        <f>D87/E87</f>
        <v>0.001</v>
      </c>
      <c r="G87" s="1207">
        <v>1.52</v>
      </c>
      <c r="H87" s="1208">
        <v>10</v>
      </c>
      <c r="I87" s="1209">
        <f>G87/H87</f>
        <v>0.152</v>
      </c>
      <c r="J87" s="1207">
        <v>0.05</v>
      </c>
      <c r="K87" t="s" s="1210">
        <v>966</v>
      </c>
      <c r="L87" t="s" s="1211">
        <v>971</v>
      </c>
      <c r="M87" s="1167"/>
      <c r="N87" s="142"/>
      <c r="O87" s="142"/>
      <c r="P87" s="237"/>
      <c r="Q87" s="237"/>
      <c r="R87" s="237"/>
      <c r="S87" s="237"/>
      <c r="T87" s="237"/>
      <c r="U87" s="237"/>
      <c r="V87" s="237"/>
      <c r="W87" s="237"/>
      <c r="X87" s="237"/>
      <c r="Y87" s="237"/>
      <c r="Z87" s="237"/>
    </row>
    <row r="88" ht="12.75" customHeight="1">
      <c r="A88" s="1204">
        <v>2174</v>
      </c>
      <c r="B88" t="s" s="1205">
        <v>1001</v>
      </c>
      <c r="C88" t="s" s="1206">
        <v>1051</v>
      </c>
      <c r="D88" s="1212"/>
      <c r="E88" s="1213"/>
      <c r="F88" s="1209">
        <f>I88</f>
        <v>0.0054</v>
      </c>
      <c r="G88" s="1207">
        <v>0.054</v>
      </c>
      <c r="H88" s="1208">
        <v>10</v>
      </c>
      <c r="I88" s="1209">
        <f>G88/H88</f>
        <v>0.0054</v>
      </c>
      <c r="J88" s="1207">
        <v>0.05</v>
      </c>
      <c r="K88" t="s" s="1210">
        <v>966</v>
      </c>
      <c r="L88" t="s" s="1211">
        <v>971</v>
      </c>
      <c r="M88" s="1167"/>
      <c r="N88" s="142"/>
      <c r="O88" s="142"/>
      <c r="P88" s="237"/>
      <c r="Q88" s="237"/>
      <c r="R88" s="237"/>
      <c r="S88" s="237"/>
      <c r="T88" s="237"/>
      <c r="U88" s="237"/>
      <c r="V88" s="237"/>
      <c r="W88" s="237"/>
      <c r="X88" s="237"/>
      <c r="Y88" s="237"/>
      <c r="Z88" s="237"/>
    </row>
    <row r="89" ht="12.75" customHeight="1">
      <c r="A89" s="1204">
        <v>2175</v>
      </c>
      <c r="B89" t="s" s="1205">
        <v>1001</v>
      </c>
      <c r="C89" t="s" s="1206">
        <v>1052</v>
      </c>
      <c r="D89" s="1207">
        <v>3.2</v>
      </c>
      <c r="E89" s="1208">
        <v>1000</v>
      </c>
      <c r="F89" s="1209">
        <f>D89/E89</f>
        <v>0.0032</v>
      </c>
      <c r="G89" s="1207">
        <v>0.082</v>
      </c>
      <c r="H89" s="1208">
        <v>10</v>
      </c>
      <c r="I89" s="1209">
        <f>G89/H89</f>
        <v>0.008200000000000001</v>
      </c>
      <c r="J89" s="1207">
        <v>0.05</v>
      </c>
      <c r="K89" t="s" s="1210">
        <v>966</v>
      </c>
      <c r="L89" t="s" s="1211">
        <v>969</v>
      </c>
      <c r="M89" s="1167"/>
      <c r="N89" s="142"/>
      <c r="O89" s="142"/>
      <c r="P89" s="237"/>
      <c r="Q89" s="237"/>
      <c r="R89" s="237"/>
      <c r="S89" s="237"/>
      <c r="T89" s="237"/>
      <c r="U89" s="237"/>
      <c r="V89" s="237"/>
      <c r="W89" s="237"/>
      <c r="X89" s="237"/>
      <c r="Y89" s="237"/>
      <c r="Z89" s="237"/>
    </row>
    <row r="90" ht="12.75" customHeight="1">
      <c r="A90" s="1204">
        <v>2176</v>
      </c>
      <c r="B90" t="s" s="1205">
        <v>1001</v>
      </c>
      <c r="C90" t="s" s="1206">
        <v>1053</v>
      </c>
      <c r="D90" s="1207">
        <v>0.72</v>
      </c>
      <c r="E90" s="1208">
        <v>1000</v>
      </c>
      <c r="F90" s="1209">
        <f>D90/E90</f>
        <v>0.00072</v>
      </c>
      <c r="G90" s="1207">
        <v>0.11</v>
      </c>
      <c r="H90" s="1208">
        <v>10</v>
      </c>
      <c r="I90" s="1209">
        <f>G90/H90</f>
        <v>0.011</v>
      </c>
      <c r="J90" s="1207">
        <v>0.05</v>
      </c>
      <c r="K90" t="s" s="1210">
        <v>966</v>
      </c>
      <c r="L90" t="s" s="1211">
        <v>969</v>
      </c>
      <c r="M90" s="1167"/>
      <c r="N90" s="142"/>
      <c r="O90" s="142"/>
      <c r="P90" s="237"/>
      <c r="Q90" s="237"/>
      <c r="R90" s="237"/>
      <c r="S90" s="237"/>
      <c r="T90" s="237"/>
      <c r="U90" s="237"/>
      <c r="V90" s="237"/>
      <c r="W90" s="237"/>
      <c r="X90" s="237"/>
      <c r="Y90" s="237"/>
      <c r="Z90" s="237"/>
    </row>
    <row r="91" ht="12.75" customHeight="1">
      <c r="A91" s="1204">
        <v>2177</v>
      </c>
      <c r="B91" t="s" s="1205">
        <v>1001</v>
      </c>
      <c r="C91" t="s" s="1206">
        <v>1054</v>
      </c>
      <c r="D91" s="1207">
        <v>4.1</v>
      </c>
      <c r="E91" s="1208">
        <v>1000</v>
      </c>
      <c r="F91" s="1209">
        <f>D91/E91</f>
        <v>0.0041</v>
      </c>
      <c r="G91" s="1207">
        <v>28.6</v>
      </c>
      <c r="H91" s="1208">
        <v>10</v>
      </c>
      <c r="I91" s="1209">
        <f>G91/H91</f>
        <v>2.86</v>
      </c>
      <c r="J91" s="1207">
        <v>0.05</v>
      </c>
      <c r="K91" t="s" s="1210">
        <v>966</v>
      </c>
      <c r="L91" t="s" s="1211">
        <v>969</v>
      </c>
      <c r="M91" s="1167"/>
      <c r="N91" s="142"/>
      <c r="O91" s="142"/>
      <c r="P91" s="237"/>
      <c r="Q91" s="237"/>
      <c r="R91" s="237"/>
      <c r="S91" s="237"/>
      <c r="T91" s="237"/>
      <c r="U91" s="237"/>
      <c r="V91" s="237"/>
      <c r="W91" s="237"/>
      <c r="X91" s="237"/>
      <c r="Y91" s="237"/>
      <c r="Z91" s="237"/>
    </row>
    <row r="92" ht="12.75" customHeight="1">
      <c r="A92" s="1204">
        <v>2178</v>
      </c>
      <c r="B92" t="s" s="1205">
        <v>1001</v>
      </c>
      <c r="C92" t="s" s="1206">
        <v>1055</v>
      </c>
      <c r="D92" s="1207">
        <v>30</v>
      </c>
      <c r="E92" s="1208">
        <v>1000</v>
      </c>
      <c r="F92" s="1209">
        <f>D92/E92</f>
        <v>0.03</v>
      </c>
      <c r="G92" s="1212"/>
      <c r="H92" s="1213"/>
      <c r="I92" s="1209">
        <f>F92</f>
        <v>0.03</v>
      </c>
      <c r="J92" s="1207">
        <v>0.05</v>
      </c>
      <c r="K92" t="s" s="1210">
        <v>966</v>
      </c>
      <c r="L92" t="s" s="1211">
        <v>969</v>
      </c>
      <c r="M92" s="1167"/>
      <c r="N92" s="142"/>
      <c r="O92" s="142"/>
      <c r="P92" s="237"/>
      <c r="Q92" s="237"/>
      <c r="R92" s="237"/>
      <c r="S92" s="237"/>
      <c r="T92" s="237"/>
      <c r="U92" s="237"/>
      <c r="V92" s="237"/>
      <c r="W92" s="237"/>
      <c r="X92" s="237"/>
      <c r="Y92" s="237"/>
      <c r="Z92" s="237"/>
    </row>
    <row r="93" ht="13.5" customHeight="1">
      <c r="A93" s="1215">
        <v>2179</v>
      </c>
      <c r="B93" t="s" s="1216">
        <v>1001</v>
      </c>
      <c r="C93" t="s" s="1217">
        <v>1056</v>
      </c>
      <c r="D93" s="1218">
        <v>1.3</v>
      </c>
      <c r="E93" s="1219">
        <v>1000</v>
      </c>
      <c r="F93" s="1220">
        <v>0.0013</v>
      </c>
      <c r="G93" s="1221"/>
      <c r="H93" s="1222"/>
      <c r="I93" s="1220">
        <f>F93</f>
        <v>0.0013</v>
      </c>
      <c r="J93" s="1218">
        <v>0.05</v>
      </c>
      <c r="K93" t="s" s="1223">
        <v>966</v>
      </c>
      <c r="L93" t="s" s="1224">
        <v>971</v>
      </c>
      <c r="M93" s="1167"/>
      <c r="N93" s="142"/>
      <c r="O93" s="142"/>
      <c r="P93" s="237"/>
      <c r="Q93" s="237"/>
      <c r="R93" s="237"/>
      <c r="S93" s="237"/>
      <c r="T93" s="237"/>
      <c r="U93" s="237"/>
      <c r="V93" s="237"/>
      <c r="W93" s="237"/>
      <c r="X93" s="237"/>
      <c r="Y93" s="237"/>
      <c r="Z93" s="237"/>
    </row>
    <row r="94" ht="12.75" customHeight="1">
      <c r="A94" s="1179">
        <v>2201</v>
      </c>
      <c r="B94" t="s" s="1225">
        <v>1057</v>
      </c>
      <c r="C94" t="s" s="1180">
        <v>1058</v>
      </c>
      <c r="D94" s="1184">
        <v>1.7</v>
      </c>
      <c r="E94" s="1182">
        <v>1000</v>
      </c>
      <c r="F94" s="1183">
        <f>D94/E94</f>
        <v>0.0017</v>
      </c>
      <c r="G94" s="1184">
        <v>0.135</v>
      </c>
      <c r="H94" s="1182">
        <v>10</v>
      </c>
      <c r="I94" s="1183">
        <f>G94/H94</f>
        <v>0.0135</v>
      </c>
      <c r="J94" s="1184">
        <v>0.05</v>
      </c>
      <c r="K94" t="s" s="1185">
        <v>966</v>
      </c>
      <c r="L94" t="s" s="1186">
        <v>969</v>
      </c>
      <c r="M94" s="1167"/>
      <c r="N94" s="142"/>
      <c r="O94" s="142"/>
      <c r="P94" s="237"/>
      <c r="Q94" s="237"/>
      <c r="R94" s="237"/>
      <c r="S94" s="237"/>
      <c r="T94" s="237"/>
      <c r="U94" s="237"/>
      <c r="V94" s="237"/>
      <c r="W94" s="237"/>
      <c r="X94" s="237"/>
      <c r="Y94" s="237"/>
      <c r="Z94" s="237"/>
    </row>
    <row r="95" ht="12.75" customHeight="1">
      <c r="A95" s="1187">
        <v>2202</v>
      </c>
      <c r="B95" t="s" s="1226">
        <v>1057</v>
      </c>
      <c r="C95" t="s" s="1188">
        <v>1059</v>
      </c>
      <c r="D95" s="1192">
        <v>0.925</v>
      </c>
      <c r="E95" s="1190">
        <v>1000</v>
      </c>
      <c r="F95" s="1191">
        <f>D95/E95</f>
        <v>0.000925</v>
      </c>
      <c r="G95" s="1192">
        <v>0.135</v>
      </c>
      <c r="H95" s="1190">
        <v>10</v>
      </c>
      <c r="I95" s="1191">
        <f>G95/H95</f>
        <v>0.0135</v>
      </c>
      <c r="J95" s="1192">
        <v>0.05</v>
      </c>
      <c r="K95" t="s" s="1193">
        <v>966</v>
      </c>
      <c r="L95" t="s" s="1194">
        <v>969</v>
      </c>
      <c r="M95" s="1167"/>
      <c r="N95" s="142"/>
      <c r="O95" s="142"/>
      <c r="P95" s="237"/>
      <c r="Q95" s="237"/>
      <c r="R95" s="237"/>
      <c r="S95" s="237"/>
      <c r="T95" s="237"/>
      <c r="U95" s="237"/>
      <c r="V95" s="237"/>
      <c r="W95" s="237"/>
      <c r="X95" s="237"/>
      <c r="Y95" s="237"/>
      <c r="Z95" s="237"/>
    </row>
    <row r="96" ht="12.75" customHeight="1">
      <c r="A96" s="1187">
        <v>2203</v>
      </c>
      <c r="B96" t="s" s="1226">
        <v>1057</v>
      </c>
      <c r="C96" t="s" s="1227">
        <v>1060</v>
      </c>
      <c r="D96" s="1192">
        <v>0.3</v>
      </c>
      <c r="E96" s="1190">
        <v>1000</v>
      </c>
      <c r="F96" s="1191">
        <f>D96/E96</f>
        <v>0.0003</v>
      </c>
      <c r="G96" s="1195"/>
      <c r="H96" s="1196"/>
      <c r="I96" s="1191">
        <f>F96</f>
        <v>0.0003</v>
      </c>
      <c r="J96" s="1192">
        <v>0.05</v>
      </c>
      <c r="K96" t="s" s="1193">
        <v>966</v>
      </c>
      <c r="L96" t="s" s="1194">
        <v>969</v>
      </c>
      <c r="M96" s="1167"/>
      <c r="N96" s="142"/>
      <c r="O96" s="142"/>
      <c r="P96" s="237"/>
      <c r="Q96" s="237"/>
      <c r="R96" s="237"/>
      <c r="S96" s="237"/>
      <c r="T96" s="237"/>
      <c r="U96" s="237"/>
      <c r="V96" s="237"/>
      <c r="W96" s="237"/>
      <c r="X96" s="237"/>
      <c r="Y96" s="237"/>
      <c r="Z96" s="237"/>
    </row>
    <row r="97" ht="12.75" customHeight="1">
      <c r="A97" s="1187">
        <v>2204</v>
      </c>
      <c r="B97" t="s" s="1226">
        <v>1057</v>
      </c>
      <c r="C97" t="s" s="1227">
        <v>1061</v>
      </c>
      <c r="D97" s="1192">
        <v>3.4</v>
      </c>
      <c r="E97" s="1190">
        <v>1000</v>
      </c>
      <c r="F97" s="1191">
        <f>D97/E97</f>
        <v>0.0034</v>
      </c>
      <c r="G97" s="1195"/>
      <c r="H97" s="1196"/>
      <c r="I97" s="1191">
        <f>F97</f>
        <v>0.0034</v>
      </c>
      <c r="J97" s="1192">
        <v>0.05</v>
      </c>
      <c r="K97" t="s" s="1193">
        <v>966</v>
      </c>
      <c r="L97" t="s" s="1194">
        <v>971</v>
      </c>
      <c r="M97" s="1167"/>
      <c r="N97" s="142"/>
      <c r="O97" s="142"/>
      <c r="P97" s="237"/>
      <c r="Q97" s="237"/>
      <c r="R97" s="237"/>
      <c r="S97" s="237"/>
      <c r="T97" s="237"/>
      <c r="U97" s="237"/>
      <c r="V97" s="237"/>
      <c r="W97" s="237"/>
      <c r="X97" s="237"/>
      <c r="Y97" s="237"/>
      <c r="Z97" s="237"/>
    </row>
    <row r="98" ht="12.75" customHeight="1">
      <c r="A98" s="1187">
        <v>2205</v>
      </c>
      <c r="B98" t="s" s="1226">
        <v>1057</v>
      </c>
      <c r="C98" t="s" s="1227">
        <v>1062</v>
      </c>
      <c r="D98" s="1192">
        <v>0.68</v>
      </c>
      <c r="E98" s="1190">
        <v>5000</v>
      </c>
      <c r="F98" s="1191">
        <f>D98/E98</f>
        <v>0.000136</v>
      </c>
      <c r="G98" s="1192">
        <v>0.3</v>
      </c>
      <c r="H98" s="1190">
        <v>10</v>
      </c>
      <c r="I98" s="1191">
        <f>G98/H98</f>
        <v>0.03</v>
      </c>
      <c r="J98" s="1192">
        <v>0.05</v>
      </c>
      <c r="K98" t="s" s="1193">
        <v>966</v>
      </c>
      <c r="L98" t="s" s="1194">
        <v>971</v>
      </c>
      <c r="M98" s="1167"/>
      <c r="N98" s="142"/>
      <c r="O98" s="142"/>
      <c r="P98" s="237"/>
      <c r="Q98" s="237"/>
      <c r="R98" s="237"/>
      <c r="S98" s="237"/>
      <c r="T98" s="237"/>
      <c r="U98" s="237"/>
      <c r="V98" s="237"/>
      <c r="W98" s="237"/>
      <c r="X98" s="237"/>
      <c r="Y98" s="237"/>
      <c r="Z98" s="237"/>
    </row>
    <row r="99" ht="12.75" customHeight="1">
      <c r="A99" s="1187">
        <v>2206</v>
      </c>
      <c r="B99" t="s" s="1226">
        <v>1057</v>
      </c>
      <c r="C99" t="s" s="1227">
        <v>1063</v>
      </c>
      <c r="D99" s="1192">
        <v>0.134</v>
      </c>
      <c r="E99" s="1190">
        <v>1000</v>
      </c>
      <c r="F99" s="1191">
        <f>D99/E99</f>
        <v>0.000134</v>
      </c>
      <c r="G99" s="1192">
        <v>0.067</v>
      </c>
      <c r="H99" s="1190">
        <v>10</v>
      </c>
      <c r="I99" s="1191">
        <f>G99/H99</f>
        <v>0.0067</v>
      </c>
      <c r="J99" s="1192">
        <v>0.05</v>
      </c>
      <c r="K99" t="s" s="1193">
        <v>966</v>
      </c>
      <c r="L99" t="s" s="1194">
        <v>971</v>
      </c>
      <c r="M99" s="1167"/>
      <c r="N99" s="142"/>
      <c r="O99" s="142"/>
      <c r="P99" s="237"/>
      <c r="Q99" s="237"/>
      <c r="R99" s="237"/>
      <c r="S99" s="237"/>
      <c r="T99" s="237"/>
      <c r="U99" s="237"/>
      <c r="V99" s="237"/>
      <c r="W99" s="237"/>
      <c r="X99" s="237"/>
      <c r="Y99" s="237"/>
      <c r="Z99" s="237"/>
    </row>
    <row r="100" ht="13.5" customHeight="1">
      <c r="A100" s="1228">
        <v>2207</v>
      </c>
      <c r="B100" t="s" s="1226">
        <v>1057</v>
      </c>
      <c r="C100" t="s" s="1229">
        <v>1064</v>
      </c>
      <c r="D100" s="1230">
        <f>(5.3+1.6)/2</f>
        <v>3.45</v>
      </c>
      <c r="E100" s="1231">
        <v>1000</v>
      </c>
      <c r="F100" s="1232">
        <f>D100/E100</f>
        <v>0.00345</v>
      </c>
      <c r="G100" s="1233"/>
      <c r="H100" s="1234"/>
      <c r="I100" s="1232">
        <f>F100</f>
        <v>0.00345</v>
      </c>
      <c r="J100" s="1230">
        <v>0.05</v>
      </c>
      <c r="K100" t="s" s="1235">
        <v>966</v>
      </c>
      <c r="L100" t="s" s="1236">
        <v>969</v>
      </c>
      <c r="M100" s="1167"/>
      <c r="N100" s="142"/>
      <c r="O100" s="142"/>
      <c r="P100" s="237"/>
      <c r="Q100" s="237"/>
      <c r="R100" s="237"/>
      <c r="S100" s="237"/>
      <c r="T100" s="237"/>
      <c r="U100" s="237"/>
      <c r="V100" s="237"/>
      <c r="W100" s="237"/>
      <c r="X100" s="237"/>
      <c r="Y100" s="237"/>
      <c r="Z100" s="237"/>
    </row>
    <row r="101" ht="12.75" customHeight="1">
      <c r="A101" s="1179">
        <v>2301</v>
      </c>
      <c r="B101" t="s" s="1237">
        <v>1065</v>
      </c>
      <c r="C101" t="s" s="1180">
        <v>1066</v>
      </c>
      <c r="D101" s="1184">
        <v>0.08</v>
      </c>
      <c r="E101" s="1182">
        <v>1000</v>
      </c>
      <c r="F101" s="1183">
        <f>D101/E101</f>
        <v>8.000000000000001e-05</v>
      </c>
      <c r="G101" s="1184">
        <v>0.0068</v>
      </c>
      <c r="H101" s="1182">
        <v>10</v>
      </c>
      <c r="I101" s="1183">
        <f>G101/H101</f>
        <v>0.00068</v>
      </c>
      <c r="J101" s="1184">
        <v>0.05</v>
      </c>
      <c r="K101" t="s" s="1185">
        <v>966</v>
      </c>
      <c r="L101" t="s" s="1186">
        <v>971</v>
      </c>
      <c r="M101" s="1167"/>
      <c r="N101" s="142"/>
      <c r="O101" s="142"/>
      <c r="P101" s="237"/>
      <c r="Q101" s="237"/>
      <c r="R101" s="237"/>
      <c r="S101" s="237"/>
      <c r="T101" s="237"/>
      <c r="U101" s="237"/>
      <c r="V101" s="237"/>
      <c r="W101" s="237"/>
      <c r="X101" s="237"/>
      <c r="Y101" s="237"/>
      <c r="Z101" s="237"/>
    </row>
    <row r="102" ht="12.75" customHeight="1">
      <c r="A102" s="1187">
        <v>2302</v>
      </c>
      <c r="B102" t="s" s="1237">
        <v>1065</v>
      </c>
      <c r="C102" t="s" s="1188">
        <v>1067</v>
      </c>
      <c r="D102" s="1192">
        <v>0.05</v>
      </c>
      <c r="E102" s="1190">
        <v>1000</v>
      </c>
      <c r="F102" s="1191">
        <f>D102/E102</f>
        <v>5e-05</v>
      </c>
      <c r="G102" s="1192">
        <v>0.025</v>
      </c>
      <c r="H102" s="1190">
        <v>10</v>
      </c>
      <c r="I102" s="1191">
        <f>G102/H102</f>
        <v>0.0025</v>
      </c>
      <c r="J102" s="1192">
        <v>0.05</v>
      </c>
      <c r="K102" t="s" s="1193">
        <v>966</v>
      </c>
      <c r="L102" t="s" s="1194">
        <v>971</v>
      </c>
      <c r="M102" s="1167"/>
      <c r="N102" s="142"/>
      <c r="O102" s="142"/>
      <c r="P102" s="237"/>
      <c r="Q102" s="237"/>
      <c r="R102" s="237"/>
      <c r="S102" s="237"/>
      <c r="T102" s="237"/>
      <c r="U102" s="237"/>
      <c r="V102" s="237"/>
      <c r="W102" s="237"/>
      <c r="X102" s="237"/>
      <c r="Y102" s="237"/>
      <c r="Z102" s="237"/>
    </row>
    <row r="103" ht="12.75" customHeight="1">
      <c r="A103" s="1187">
        <v>2303</v>
      </c>
      <c r="B103" t="s" s="1237">
        <v>1065</v>
      </c>
      <c r="C103" t="s" s="1188">
        <v>1068</v>
      </c>
      <c r="D103" s="1192">
        <v>1.91</v>
      </c>
      <c r="E103" s="1190">
        <v>1000</v>
      </c>
      <c r="F103" s="1191">
        <f>D103/E103</f>
        <v>0.00191</v>
      </c>
      <c r="G103" s="1192">
        <v>1</v>
      </c>
      <c r="H103" s="1190">
        <v>10</v>
      </c>
      <c r="I103" s="1191">
        <f>G103/H103</f>
        <v>0.1</v>
      </c>
      <c r="J103" s="1192">
        <v>0.05</v>
      </c>
      <c r="K103" t="s" s="1193">
        <v>966</v>
      </c>
      <c r="L103" t="s" s="1194">
        <v>969</v>
      </c>
      <c r="M103" s="1167"/>
      <c r="N103" s="142"/>
      <c r="O103" s="142"/>
      <c r="P103" s="237"/>
      <c r="Q103" s="237"/>
      <c r="R103" s="237"/>
      <c r="S103" s="237"/>
      <c r="T103" s="237"/>
      <c r="U103" s="237"/>
      <c r="V103" s="237"/>
      <c r="W103" s="237"/>
      <c r="X103" s="237"/>
      <c r="Y103" s="237"/>
      <c r="Z103" s="237"/>
    </row>
    <row r="104" ht="13.5" customHeight="1">
      <c r="A104" s="1228">
        <v>2304</v>
      </c>
      <c r="B104" t="s" s="1237">
        <v>1065</v>
      </c>
      <c r="C104" t="s" s="1200">
        <v>1069</v>
      </c>
      <c r="D104" s="1233"/>
      <c r="E104" s="1234"/>
      <c r="F104" s="1238"/>
      <c r="G104" s="1230">
        <v>0.6899999999999999</v>
      </c>
      <c r="H104" s="1231">
        <v>50</v>
      </c>
      <c r="I104" s="1232">
        <f>G104/H104</f>
        <v>0.0138</v>
      </c>
      <c r="J104" s="1230">
        <v>0.05</v>
      </c>
      <c r="K104" t="s" s="1235">
        <v>966</v>
      </c>
      <c r="L104" t="s" s="1236">
        <v>971</v>
      </c>
      <c r="M104" s="1167"/>
      <c r="N104" s="142"/>
      <c r="O104" s="142"/>
      <c r="P104" s="237"/>
      <c r="Q104" s="237"/>
      <c r="R104" s="237"/>
      <c r="S104" s="237"/>
      <c r="T104" s="237"/>
      <c r="U104" s="237"/>
      <c r="V104" s="237"/>
      <c r="W104" s="237"/>
      <c r="X104" s="237"/>
      <c r="Y104" s="237"/>
      <c r="Z104" s="237"/>
    </row>
    <row r="105" ht="12.75" customHeight="1">
      <c r="A105" s="1179">
        <v>2401</v>
      </c>
      <c r="B105" t="s" s="1237">
        <v>1070</v>
      </c>
      <c r="C105" t="s" s="1180">
        <v>1071</v>
      </c>
      <c r="D105" s="1184">
        <v>0.11</v>
      </c>
      <c r="E105" s="1182">
        <v>1000</v>
      </c>
      <c r="F105" s="1183">
        <f>D105/E105</f>
        <v>0.00011</v>
      </c>
      <c r="G105" s="1184">
        <v>0.04</v>
      </c>
      <c r="H105" s="1182">
        <v>10</v>
      </c>
      <c r="I105" s="1183">
        <f>G105/H105</f>
        <v>0.004</v>
      </c>
      <c r="J105" s="1184">
        <v>0.5</v>
      </c>
      <c r="K105" t="s" s="1185">
        <v>985</v>
      </c>
      <c r="L105" t="s" s="1186">
        <v>257</v>
      </c>
      <c r="M105" s="1167"/>
      <c r="N105" s="142"/>
      <c r="O105" s="142"/>
      <c r="P105" s="237"/>
      <c r="Q105" s="237"/>
      <c r="R105" s="237"/>
      <c r="S105" s="237"/>
      <c r="T105" s="237"/>
      <c r="U105" s="237"/>
      <c r="V105" s="237"/>
      <c r="W105" s="237"/>
      <c r="X105" s="237"/>
      <c r="Y105" s="237"/>
      <c r="Z105" s="237"/>
    </row>
    <row r="106" ht="12.75" customHeight="1">
      <c r="A106" s="1187">
        <v>2402</v>
      </c>
      <c r="B106" t="s" s="1237">
        <v>1070</v>
      </c>
      <c r="C106" t="s" s="1188">
        <v>1072</v>
      </c>
      <c r="D106" s="1192">
        <v>295</v>
      </c>
      <c r="E106" s="1190">
        <v>1000</v>
      </c>
      <c r="F106" s="1191">
        <v>0.295</v>
      </c>
      <c r="G106" s="1192">
        <v>51</v>
      </c>
      <c r="H106" s="1190">
        <v>50</v>
      </c>
      <c r="I106" s="1191">
        <v>1.02</v>
      </c>
      <c r="J106" s="1192">
        <v>0.05</v>
      </c>
      <c r="K106" t="s" s="1193">
        <v>966</v>
      </c>
      <c r="L106" t="s" s="1194">
        <v>969</v>
      </c>
      <c r="M106" s="1167"/>
      <c r="N106" s="142"/>
      <c r="O106" s="142"/>
      <c r="P106" s="237"/>
      <c r="Q106" s="237"/>
      <c r="R106" s="237"/>
      <c r="S106" s="237"/>
      <c r="T106" s="237"/>
      <c r="U106" s="237"/>
      <c r="V106" s="237"/>
      <c r="W106" s="237"/>
      <c r="X106" s="237"/>
      <c r="Y106" s="237"/>
      <c r="Z106" s="237"/>
    </row>
    <row r="107" ht="12.75" customHeight="1">
      <c r="A107" s="1187">
        <v>2403</v>
      </c>
      <c r="B107" t="s" s="1237">
        <v>1070</v>
      </c>
      <c r="C107" t="s" s="1188">
        <v>1073</v>
      </c>
      <c r="D107" s="1192">
        <v>0.4</v>
      </c>
      <c r="E107" s="1190">
        <v>5000</v>
      </c>
      <c r="F107" s="1191">
        <f>D107/E107</f>
        <v>8.000000000000001e-05</v>
      </c>
      <c r="G107" s="1195"/>
      <c r="H107" s="1196"/>
      <c r="I107" s="1191">
        <f>F107</f>
        <v>8.000000000000001e-05</v>
      </c>
      <c r="J107" s="1192">
        <v>1</v>
      </c>
      <c r="K107" t="s" s="1193">
        <v>1074</v>
      </c>
      <c r="L107" t="s" s="1194">
        <v>971</v>
      </c>
      <c r="M107" s="1167"/>
      <c r="N107" s="142"/>
      <c r="O107" s="142"/>
      <c r="P107" s="237"/>
      <c r="Q107" s="237"/>
      <c r="R107" s="237"/>
      <c r="S107" s="237"/>
      <c r="T107" s="237"/>
      <c r="U107" s="237"/>
      <c r="V107" s="237"/>
      <c r="W107" s="237"/>
      <c r="X107" s="237"/>
      <c r="Y107" s="237"/>
      <c r="Z107" s="237"/>
    </row>
    <row r="108" ht="12.75" customHeight="1">
      <c r="A108" s="1197">
        <v>2404</v>
      </c>
      <c r="B108" t="s" s="1237">
        <v>1070</v>
      </c>
      <c r="C108" t="s" s="1188">
        <v>1075</v>
      </c>
      <c r="D108" s="1192">
        <v>0.78</v>
      </c>
      <c r="E108" s="1190">
        <v>1000</v>
      </c>
      <c r="F108" s="1191">
        <f>D108/E108</f>
        <v>0.00078</v>
      </c>
      <c r="G108" s="1192">
        <v>0.1</v>
      </c>
      <c r="H108" s="1190">
        <v>10</v>
      </c>
      <c r="I108" s="1191">
        <f>G108/H108</f>
        <v>0.01</v>
      </c>
      <c r="J108" s="1192">
        <v>0.15</v>
      </c>
      <c r="K108" t="s" s="1193">
        <v>966</v>
      </c>
      <c r="L108" t="s" s="1194">
        <v>971</v>
      </c>
      <c r="M108" s="1167"/>
      <c r="N108" s="142"/>
      <c r="O108" s="142"/>
      <c r="P108" s="237"/>
      <c r="Q108" s="237"/>
      <c r="R108" s="237"/>
      <c r="S108" s="237"/>
      <c r="T108" s="237"/>
      <c r="U108" s="237"/>
      <c r="V108" s="237"/>
      <c r="W108" s="237"/>
      <c r="X108" s="237"/>
      <c r="Y108" s="237"/>
      <c r="Z108" s="237"/>
    </row>
    <row r="109" ht="12.75" customHeight="1">
      <c r="A109" s="1187">
        <v>2405</v>
      </c>
      <c r="B109" t="s" s="1237">
        <v>1070</v>
      </c>
      <c r="C109" t="s" s="1188">
        <v>1076</v>
      </c>
      <c r="D109" s="1192">
        <v>4.81</v>
      </c>
      <c r="E109" s="1190">
        <v>1000</v>
      </c>
      <c r="F109" s="1191">
        <v>0.0048</v>
      </c>
      <c r="G109" s="1195"/>
      <c r="H109" s="1196"/>
      <c r="I109" s="1191">
        <v>0.0048</v>
      </c>
      <c r="J109" s="1192">
        <v>0.05</v>
      </c>
      <c r="K109" t="s" s="1193">
        <v>966</v>
      </c>
      <c r="L109" t="s" s="1194">
        <v>971</v>
      </c>
      <c r="M109" s="1167"/>
      <c r="N109" s="142"/>
      <c r="O109" s="142"/>
      <c r="P109" s="237"/>
      <c r="Q109" s="237"/>
      <c r="R109" s="237"/>
      <c r="S109" s="237"/>
      <c r="T109" s="237"/>
      <c r="U109" s="237"/>
      <c r="V109" s="237"/>
      <c r="W109" s="237"/>
      <c r="X109" s="237"/>
      <c r="Y109" s="237"/>
      <c r="Z109" s="237"/>
    </row>
    <row r="110" ht="12.75" customHeight="1">
      <c r="A110" s="1187">
        <v>2406</v>
      </c>
      <c r="B110" t="s" s="1237">
        <v>1070</v>
      </c>
      <c r="C110" t="s" s="1227">
        <v>1077</v>
      </c>
      <c r="D110" s="1192">
        <v>35</v>
      </c>
      <c r="E110" s="1190">
        <v>5000</v>
      </c>
      <c r="F110" s="1191">
        <f>D110/E110</f>
        <v>0.007</v>
      </c>
      <c r="G110" s="1195"/>
      <c r="H110" s="1196"/>
      <c r="I110" s="1191">
        <f>F110</f>
        <v>0.007</v>
      </c>
      <c r="J110" s="1192">
        <v>1</v>
      </c>
      <c r="K110" t="s" s="1193">
        <v>1074</v>
      </c>
      <c r="L110" t="s" s="1194">
        <v>971</v>
      </c>
      <c r="M110" s="1167"/>
      <c r="N110" s="142"/>
      <c r="O110" s="142"/>
      <c r="P110" s="237"/>
      <c r="Q110" s="237"/>
      <c r="R110" s="237"/>
      <c r="S110" s="237"/>
      <c r="T110" s="237"/>
      <c r="U110" s="237"/>
      <c r="V110" s="237"/>
      <c r="W110" s="237"/>
      <c r="X110" s="237"/>
      <c r="Y110" s="237"/>
      <c r="Z110" s="237"/>
    </row>
    <row r="111" ht="12.75" customHeight="1">
      <c r="A111" s="1187">
        <v>2407</v>
      </c>
      <c r="B111" t="s" s="1237">
        <v>1070</v>
      </c>
      <c r="C111" t="s" s="1188">
        <v>1078</v>
      </c>
      <c r="D111" s="1192">
        <v>2</v>
      </c>
      <c r="E111" s="1190">
        <v>1000</v>
      </c>
      <c r="F111" s="1191">
        <f>D111/E111</f>
        <v>0.002</v>
      </c>
      <c r="G111" s="1195"/>
      <c r="H111" s="1196"/>
      <c r="I111" s="1191">
        <f>F111</f>
        <v>0.002</v>
      </c>
      <c r="J111" s="1192">
        <v>0.05</v>
      </c>
      <c r="K111" t="s" s="1193">
        <v>966</v>
      </c>
      <c r="L111" t="s" s="1194">
        <v>971</v>
      </c>
      <c r="M111" s="1167"/>
      <c r="N111" s="142"/>
      <c r="O111" s="142"/>
      <c r="P111" s="237"/>
      <c r="Q111" s="237"/>
      <c r="R111" s="237"/>
      <c r="S111" s="237"/>
      <c r="T111" s="237"/>
      <c r="U111" s="237"/>
      <c r="V111" s="237"/>
      <c r="W111" s="237"/>
      <c r="X111" s="237"/>
      <c r="Y111" s="237"/>
      <c r="Z111" s="237"/>
    </row>
    <row r="112" ht="12.75" customHeight="1">
      <c r="A112" s="1187">
        <v>2408</v>
      </c>
      <c r="B112" t="s" s="1237">
        <v>1070</v>
      </c>
      <c r="C112" t="s" s="1188">
        <v>1079</v>
      </c>
      <c r="D112" s="1192">
        <v>0.375</v>
      </c>
      <c r="E112" s="1190">
        <v>1000</v>
      </c>
      <c r="F112" s="1191">
        <f>D112/E112</f>
        <v>0.000375</v>
      </c>
      <c r="G112" s="1192">
        <v>0.0223</v>
      </c>
      <c r="H112" s="1190">
        <v>10</v>
      </c>
      <c r="I112" s="1191">
        <f>G112/H112</f>
        <v>0.00223</v>
      </c>
      <c r="J112" s="1192">
        <v>0.05</v>
      </c>
      <c r="K112" t="s" s="1193">
        <v>966</v>
      </c>
      <c r="L112" t="s" s="1194">
        <v>971</v>
      </c>
      <c r="M112" s="1167"/>
      <c r="N112" s="142"/>
      <c r="O112" s="142"/>
      <c r="P112" s="237"/>
      <c r="Q112" s="237"/>
      <c r="R112" s="237"/>
      <c r="S112" s="237"/>
      <c r="T112" s="237"/>
      <c r="U112" s="237"/>
      <c r="V112" s="237"/>
      <c r="W112" s="237"/>
      <c r="X112" s="237"/>
      <c r="Y112" s="237"/>
      <c r="Z112" s="237"/>
    </row>
    <row r="113" ht="12.75" customHeight="1">
      <c r="A113" s="1187">
        <v>2410</v>
      </c>
      <c r="B113" t="s" s="1237">
        <v>1070</v>
      </c>
      <c r="C113" t="s" s="1188">
        <v>1080</v>
      </c>
      <c r="D113" s="1192">
        <v>0.048</v>
      </c>
      <c r="E113" s="1190">
        <v>1000</v>
      </c>
      <c r="F113" s="1191">
        <f>D113/E113</f>
        <v>4.8e-05</v>
      </c>
      <c r="G113" s="1192">
        <v>0.0012</v>
      </c>
      <c r="H113" s="1190">
        <v>10</v>
      </c>
      <c r="I113" s="1191">
        <f>G113/H113</f>
        <v>0.00012</v>
      </c>
      <c r="J113" s="1192">
        <v>0.5</v>
      </c>
      <c r="K113" t="s" s="1193">
        <v>985</v>
      </c>
      <c r="L113" t="s" s="1194">
        <v>971</v>
      </c>
      <c r="M113" s="1167"/>
      <c r="N113" s="142"/>
      <c r="O113" s="142"/>
      <c r="P113" s="237"/>
      <c r="Q113" s="237"/>
      <c r="R113" s="237"/>
      <c r="S113" s="237"/>
      <c r="T113" s="237"/>
      <c r="U113" s="237"/>
      <c r="V113" s="237"/>
      <c r="W113" s="237"/>
      <c r="X113" s="237"/>
      <c r="Y113" s="237"/>
      <c r="Z113" s="237"/>
    </row>
    <row r="114" ht="12.75" customHeight="1">
      <c r="A114" s="1187">
        <v>2411</v>
      </c>
      <c r="B114" t="s" s="1237">
        <v>1070</v>
      </c>
      <c r="C114" t="s" s="1188">
        <v>1081</v>
      </c>
      <c r="D114" s="1192">
        <v>0.16</v>
      </c>
      <c r="E114" s="1190">
        <v>1000</v>
      </c>
      <c r="F114" s="1191">
        <f>D114/E114</f>
        <v>0.00016</v>
      </c>
      <c r="G114" s="1192">
        <v>0.03</v>
      </c>
      <c r="H114" s="1190">
        <v>10</v>
      </c>
      <c r="I114" s="1191">
        <f>G114/H114</f>
        <v>0.003</v>
      </c>
      <c r="J114" s="1192">
        <v>0.5</v>
      </c>
      <c r="K114" t="s" s="1193">
        <v>985</v>
      </c>
      <c r="L114" t="s" s="1194">
        <v>971</v>
      </c>
      <c r="M114" s="1167"/>
      <c r="N114" s="142"/>
      <c r="O114" s="142"/>
      <c r="P114" s="237"/>
      <c r="Q114" s="237"/>
      <c r="R114" s="237"/>
      <c r="S114" s="237"/>
      <c r="T114" s="237"/>
      <c r="U114" s="237"/>
      <c r="V114" s="237"/>
      <c r="W114" s="237"/>
      <c r="X114" s="237"/>
      <c r="Y114" s="237"/>
      <c r="Z114" s="237"/>
    </row>
    <row r="115" ht="12.75" customHeight="1">
      <c r="A115" s="1187">
        <v>2412</v>
      </c>
      <c r="B115" t="s" s="1237">
        <v>1070</v>
      </c>
      <c r="C115" t="s" s="1188">
        <v>1082</v>
      </c>
      <c r="D115" s="1192">
        <v>0.15</v>
      </c>
      <c r="E115" s="1190">
        <v>1000</v>
      </c>
      <c r="F115" s="1191">
        <f>D115/E115</f>
        <v>0.00015</v>
      </c>
      <c r="G115" s="1195"/>
      <c r="H115" s="1196"/>
      <c r="I115" s="1191">
        <f>F115</f>
        <v>0.00015</v>
      </c>
      <c r="J115" s="1192">
        <v>0.05</v>
      </c>
      <c r="K115" t="s" s="1193">
        <v>966</v>
      </c>
      <c r="L115" t="s" s="1194">
        <v>971</v>
      </c>
      <c r="M115" s="1167"/>
      <c r="N115" s="142"/>
      <c r="O115" s="142"/>
      <c r="P115" s="237"/>
      <c r="Q115" s="237"/>
      <c r="R115" s="237"/>
      <c r="S115" s="237"/>
      <c r="T115" s="237"/>
      <c r="U115" s="237"/>
      <c r="V115" s="237"/>
      <c r="W115" s="237"/>
      <c r="X115" s="237"/>
      <c r="Y115" s="237"/>
      <c r="Z115" s="237"/>
    </row>
    <row r="116" ht="12.75" customHeight="1">
      <c r="A116" s="1187">
        <v>2413</v>
      </c>
      <c r="B116" t="s" s="1237">
        <v>1070</v>
      </c>
      <c r="C116" t="s" s="1188">
        <v>1083</v>
      </c>
      <c r="D116" s="1192">
        <v>15.4</v>
      </c>
      <c r="E116" s="1190">
        <v>5000</v>
      </c>
      <c r="F116" s="1191">
        <f>D116/E116</f>
        <v>0.00308</v>
      </c>
      <c r="G116" s="1195"/>
      <c r="H116" s="1196"/>
      <c r="I116" s="1191">
        <f>F116</f>
        <v>0.00308</v>
      </c>
      <c r="J116" s="1192">
        <v>0.05</v>
      </c>
      <c r="K116" t="s" s="1193">
        <v>966</v>
      </c>
      <c r="L116" t="s" s="1194">
        <v>257</v>
      </c>
      <c r="M116" s="1167"/>
      <c r="N116" s="142"/>
      <c r="O116" s="142"/>
      <c r="P116" s="237"/>
      <c r="Q116" s="237"/>
      <c r="R116" s="237"/>
      <c r="S116" s="237"/>
      <c r="T116" s="237"/>
      <c r="U116" s="237"/>
      <c r="V116" s="237"/>
      <c r="W116" s="237"/>
      <c r="X116" s="237"/>
      <c r="Y116" s="237"/>
      <c r="Z116" s="237"/>
    </row>
    <row r="117" ht="12.75" customHeight="1">
      <c r="A117" s="1187">
        <v>2414</v>
      </c>
      <c r="B117" t="s" s="1237">
        <v>1070</v>
      </c>
      <c r="C117" t="s" s="1227">
        <v>1084</v>
      </c>
      <c r="D117" s="1192">
        <v>1.1</v>
      </c>
      <c r="E117" s="1190">
        <v>1000</v>
      </c>
      <c r="F117" s="1191">
        <f>D117/E117</f>
        <v>0.0011</v>
      </c>
      <c r="G117" s="1192">
        <v>0.008999999999999999</v>
      </c>
      <c r="H117" s="1190">
        <v>10</v>
      </c>
      <c r="I117" s="1191">
        <f>G117/H117</f>
        <v>0.0009</v>
      </c>
      <c r="J117" s="1192">
        <v>0.05</v>
      </c>
      <c r="K117" t="s" s="1193">
        <v>966</v>
      </c>
      <c r="L117" t="s" s="1194">
        <v>971</v>
      </c>
      <c r="M117" s="1167"/>
      <c r="N117" s="142"/>
      <c r="O117" s="142"/>
      <c r="P117" s="237"/>
      <c r="Q117" s="237"/>
      <c r="R117" s="237"/>
      <c r="S117" s="237"/>
      <c r="T117" s="237"/>
      <c r="U117" s="237"/>
      <c r="V117" s="237"/>
      <c r="W117" s="237"/>
      <c r="X117" s="237"/>
      <c r="Y117" s="237"/>
      <c r="Z117" s="237"/>
    </row>
    <row r="118" ht="12.75" customHeight="1">
      <c r="A118" s="1187">
        <v>2415</v>
      </c>
      <c r="B118" t="s" s="1237">
        <v>1070</v>
      </c>
      <c r="C118" t="s" s="1188">
        <v>1085</v>
      </c>
      <c r="D118" s="1192">
        <v>24.8</v>
      </c>
      <c r="E118" s="1190">
        <v>1000</v>
      </c>
      <c r="F118" s="1191">
        <f>D118/E118</f>
        <v>0.0248</v>
      </c>
      <c r="G118" s="1192">
        <v>0.09</v>
      </c>
      <c r="H118" s="1190">
        <v>50</v>
      </c>
      <c r="I118" s="1191">
        <f>G118/H118</f>
        <v>0.0018</v>
      </c>
      <c r="J118" s="1192">
        <v>0.05</v>
      </c>
      <c r="K118" t="s" s="1193">
        <v>966</v>
      </c>
      <c r="L118" t="s" s="1194">
        <v>969</v>
      </c>
      <c r="M118" s="1167"/>
      <c r="N118" s="142"/>
      <c r="O118" s="142"/>
      <c r="P118" s="237"/>
      <c r="Q118" s="237"/>
      <c r="R118" s="237"/>
      <c r="S118" s="237"/>
      <c r="T118" s="237"/>
      <c r="U118" s="237"/>
      <c r="V118" s="237"/>
      <c r="W118" s="237"/>
      <c r="X118" s="237"/>
      <c r="Y118" s="237"/>
      <c r="Z118" s="237"/>
    </row>
    <row r="119" ht="12.75" customHeight="1">
      <c r="A119" s="1187">
        <v>2416</v>
      </c>
      <c r="B119" t="s" s="1237">
        <v>1070</v>
      </c>
      <c r="C119" t="s" s="1188">
        <v>1086</v>
      </c>
      <c r="D119" s="1192">
        <v>36.5</v>
      </c>
      <c r="E119" s="1190">
        <v>5000</v>
      </c>
      <c r="F119" s="1191">
        <f>D119/E119</f>
        <v>0.0073</v>
      </c>
      <c r="G119" s="1195"/>
      <c r="H119" s="1196"/>
      <c r="I119" s="1191">
        <f>F119</f>
        <v>0.0073</v>
      </c>
      <c r="J119" s="1192">
        <v>1</v>
      </c>
      <c r="K119" t="s" s="1193">
        <v>971</v>
      </c>
      <c r="L119" t="s" s="1194">
        <v>971</v>
      </c>
      <c r="M119" s="1167"/>
      <c r="N119" s="142"/>
      <c r="O119" s="142"/>
      <c r="P119" s="237"/>
      <c r="Q119" s="237"/>
      <c r="R119" s="237"/>
      <c r="S119" s="237"/>
      <c r="T119" s="237"/>
      <c r="U119" s="237"/>
      <c r="V119" s="237"/>
      <c r="W119" s="237"/>
      <c r="X119" s="237"/>
      <c r="Y119" s="237"/>
      <c r="Z119" s="237"/>
    </row>
    <row r="120" ht="12.75" customHeight="1">
      <c r="A120" s="1187">
        <v>2418</v>
      </c>
      <c r="B120" t="s" s="1237">
        <v>1070</v>
      </c>
      <c r="C120" t="s" s="1188">
        <v>1087</v>
      </c>
      <c r="D120" s="1192">
        <v>0.0014</v>
      </c>
      <c r="E120" s="1190">
        <v>1000</v>
      </c>
      <c r="F120" s="1191">
        <f>D120/E120</f>
        <v>1.4e-06</v>
      </c>
      <c r="G120" s="1192">
        <v>0.00069</v>
      </c>
      <c r="H120" s="1190">
        <v>10</v>
      </c>
      <c r="I120" s="1191">
        <f>G120/H120</f>
        <v>6.9e-05</v>
      </c>
      <c r="J120" s="1192">
        <v>0.5</v>
      </c>
      <c r="K120" t="s" s="1193">
        <v>985</v>
      </c>
      <c r="L120" t="s" s="1194">
        <v>971</v>
      </c>
      <c r="M120" s="1167"/>
      <c r="N120" s="142"/>
      <c r="O120" s="142"/>
      <c r="P120" s="237"/>
      <c r="Q120" s="237"/>
      <c r="R120" s="237"/>
      <c r="S120" s="237"/>
      <c r="T120" s="237"/>
      <c r="U120" s="237"/>
      <c r="V120" s="237"/>
      <c r="W120" s="237"/>
      <c r="X120" s="237"/>
      <c r="Y120" s="237"/>
      <c r="Z120" s="237"/>
    </row>
    <row r="121" ht="12.75" customHeight="1">
      <c r="A121" s="1187">
        <v>2419</v>
      </c>
      <c r="B121" t="s" s="1237">
        <v>1070</v>
      </c>
      <c r="C121" t="s" s="1188">
        <v>1088</v>
      </c>
      <c r="D121" s="1192">
        <v>291</v>
      </c>
      <c r="E121" s="1190">
        <v>1000</v>
      </c>
      <c r="F121" s="1191">
        <f>D121/E121</f>
        <v>0.291</v>
      </c>
      <c r="G121" s="1192">
        <v>9.43</v>
      </c>
      <c r="H121" s="1190">
        <v>10</v>
      </c>
      <c r="I121" s="1191">
        <f>G121/H121</f>
        <v>0.9429999999999999</v>
      </c>
      <c r="J121" s="1192">
        <v>0.05</v>
      </c>
      <c r="K121" t="s" s="1193">
        <v>966</v>
      </c>
      <c r="L121" t="s" s="1194">
        <v>971</v>
      </c>
      <c r="M121" s="1167"/>
      <c r="N121" s="142"/>
      <c r="O121" s="142"/>
      <c r="P121" s="237"/>
      <c r="Q121" s="237"/>
      <c r="R121" s="237"/>
      <c r="S121" s="237"/>
      <c r="T121" s="237"/>
      <c r="U121" s="237"/>
      <c r="V121" s="237"/>
      <c r="W121" s="237"/>
      <c r="X121" s="237"/>
      <c r="Y121" s="237"/>
      <c r="Z121" s="237"/>
    </row>
    <row r="122" ht="13.65" customHeight="1">
      <c r="A122" s="1187">
        <v>2420</v>
      </c>
      <c r="B122" t="s" s="1237">
        <v>1070</v>
      </c>
      <c r="C122" t="s" s="1188">
        <v>1089</v>
      </c>
      <c r="D122" s="1201">
        <v>24.1</v>
      </c>
      <c r="E122" s="1190">
        <v>1000</v>
      </c>
      <c r="F122" s="1191">
        <f>D122/E122</f>
        <v>0.0241</v>
      </c>
      <c r="G122" s="1195"/>
      <c r="H122" s="1196"/>
      <c r="I122" s="1191">
        <f>F122</f>
        <v>0.0241</v>
      </c>
      <c r="J122" s="1192">
        <v>0.05</v>
      </c>
      <c r="K122" t="s" s="1202">
        <v>966</v>
      </c>
      <c r="L122" t="s" s="1194">
        <v>971</v>
      </c>
      <c r="M122" s="1167"/>
      <c r="N122" s="142"/>
      <c r="O122" s="142"/>
      <c r="P122" s="237"/>
      <c r="Q122" s="237"/>
      <c r="R122" s="237"/>
      <c r="S122" s="237"/>
      <c r="T122" s="237"/>
      <c r="U122" s="237"/>
      <c r="V122" s="237"/>
      <c r="W122" s="237"/>
      <c r="X122" s="237"/>
      <c r="Y122" s="237"/>
      <c r="Z122" s="237"/>
    </row>
    <row r="123" ht="13.65" customHeight="1">
      <c r="A123" s="1187">
        <v>2421</v>
      </c>
      <c r="B123" t="s" s="1237">
        <v>1070</v>
      </c>
      <c r="C123" t="s" s="1188">
        <v>1090</v>
      </c>
      <c r="D123" s="1201">
        <v>0.027</v>
      </c>
      <c r="E123" s="1190">
        <v>1000</v>
      </c>
      <c r="F123" s="1191">
        <f>D123/E123</f>
        <v>2.7e-05</v>
      </c>
      <c r="G123" s="1192">
        <v>0.008500000000000001</v>
      </c>
      <c r="H123" s="1190">
        <v>50</v>
      </c>
      <c r="I123" s="1191">
        <f>G123/H123</f>
        <v>0.00017</v>
      </c>
      <c r="J123" s="1192">
        <v>0.05</v>
      </c>
      <c r="K123" t="s" s="1202">
        <v>966</v>
      </c>
      <c r="L123" t="s" s="1194">
        <v>971</v>
      </c>
      <c r="M123" s="1167"/>
      <c r="N123" s="142"/>
      <c r="O123" s="142"/>
      <c r="P123" s="237"/>
      <c r="Q123" s="237"/>
      <c r="R123" s="237"/>
      <c r="S123" s="237"/>
      <c r="T123" s="237"/>
      <c r="U123" s="237"/>
      <c r="V123" s="237"/>
      <c r="W123" s="237"/>
      <c r="X123" s="237"/>
      <c r="Y123" s="237"/>
      <c r="Z123" s="237"/>
    </row>
    <row r="124" ht="13.5" customHeight="1">
      <c r="A124" s="1187">
        <v>2422</v>
      </c>
      <c r="B124" t="s" s="1237">
        <v>1070</v>
      </c>
      <c r="C124" t="s" s="1188">
        <v>1091</v>
      </c>
      <c r="D124" s="1192">
        <v>100</v>
      </c>
      <c r="E124" s="1190">
        <v>1000</v>
      </c>
      <c r="F124" s="1191">
        <f>D124/E124</f>
        <v>0.1</v>
      </c>
      <c r="G124" s="1195"/>
      <c r="H124" s="1196"/>
      <c r="I124" s="1191">
        <v>0.1</v>
      </c>
      <c r="J124" s="1192">
        <v>0.05</v>
      </c>
      <c r="K124" t="s" s="1193">
        <v>966</v>
      </c>
      <c r="L124" t="s" s="1194">
        <v>971</v>
      </c>
      <c r="M124" s="1167"/>
      <c r="N124" s="142"/>
      <c r="O124" s="142"/>
      <c r="P124" s="237"/>
      <c r="Q124" s="237"/>
      <c r="R124" s="237"/>
      <c r="S124" s="237"/>
      <c r="T124" s="237"/>
      <c r="U124" s="237"/>
      <c r="V124" s="237"/>
      <c r="W124" s="237"/>
      <c r="X124" s="237"/>
      <c r="Y124" s="237"/>
      <c r="Z124" s="237"/>
    </row>
    <row r="125" ht="12.75" customHeight="1">
      <c r="A125" s="1187">
        <v>2502</v>
      </c>
      <c r="B125" t="s" s="1237">
        <v>1092</v>
      </c>
      <c r="C125" t="s" s="1188">
        <v>1093</v>
      </c>
      <c r="D125" s="1192">
        <v>100</v>
      </c>
      <c r="E125" s="1190">
        <v>1000</v>
      </c>
      <c r="F125" s="1191">
        <v>0.1</v>
      </c>
      <c r="G125" s="1192">
        <v>100</v>
      </c>
      <c r="H125" s="1190">
        <v>10</v>
      </c>
      <c r="I125" s="1191">
        <v>10</v>
      </c>
      <c r="J125" s="1192">
        <v>1</v>
      </c>
      <c r="K125" t="s" s="1193">
        <v>1074</v>
      </c>
      <c r="L125" t="s" s="1194">
        <v>971</v>
      </c>
      <c r="M125" s="1167"/>
      <c r="N125" s="142"/>
      <c r="O125" s="142"/>
      <c r="P125" s="237"/>
      <c r="Q125" s="237"/>
      <c r="R125" s="237"/>
      <c r="S125" s="237"/>
      <c r="T125" s="237"/>
      <c r="U125" s="237"/>
      <c r="V125" s="237"/>
      <c r="W125" s="237"/>
      <c r="X125" s="237"/>
      <c r="Y125" s="237"/>
      <c r="Z125" s="237"/>
    </row>
    <row r="126" ht="12.75" customHeight="1">
      <c r="A126" s="1197">
        <v>2503</v>
      </c>
      <c r="B126" t="s" s="1237">
        <v>1092</v>
      </c>
      <c r="C126" t="s" s="1188">
        <v>1094</v>
      </c>
      <c r="D126" s="1192">
        <v>885</v>
      </c>
      <c r="E126" s="1190">
        <v>5000</v>
      </c>
      <c r="F126" s="1191">
        <f>D126/E126</f>
        <v>0.177</v>
      </c>
      <c r="G126" s="1195"/>
      <c r="H126" s="1196"/>
      <c r="I126" s="1191">
        <f>F126</f>
        <v>0.177</v>
      </c>
      <c r="J126" s="1192">
        <v>0.05</v>
      </c>
      <c r="K126" t="s" s="1193">
        <v>966</v>
      </c>
      <c r="L126" t="s" s="1194">
        <v>969</v>
      </c>
      <c r="M126" s="1167"/>
      <c r="N126" s="142"/>
      <c r="O126" s="142"/>
      <c r="P126" s="237"/>
      <c r="Q126" s="237"/>
      <c r="R126" s="237"/>
      <c r="S126" s="237"/>
      <c r="T126" s="237"/>
      <c r="U126" s="237"/>
      <c r="V126" s="237"/>
      <c r="W126" s="237"/>
      <c r="X126" s="237"/>
      <c r="Y126" s="237"/>
      <c r="Z126" s="237"/>
    </row>
    <row r="127" ht="12.75" customHeight="1">
      <c r="A127" s="1187">
        <v>2504</v>
      </c>
      <c r="B127" t="s" s="1237">
        <v>1092</v>
      </c>
      <c r="C127" t="s" s="1188">
        <v>1095</v>
      </c>
      <c r="D127" s="1192">
        <v>160</v>
      </c>
      <c r="E127" s="1190">
        <v>1000</v>
      </c>
      <c r="F127" s="1191">
        <f>D127/E127</f>
        <v>0.16</v>
      </c>
      <c r="G127" s="1195"/>
      <c r="H127" s="1196"/>
      <c r="I127" s="1191">
        <v>0.16</v>
      </c>
      <c r="J127" s="1192">
        <v>0.05</v>
      </c>
      <c r="K127" t="s" s="1193">
        <v>1096</v>
      </c>
      <c r="L127" t="s" s="1194">
        <v>1096</v>
      </c>
      <c r="M127" s="1167"/>
      <c r="N127" s="142"/>
      <c r="O127" s="142"/>
      <c r="P127" s="237"/>
      <c r="Q127" s="237"/>
      <c r="R127" s="237"/>
      <c r="S127" s="237"/>
      <c r="T127" s="237"/>
      <c r="U127" s="237"/>
      <c r="V127" s="237"/>
      <c r="W127" s="237"/>
      <c r="X127" s="237"/>
      <c r="Y127" s="237"/>
      <c r="Z127" s="237"/>
    </row>
    <row r="128" ht="12.75" customHeight="1">
      <c r="A128" s="1187">
        <v>2505</v>
      </c>
      <c r="B128" t="s" s="1237">
        <v>1092</v>
      </c>
      <c r="C128" t="s" s="1188">
        <v>1097</v>
      </c>
      <c r="D128" s="1192">
        <v>100</v>
      </c>
      <c r="E128" s="1190">
        <v>1000</v>
      </c>
      <c r="F128" s="1191">
        <f>D128/E128</f>
        <v>0.1</v>
      </c>
      <c r="G128" s="1192">
        <v>100</v>
      </c>
      <c r="H128" s="1190">
        <v>50</v>
      </c>
      <c r="I128" s="1191">
        <f>G128/H128</f>
        <v>2</v>
      </c>
      <c r="J128" s="1192">
        <v>1</v>
      </c>
      <c r="K128" t="s" s="1193">
        <v>1096</v>
      </c>
      <c r="L128" t="s" s="1194">
        <v>1096</v>
      </c>
      <c r="M128" s="1167"/>
      <c r="N128" s="142"/>
      <c r="O128" s="142"/>
      <c r="P128" s="237"/>
      <c r="Q128" s="237"/>
      <c r="R128" s="237"/>
      <c r="S128" s="237"/>
      <c r="T128" s="237"/>
      <c r="U128" s="237"/>
      <c r="V128" s="237"/>
      <c r="W128" s="237"/>
      <c r="X128" s="237"/>
      <c r="Y128" s="237"/>
      <c r="Z128" s="237"/>
    </row>
    <row r="129" ht="12.75" customHeight="1">
      <c r="A129" s="1187">
        <v>2506</v>
      </c>
      <c r="B129" t="s" s="1237">
        <v>1092</v>
      </c>
      <c r="C129" t="s" s="1188">
        <v>1098</v>
      </c>
      <c r="D129" s="1192">
        <v>825</v>
      </c>
      <c r="E129" s="1190">
        <v>1000</v>
      </c>
      <c r="F129" s="1191">
        <f>D129/E129</f>
        <v>0.825</v>
      </c>
      <c r="G129" s="1192">
        <v>80</v>
      </c>
      <c r="H129" s="1190">
        <v>50</v>
      </c>
      <c r="I129" s="1191">
        <f>G129/H129</f>
        <v>1.6</v>
      </c>
      <c r="J129" s="1192">
        <v>0.05</v>
      </c>
      <c r="K129" t="s" s="1193">
        <v>966</v>
      </c>
      <c r="L129" t="s" s="1194">
        <v>969</v>
      </c>
      <c r="M129" s="1167"/>
      <c r="N129" s="142"/>
      <c r="O129" s="142"/>
      <c r="P129" s="237"/>
      <c r="Q129" s="237"/>
      <c r="R129" s="237"/>
      <c r="S129" s="237"/>
      <c r="T129" s="237"/>
      <c r="U129" s="237"/>
      <c r="V129" s="237"/>
      <c r="W129" s="237"/>
      <c r="X129" s="237"/>
      <c r="Y129" s="237"/>
      <c r="Z129" s="237"/>
    </row>
    <row r="130" ht="12.75" customHeight="1">
      <c r="A130" s="1239">
        <v>2507</v>
      </c>
      <c r="B130" t="s" s="1237">
        <v>1092</v>
      </c>
      <c r="C130" t="s" s="1188">
        <v>1099</v>
      </c>
      <c r="D130" s="1192">
        <v>40</v>
      </c>
      <c r="E130" s="1190">
        <v>1000</v>
      </c>
      <c r="F130" s="1191">
        <f>D130/E130</f>
        <v>0.04</v>
      </c>
      <c r="G130" s="1192">
        <v>12</v>
      </c>
      <c r="H130" s="1190">
        <v>10</v>
      </c>
      <c r="I130" s="1191">
        <f>G130/H130</f>
        <v>1.2</v>
      </c>
      <c r="J130" s="1192">
        <v>1</v>
      </c>
      <c r="K130" t="s" s="1193">
        <v>1074</v>
      </c>
      <c r="L130" t="s" s="1194">
        <v>257</v>
      </c>
      <c r="M130" s="1167"/>
      <c r="N130" s="142"/>
      <c r="O130" s="142"/>
      <c r="P130" s="237"/>
      <c r="Q130" s="237"/>
      <c r="R130" s="237"/>
      <c r="S130" s="237"/>
      <c r="T130" s="237"/>
      <c r="U130" s="237"/>
      <c r="V130" s="237"/>
      <c r="W130" s="237"/>
      <c r="X130" s="237"/>
      <c r="Y130" s="237"/>
      <c r="Z130" s="237"/>
    </row>
    <row r="131" ht="12.75" customHeight="1">
      <c r="A131" s="1239">
        <v>2508</v>
      </c>
      <c r="B131" t="s" s="1237">
        <v>1092</v>
      </c>
      <c r="C131" t="s" s="1188">
        <v>1100</v>
      </c>
      <c r="D131" s="1192">
        <v>100</v>
      </c>
      <c r="E131" s="1190">
        <v>1000</v>
      </c>
      <c r="F131" s="1191">
        <f>D131/E131</f>
        <v>0.1</v>
      </c>
      <c r="G131" s="1192">
        <v>5.8</v>
      </c>
      <c r="H131" s="1190">
        <v>10</v>
      </c>
      <c r="I131" s="1191">
        <f>G131/H131</f>
        <v>0.58</v>
      </c>
      <c r="J131" s="1192">
        <v>1</v>
      </c>
      <c r="K131" t="s" s="1193">
        <v>1074</v>
      </c>
      <c r="L131" t="s" s="1194">
        <v>257</v>
      </c>
      <c r="M131" s="1167"/>
      <c r="N131" s="142"/>
      <c r="O131" s="142"/>
      <c r="P131" s="237"/>
      <c r="Q131" s="237"/>
      <c r="R131" s="237"/>
      <c r="S131" s="237"/>
      <c r="T131" s="237"/>
      <c r="U131" s="237"/>
      <c r="V131" s="237"/>
      <c r="W131" s="237"/>
      <c r="X131" s="237"/>
      <c r="Y131" s="237"/>
      <c r="Z131" s="237"/>
    </row>
    <row r="132" ht="12.75" customHeight="1">
      <c r="A132" s="1187">
        <v>2509</v>
      </c>
      <c r="B132" t="s" s="1237">
        <v>1092</v>
      </c>
      <c r="C132" t="s" s="1188">
        <v>1101</v>
      </c>
      <c r="D132" s="1192">
        <v>494</v>
      </c>
      <c r="E132" s="1190">
        <v>1000</v>
      </c>
      <c r="F132" s="1191">
        <f>D132/E132</f>
        <v>0.494</v>
      </c>
      <c r="G132" s="1192">
        <v>64</v>
      </c>
      <c r="H132" s="1190">
        <v>50</v>
      </c>
      <c r="I132" s="1191">
        <f>G132/H132</f>
        <v>1.28</v>
      </c>
      <c r="J132" s="1192">
        <v>0.05</v>
      </c>
      <c r="K132" t="s" s="1193">
        <v>966</v>
      </c>
      <c r="L132" t="s" s="1194">
        <v>257</v>
      </c>
      <c r="M132" s="1167"/>
      <c r="N132" s="142"/>
      <c r="O132" s="142"/>
      <c r="P132" s="237"/>
      <c r="Q132" s="237"/>
      <c r="R132" s="237"/>
      <c r="S132" s="237"/>
      <c r="T132" s="237"/>
      <c r="U132" s="237"/>
      <c r="V132" s="237"/>
      <c r="W132" s="237"/>
      <c r="X132" s="237"/>
      <c r="Y132" s="237"/>
      <c r="Z132" s="237"/>
    </row>
    <row r="133" ht="12.75" customHeight="1">
      <c r="A133" s="1187">
        <v>2510</v>
      </c>
      <c r="B133" t="s" s="1237">
        <v>1092</v>
      </c>
      <c r="C133" t="s" s="1188">
        <v>1102</v>
      </c>
      <c r="D133" s="1192">
        <v>100</v>
      </c>
      <c r="E133" s="1190">
        <v>1000</v>
      </c>
      <c r="F133" s="1191">
        <f>D133/E133</f>
        <v>0.1</v>
      </c>
      <c r="G133" s="1192">
        <v>100</v>
      </c>
      <c r="H133" s="1190">
        <v>10</v>
      </c>
      <c r="I133" s="1191">
        <f>G133/H133</f>
        <v>10</v>
      </c>
      <c r="J133" s="1192">
        <v>0.05</v>
      </c>
      <c r="K133" t="s" s="1193">
        <v>966</v>
      </c>
      <c r="L133" t="s" s="1194">
        <v>969</v>
      </c>
      <c r="M133" s="1167"/>
      <c r="N133" s="142"/>
      <c r="O133" s="142"/>
      <c r="P133" s="237"/>
      <c r="Q133" s="237"/>
      <c r="R133" s="237"/>
      <c r="S133" s="237"/>
      <c r="T133" s="237"/>
      <c r="U133" s="237"/>
      <c r="V133" s="237"/>
      <c r="W133" s="237"/>
      <c r="X133" s="237"/>
      <c r="Y133" s="237"/>
      <c r="Z133" s="237"/>
    </row>
    <row r="134" ht="12.75" customHeight="1">
      <c r="A134" s="1187">
        <v>2511</v>
      </c>
      <c r="B134" t="s" s="1237">
        <v>1092</v>
      </c>
      <c r="C134" t="s" s="1188">
        <v>1103</v>
      </c>
      <c r="D134" s="1192">
        <v>121</v>
      </c>
      <c r="E134" s="1190">
        <v>1000</v>
      </c>
      <c r="F134" s="1191">
        <f>D134/E134</f>
        <v>0.121</v>
      </c>
      <c r="G134" s="1192">
        <v>22</v>
      </c>
      <c r="H134" s="1190">
        <v>50</v>
      </c>
      <c r="I134" s="1191">
        <f>G134/H134</f>
        <v>0.44</v>
      </c>
      <c r="J134" s="1192">
        <v>0.5</v>
      </c>
      <c r="K134" t="s" s="1193">
        <v>985</v>
      </c>
      <c r="L134" t="s" s="1194">
        <v>257</v>
      </c>
      <c r="M134" s="1167"/>
      <c r="N134" s="142"/>
      <c r="O134" s="142"/>
      <c r="P134" s="237"/>
      <c r="Q134" s="237"/>
      <c r="R134" s="237"/>
      <c r="S134" s="237"/>
      <c r="T134" s="237"/>
      <c r="U134" s="237"/>
      <c r="V134" s="237"/>
      <c r="W134" s="237"/>
      <c r="X134" s="237"/>
      <c r="Y134" s="237"/>
      <c r="Z134" s="237"/>
    </row>
    <row r="135" ht="12.75" customHeight="1">
      <c r="A135" s="1187">
        <v>2512</v>
      </c>
      <c r="B135" t="s" s="1237">
        <v>1092</v>
      </c>
      <c r="C135" t="s" s="1188">
        <v>1104</v>
      </c>
      <c r="D135" s="1192">
        <v>650</v>
      </c>
      <c r="E135" s="1190">
        <v>1000</v>
      </c>
      <c r="F135" s="1191">
        <f>D135/E135</f>
        <v>0.65</v>
      </c>
      <c r="G135" s="1192">
        <v>25</v>
      </c>
      <c r="H135" s="1190">
        <v>50</v>
      </c>
      <c r="I135" s="1191">
        <f>G135/H135</f>
        <v>0.5</v>
      </c>
      <c r="J135" s="1192">
        <v>1</v>
      </c>
      <c r="K135" t="s" s="1193">
        <v>1074</v>
      </c>
      <c r="L135" t="s" s="1194">
        <v>257</v>
      </c>
      <c r="M135" s="1167"/>
      <c r="N135" s="142"/>
      <c r="O135" s="142"/>
      <c r="P135" s="237"/>
      <c r="Q135" s="237"/>
      <c r="R135" s="237"/>
      <c r="S135" s="237"/>
      <c r="T135" s="237"/>
      <c r="U135" s="237"/>
      <c r="V135" s="237"/>
      <c r="W135" s="237"/>
      <c r="X135" s="237"/>
      <c r="Y135" s="237"/>
      <c r="Z135" s="237"/>
    </row>
    <row r="136" ht="12.75" customHeight="1">
      <c r="A136" s="1187">
        <v>2513</v>
      </c>
      <c r="B136" t="s" s="1237">
        <v>1092</v>
      </c>
      <c r="C136" t="s" s="1188">
        <v>1105</v>
      </c>
      <c r="D136" s="1192">
        <v>5.5</v>
      </c>
      <c r="E136" s="1190">
        <v>1000</v>
      </c>
      <c r="F136" s="1191">
        <f>D136/E136</f>
        <v>0.0055</v>
      </c>
      <c r="G136" s="1192">
        <v>0.66</v>
      </c>
      <c r="H136" s="1190">
        <v>10</v>
      </c>
      <c r="I136" s="1191">
        <f>G136/H136</f>
        <v>0.066</v>
      </c>
      <c r="J136" s="1192">
        <v>0.05</v>
      </c>
      <c r="K136" t="s" s="1193">
        <v>966</v>
      </c>
      <c r="L136" t="s" s="1194">
        <v>257</v>
      </c>
      <c r="M136" s="1167"/>
      <c r="N136" s="142"/>
      <c r="O136" s="142"/>
      <c r="P136" s="237"/>
      <c r="Q136" s="237"/>
      <c r="R136" s="237"/>
      <c r="S136" s="237"/>
      <c r="T136" s="237"/>
      <c r="U136" s="237"/>
      <c r="V136" s="237"/>
      <c r="W136" s="237"/>
      <c r="X136" s="237"/>
      <c r="Y136" s="237"/>
      <c r="Z136" s="237"/>
    </row>
    <row r="137" ht="12.75" customHeight="1">
      <c r="A137" s="1187">
        <v>2514</v>
      </c>
      <c r="B137" t="s" s="1237">
        <v>1092</v>
      </c>
      <c r="C137" t="s" s="1188">
        <v>1106</v>
      </c>
      <c r="D137" s="1192">
        <v>1000</v>
      </c>
      <c r="E137" s="1190">
        <v>1000</v>
      </c>
      <c r="F137" s="1191">
        <f>D137/E137</f>
        <v>1</v>
      </c>
      <c r="G137" s="1192">
        <v>423</v>
      </c>
      <c r="H137" s="1190">
        <v>10</v>
      </c>
      <c r="I137" s="1191">
        <f>G137/H137</f>
        <v>42.3</v>
      </c>
      <c r="J137" s="1192">
        <v>0.5</v>
      </c>
      <c r="K137" t="s" s="1193">
        <v>985</v>
      </c>
      <c r="L137" t="s" s="1194">
        <v>257</v>
      </c>
      <c r="M137" s="1167"/>
      <c r="N137" s="142"/>
      <c r="O137" s="142"/>
      <c r="P137" s="237"/>
      <c r="Q137" s="237"/>
      <c r="R137" s="237"/>
      <c r="S137" s="237"/>
      <c r="T137" s="237"/>
      <c r="U137" s="237"/>
      <c r="V137" s="237"/>
      <c r="W137" s="237"/>
      <c r="X137" s="237"/>
      <c r="Y137" s="237"/>
      <c r="Z137" s="237"/>
    </row>
    <row r="138" ht="12.75" customHeight="1">
      <c r="A138" s="1187">
        <v>2515</v>
      </c>
      <c r="B138" t="s" s="1237">
        <v>1092</v>
      </c>
      <c r="C138" t="s" s="1188">
        <v>1107</v>
      </c>
      <c r="D138" s="1195"/>
      <c r="E138" s="1196"/>
      <c r="F138" s="1191">
        <v>10</v>
      </c>
      <c r="G138" s="1195"/>
      <c r="H138" s="1196"/>
      <c r="I138" s="1191">
        <v>10</v>
      </c>
      <c r="J138" s="1192">
        <v>1</v>
      </c>
      <c r="K138" t="s" s="1193">
        <v>1096</v>
      </c>
      <c r="L138" t="s" s="1194">
        <v>1096</v>
      </c>
      <c r="M138" s="1167"/>
      <c r="N138" s="142"/>
      <c r="O138" s="142"/>
      <c r="P138" s="237"/>
      <c r="Q138" s="237"/>
      <c r="R138" s="237"/>
      <c r="S138" s="237"/>
      <c r="T138" s="237"/>
      <c r="U138" s="237"/>
      <c r="V138" s="237"/>
      <c r="W138" s="237"/>
      <c r="X138" s="237"/>
      <c r="Y138" s="237"/>
      <c r="Z138" s="237"/>
    </row>
    <row r="139" ht="12.75" customHeight="1">
      <c r="A139" s="1187">
        <v>2516</v>
      </c>
      <c r="B139" t="s" s="1237">
        <v>1092</v>
      </c>
      <c r="C139" t="s" s="1188">
        <v>1108</v>
      </c>
      <c r="D139" s="1195"/>
      <c r="E139" s="1196"/>
      <c r="F139" s="1191">
        <v>10</v>
      </c>
      <c r="G139" s="1195"/>
      <c r="H139" s="1196"/>
      <c r="I139" s="1191">
        <v>10</v>
      </c>
      <c r="J139" s="1192">
        <v>0.05</v>
      </c>
      <c r="K139" t="s" s="1193">
        <v>1096</v>
      </c>
      <c r="L139" t="s" s="1194">
        <v>1096</v>
      </c>
      <c r="M139" s="1167"/>
      <c r="N139" s="142"/>
      <c r="O139" s="142"/>
      <c r="P139" s="237"/>
      <c r="Q139" s="237"/>
      <c r="R139" s="237"/>
      <c r="S139" s="237"/>
      <c r="T139" s="237"/>
      <c r="U139" s="237"/>
      <c r="V139" s="237"/>
      <c r="W139" s="237"/>
      <c r="X139" s="237"/>
      <c r="Y139" s="237"/>
      <c r="Z139" s="237"/>
    </row>
    <row r="140" ht="12.75" customHeight="1">
      <c r="A140" s="1187">
        <v>2517</v>
      </c>
      <c r="B140" t="s" s="1237">
        <v>1092</v>
      </c>
      <c r="C140" t="s" s="1188">
        <v>1109</v>
      </c>
      <c r="D140" s="1192">
        <v>100</v>
      </c>
      <c r="E140" s="1190">
        <v>1000</v>
      </c>
      <c r="F140" s="1191">
        <f>D140/E140</f>
        <v>0.1</v>
      </c>
      <c r="G140" s="1195"/>
      <c r="H140" s="1196"/>
      <c r="I140" s="1191">
        <f>F140</f>
        <v>0.1</v>
      </c>
      <c r="J140" s="1192">
        <v>0.05</v>
      </c>
      <c r="K140" t="s" s="1193">
        <v>966</v>
      </c>
      <c r="L140" t="s" s="1194">
        <v>969</v>
      </c>
      <c r="M140" s="1167"/>
      <c r="N140" s="142"/>
      <c r="O140" s="142"/>
      <c r="P140" s="237"/>
      <c r="Q140" s="237"/>
      <c r="R140" s="237"/>
      <c r="S140" s="237"/>
      <c r="T140" s="237"/>
      <c r="U140" s="237"/>
      <c r="V140" s="237"/>
      <c r="W140" s="237"/>
      <c r="X140" s="237"/>
      <c r="Y140" s="237"/>
      <c r="Z140" s="237"/>
    </row>
    <row r="141" ht="12.75" customHeight="1">
      <c r="A141" s="1187">
        <v>2518</v>
      </c>
      <c r="B141" t="s" s="1237">
        <v>1092</v>
      </c>
      <c r="C141" t="s" s="1188">
        <v>1110</v>
      </c>
      <c r="D141" s="1192">
        <v>100</v>
      </c>
      <c r="E141" s="1190">
        <v>1000</v>
      </c>
      <c r="F141" s="1191">
        <f>D141/E141</f>
        <v>0.1</v>
      </c>
      <c r="G141" s="1195"/>
      <c r="H141" s="1196"/>
      <c r="I141" s="1191">
        <f>F141</f>
        <v>0.1</v>
      </c>
      <c r="J141" s="1192">
        <v>0.05</v>
      </c>
      <c r="K141" t="s" s="1193">
        <v>966</v>
      </c>
      <c r="L141" t="s" s="1194">
        <v>969</v>
      </c>
      <c r="M141" s="1167"/>
      <c r="N141" s="142"/>
      <c r="O141" s="142"/>
      <c r="P141" s="237"/>
      <c r="Q141" s="237"/>
      <c r="R141" s="237"/>
      <c r="S141" s="237"/>
      <c r="T141" s="237"/>
      <c r="U141" s="237"/>
      <c r="V141" s="237"/>
      <c r="W141" s="237"/>
      <c r="X141" s="237"/>
      <c r="Y141" s="237"/>
      <c r="Z141" s="237"/>
    </row>
    <row r="142" ht="12.75" customHeight="1">
      <c r="A142" s="1187">
        <v>2519</v>
      </c>
      <c r="B142" t="s" s="1237">
        <v>1092</v>
      </c>
      <c r="C142" t="s" s="1227">
        <v>1111</v>
      </c>
      <c r="D142" s="1192">
        <v>3.6</v>
      </c>
      <c r="E142" s="1190">
        <v>1000</v>
      </c>
      <c r="F142" s="1191">
        <f>D142/E142</f>
        <v>0.0036</v>
      </c>
      <c r="G142" s="1192">
        <v>0.47</v>
      </c>
      <c r="H142" s="1190">
        <v>10</v>
      </c>
      <c r="I142" s="1191">
        <f>G142/H142</f>
        <v>0.047</v>
      </c>
      <c r="J142" s="1192">
        <v>0.05</v>
      </c>
      <c r="K142" t="s" s="1193">
        <v>966</v>
      </c>
      <c r="L142" t="s" s="1194">
        <v>971</v>
      </c>
      <c r="M142" s="1167"/>
      <c r="N142" s="142"/>
      <c r="O142" s="142"/>
      <c r="P142" s="237"/>
      <c r="Q142" s="237"/>
      <c r="R142" s="237"/>
      <c r="S142" s="237"/>
      <c r="T142" s="237"/>
      <c r="U142" s="237"/>
      <c r="V142" s="237"/>
      <c r="W142" s="237"/>
      <c r="X142" s="237"/>
      <c r="Y142" s="237"/>
      <c r="Z142" s="237"/>
    </row>
    <row r="143" ht="12.75" customHeight="1">
      <c r="A143" s="1197">
        <v>2520</v>
      </c>
      <c r="B143" t="s" s="1237">
        <v>1092</v>
      </c>
      <c r="C143" t="s" s="1227">
        <v>1112</v>
      </c>
      <c r="D143" s="1192">
        <v>100</v>
      </c>
      <c r="E143" s="1190">
        <v>1000</v>
      </c>
      <c r="F143" s="1191">
        <v>0.1</v>
      </c>
      <c r="G143" s="1192">
        <v>100</v>
      </c>
      <c r="H143" s="1190">
        <v>50</v>
      </c>
      <c r="I143" s="1191">
        <v>2</v>
      </c>
      <c r="J143" s="1192">
        <v>0.05</v>
      </c>
      <c r="K143" t="s" s="1193">
        <v>966</v>
      </c>
      <c r="L143" t="s" s="1194">
        <v>969</v>
      </c>
      <c r="M143" s="1167"/>
      <c r="N143" s="142"/>
      <c r="O143" s="142"/>
      <c r="P143" s="237"/>
      <c r="Q143" s="237"/>
      <c r="R143" s="237"/>
      <c r="S143" s="237"/>
      <c r="T143" s="237"/>
      <c r="U143" s="237"/>
      <c r="V143" s="237"/>
      <c r="W143" s="237"/>
      <c r="X143" s="237"/>
      <c r="Y143" s="237"/>
      <c r="Z143" s="237"/>
    </row>
    <row r="144" ht="12.75" customHeight="1">
      <c r="A144" s="1187">
        <v>2521</v>
      </c>
      <c r="B144" t="s" s="1237">
        <v>1092</v>
      </c>
      <c r="C144" t="s" s="1188">
        <v>1113</v>
      </c>
      <c r="D144" s="1192">
        <v>21</v>
      </c>
      <c r="E144" s="1190">
        <v>10000</v>
      </c>
      <c r="F144" s="1191">
        <f>D144/E144</f>
        <v>0.0021</v>
      </c>
      <c r="G144" s="1195"/>
      <c r="H144" s="1196"/>
      <c r="I144" s="1191">
        <f>F144</f>
        <v>0.0021</v>
      </c>
      <c r="J144" s="1192">
        <v>0.05</v>
      </c>
      <c r="K144" t="s" s="1193">
        <v>966</v>
      </c>
      <c r="L144" t="s" s="1194">
        <v>969</v>
      </c>
      <c r="M144" s="1167"/>
      <c r="N144" s="142"/>
      <c r="O144" s="142"/>
      <c r="P144" s="237"/>
      <c r="Q144" s="237"/>
      <c r="R144" s="237"/>
      <c r="S144" s="237"/>
      <c r="T144" s="237"/>
      <c r="U144" s="237"/>
      <c r="V144" s="237"/>
      <c r="W144" s="237"/>
      <c r="X144" s="237"/>
      <c r="Y144" s="237"/>
      <c r="Z144" s="237"/>
    </row>
    <row r="145" ht="12.75" customHeight="1">
      <c r="A145" s="1187">
        <v>2522</v>
      </c>
      <c r="B145" t="s" s="1237">
        <v>1092</v>
      </c>
      <c r="C145" t="s" s="1188">
        <v>1114</v>
      </c>
      <c r="D145" s="1192">
        <v>100</v>
      </c>
      <c r="E145" s="1190">
        <v>1000</v>
      </c>
      <c r="F145" s="1191">
        <f>D145/E145</f>
        <v>0.1</v>
      </c>
      <c r="G145" s="1195"/>
      <c r="H145" s="1196"/>
      <c r="I145" s="1191">
        <f>F145</f>
        <v>0.1</v>
      </c>
      <c r="J145" s="1192">
        <v>0.05</v>
      </c>
      <c r="K145" t="s" s="1193">
        <v>966</v>
      </c>
      <c r="L145" t="s" s="1194">
        <v>971</v>
      </c>
      <c r="M145" s="1167"/>
      <c r="N145" s="142"/>
      <c r="O145" s="142"/>
      <c r="P145" s="237"/>
      <c r="Q145" s="237"/>
      <c r="R145" s="237"/>
      <c r="S145" s="237"/>
      <c r="T145" s="237"/>
      <c r="U145" s="237"/>
      <c r="V145" s="237"/>
      <c r="W145" s="237"/>
      <c r="X145" s="237"/>
      <c r="Y145" s="237"/>
      <c r="Z145" s="237"/>
    </row>
    <row r="146" ht="12.75" customHeight="1">
      <c r="A146" s="1187">
        <v>2523</v>
      </c>
      <c r="B146" t="s" s="1237">
        <v>1092</v>
      </c>
      <c r="C146" t="s" s="1188">
        <v>1115</v>
      </c>
      <c r="D146" s="1192">
        <v>207</v>
      </c>
      <c r="E146" s="1190">
        <v>1000</v>
      </c>
      <c r="F146" s="1191">
        <f>D146/E146</f>
        <v>0.207</v>
      </c>
      <c r="G146" s="1195"/>
      <c r="H146" s="1196"/>
      <c r="I146" s="1191">
        <f>F146</f>
        <v>0.207</v>
      </c>
      <c r="J146" s="1192">
        <v>1</v>
      </c>
      <c r="K146" t="s" s="1193">
        <v>1096</v>
      </c>
      <c r="L146" t="s" s="1194">
        <v>1096</v>
      </c>
      <c r="M146" s="1167"/>
      <c r="N146" s="142"/>
      <c r="O146" s="142"/>
      <c r="P146" s="237"/>
      <c r="Q146" s="237"/>
      <c r="R146" s="237"/>
      <c r="S146" s="237"/>
      <c r="T146" s="237"/>
      <c r="U146" s="237"/>
      <c r="V146" s="237"/>
      <c r="W146" s="237"/>
      <c r="X146" s="237"/>
      <c r="Y146" s="237"/>
      <c r="Z146" s="237"/>
    </row>
    <row r="147" ht="12.75" customHeight="1">
      <c r="A147" s="1187">
        <v>2524</v>
      </c>
      <c r="B147" t="s" s="1237">
        <v>1092</v>
      </c>
      <c r="C147" t="s" s="1188">
        <v>1116</v>
      </c>
      <c r="D147" s="1192">
        <v>410</v>
      </c>
      <c r="E147" s="1190">
        <v>1000</v>
      </c>
      <c r="F147" s="1191">
        <f>D147/E147</f>
        <v>0.41</v>
      </c>
      <c r="G147" s="1195"/>
      <c r="H147" s="1196"/>
      <c r="I147" s="1191">
        <f>F147</f>
        <v>0.41</v>
      </c>
      <c r="J147" s="1192">
        <v>0.05</v>
      </c>
      <c r="K147" t="s" s="1193">
        <v>966</v>
      </c>
      <c r="L147" t="s" s="1194">
        <v>257</v>
      </c>
      <c r="M147" s="1167"/>
      <c r="N147" s="142"/>
      <c r="O147" s="142"/>
      <c r="P147" s="237"/>
      <c r="Q147" s="237"/>
      <c r="R147" s="237"/>
      <c r="S147" s="237"/>
      <c r="T147" s="237"/>
      <c r="U147" s="237"/>
      <c r="V147" s="237"/>
      <c r="W147" s="237"/>
      <c r="X147" s="237"/>
      <c r="Y147" s="237"/>
      <c r="Z147" s="237"/>
    </row>
    <row r="148" ht="12.75" customHeight="1">
      <c r="A148" s="1187">
        <v>2525</v>
      </c>
      <c r="B148" t="s" s="1237">
        <v>1092</v>
      </c>
      <c r="C148" t="s" s="1188">
        <v>1117</v>
      </c>
      <c r="D148" s="1192">
        <v>14</v>
      </c>
      <c r="E148" s="1190">
        <v>1000</v>
      </c>
      <c r="F148" s="1191">
        <f>D148/E148</f>
        <v>0.014</v>
      </c>
      <c r="G148" s="1195"/>
      <c r="H148" s="1196"/>
      <c r="I148" s="1191">
        <f>F148</f>
        <v>0.014</v>
      </c>
      <c r="J148" s="1192">
        <v>1</v>
      </c>
      <c r="K148" t="s" s="1193">
        <v>1096</v>
      </c>
      <c r="L148" t="s" s="1194">
        <v>1096</v>
      </c>
      <c r="M148" s="1167"/>
      <c r="N148" s="142"/>
      <c r="O148" s="142"/>
      <c r="P148" s="237"/>
      <c r="Q148" s="237"/>
      <c r="R148" s="237"/>
      <c r="S148" s="237"/>
      <c r="T148" s="237"/>
      <c r="U148" s="237"/>
      <c r="V148" s="237"/>
      <c r="W148" s="237"/>
      <c r="X148" s="237"/>
      <c r="Y148" s="237"/>
      <c r="Z148" s="237"/>
    </row>
    <row r="149" ht="12.75" customHeight="1">
      <c r="A149" s="1187">
        <v>2526</v>
      </c>
      <c r="B149" t="s" s="1237">
        <v>1092</v>
      </c>
      <c r="C149" t="s" s="1188">
        <v>1118</v>
      </c>
      <c r="D149" s="1192">
        <v>4.9</v>
      </c>
      <c r="E149" s="1190">
        <v>1000</v>
      </c>
      <c r="F149" s="1191">
        <f>D149/E149</f>
        <v>0.0049</v>
      </c>
      <c r="G149" s="1192">
        <v>0.7</v>
      </c>
      <c r="H149" s="1190">
        <v>50</v>
      </c>
      <c r="I149" s="1191">
        <f>G149/H149</f>
        <v>0.014</v>
      </c>
      <c r="J149" s="1192">
        <v>0.01</v>
      </c>
      <c r="K149" t="s" s="1193">
        <v>1096</v>
      </c>
      <c r="L149" t="s" s="1194">
        <v>1096</v>
      </c>
      <c r="M149" s="1167"/>
      <c r="N149" s="142"/>
      <c r="O149" s="142"/>
      <c r="P149" s="237"/>
      <c r="Q149" s="237"/>
      <c r="R149" s="237"/>
      <c r="S149" s="237"/>
      <c r="T149" s="237"/>
      <c r="U149" s="237"/>
      <c r="V149" s="237"/>
      <c r="W149" s="237"/>
      <c r="X149" s="237"/>
      <c r="Y149" s="237"/>
      <c r="Z149" s="237"/>
    </row>
    <row r="150" ht="12.75" customHeight="1">
      <c r="A150" s="1187">
        <v>2527</v>
      </c>
      <c r="B150" t="s" s="1237">
        <v>1092</v>
      </c>
      <c r="C150" t="s" s="1188">
        <v>1119</v>
      </c>
      <c r="D150" s="1192">
        <v>2.4</v>
      </c>
      <c r="E150" s="1190">
        <v>1000</v>
      </c>
      <c r="F150" s="1191">
        <f>D150/E150</f>
        <v>0.0024</v>
      </c>
      <c r="G150" s="1192">
        <v>0.22</v>
      </c>
      <c r="H150" s="1190">
        <v>50</v>
      </c>
      <c r="I150" s="1191">
        <f>G150/H150</f>
        <v>0.0044</v>
      </c>
      <c r="J150" s="1192">
        <v>0.01</v>
      </c>
      <c r="K150" t="s" s="1193">
        <v>1096</v>
      </c>
      <c r="L150" t="s" s="1194">
        <v>1096</v>
      </c>
      <c r="M150" s="1167"/>
      <c r="N150" s="142"/>
      <c r="O150" s="142"/>
      <c r="P150" s="237"/>
      <c r="Q150" s="237"/>
      <c r="R150" s="237"/>
      <c r="S150" s="237"/>
      <c r="T150" s="237"/>
      <c r="U150" s="237"/>
      <c r="V150" s="237"/>
      <c r="W150" s="237"/>
      <c r="X150" s="237"/>
      <c r="Y150" s="237"/>
      <c r="Z150" s="237"/>
    </row>
    <row r="151" ht="12.75" customHeight="1">
      <c r="A151" s="1187">
        <v>2528</v>
      </c>
      <c r="B151" t="s" s="1237">
        <v>1092</v>
      </c>
      <c r="C151" t="s" s="1188">
        <v>1120</v>
      </c>
      <c r="D151" s="1192">
        <v>250</v>
      </c>
      <c r="E151" s="1190">
        <v>1000</v>
      </c>
      <c r="F151" s="1191">
        <f>D151/E151</f>
        <v>0.25</v>
      </c>
      <c r="G151" s="1192">
        <v>500</v>
      </c>
      <c r="H151" s="1190">
        <v>50</v>
      </c>
      <c r="I151" s="1191">
        <v>10</v>
      </c>
      <c r="J151" s="1192">
        <v>0.05</v>
      </c>
      <c r="K151" t="s" s="1193">
        <v>966</v>
      </c>
      <c r="L151" t="s" s="1194">
        <v>969</v>
      </c>
      <c r="M151" s="1167"/>
      <c r="N151" s="142"/>
      <c r="O151" s="142"/>
      <c r="P151" s="237"/>
      <c r="Q151" s="237"/>
      <c r="R151" s="237"/>
      <c r="S151" s="237"/>
      <c r="T151" s="237"/>
      <c r="U151" s="237"/>
      <c r="V151" s="237"/>
      <c r="W151" s="237"/>
      <c r="X151" s="237"/>
      <c r="Y151" s="237"/>
      <c r="Z151" s="237"/>
    </row>
    <row r="152" ht="12.75" customHeight="1">
      <c r="A152" s="1187">
        <v>2529</v>
      </c>
      <c r="B152" t="s" s="1237">
        <v>1092</v>
      </c>
      <c r="C152" t="s" s="1188">
        <v>1121</v>
      </c>
      <c r="D152" s="1192">
        <v>1000</v>
      </c>
      <c r="E152" s="1190">
        <v>1000</v>
      </c>
      <c r="F152" s="1191">
        <f>D152/E152</f>
        <v>1</v>
      </c>
      <c r="G152" s="1195"/>
      <c r="H152" s="1196"/>
      <c r="I152" s="1191">
        <f>F152</f>
        <v>1</v>
      </c>
      <c r="J152" s="1192">
        <v>0.05</v>
      </c>
      <c r="K152" t="s" s="1193">
        <v>966</v>
      </c>
      <c r="L152" t="s" s="1194">
        <v>969</v>
      </c>
      <c r="M152" s="1167"/>
      <c r="N152" s="142"/>
      <c r="O152" s="142"/>
      <c r="P152" s="237"/>
      <c r="Q152" s="237"/>
      <c r="R152" s="237"/>
      <c r="S152" s="237"/>
      <c r="T152" s="237"/>
      <c r="U152" s="237"/>
      <c r="V152" s="237"/>
      <c r="W152" s="237"/>
      <c r="X152" s="237"/>
      <c r="Y152" s="237"/>
      <c r="Z152" s="237"/>
    </row>
    <row r="153" ht="12.75" customHeight="1">
      <c r="A153" s="1197">
        <v>2530</v>
      </c>
      <c r="B153" t="s" s="1237">
        <v>1092</v>
      </c>
      <c r="C153" t="s" s="1188">
        <v>1122</v>
      </c>
      <c r="D153" s="1192">
        <v>100</v>
      </c>
      <c r="E153" s="1190">
        <v>1000</v>
      </c>
      <c r="F153" s="1191">
        <f>D153/E153</f>
        <v>0.1</v>
      </c>
      <c r="G153" s="1192">
        <v>100</v>
      </c>
      <c r="H153" s="1190">
        <v>50</v>
      </c>
      <c r="I153" s="1191">
        <f>G153/H153</f>
        <v>2</v>
      </c>
      <c r="J153" s="1192">
        <v>0.05</v>
      </c>
      <c r="K153" t="s" s="1193">
        <v>966</v>
      </c>
      <c r="L153" t="s" s="1194">
        <v>969</v>
      </c>
      <c r="M153" s="1167"/>
      <c r="N153" s="142"/>
      <c r="O153" s="142"/>
      <c r="P153" s="237"/>
      <c r="Q153" s="237"/>
      <c r="R153" s="237"/>
      <c r="S153" s="237"/>
      <c r="T153" s="237"/>
      <c r="U153" s="237"/>
      <c r="V153" s="237"/>
      <c r="W153" s="237"/>
      <c r="X153" s="237"/>
      <c r="Y153" s="237"/>
      <c r="Z153" s="237"/>
    </row>
    <row r="154" ht="12.75" customHeight="1">
      <c r="A154" s="1187">
        <v>2531</v>
      </c>
      <c r="B154" t="s" s="1237">
        <v>1092</v>
      </c>
      <c r="C154" t="s" s="1188">
        <v>1123</v>
      </c>
      <c r="D154" s="1192">
        <v>90</v>
      </c>
      <c r="E154" s="1190">
        <v>1000</v>
      </c>
      <c r="F154" s="1191">
        <f>D154/E154</f>
        <v>0.09</v>
      </c>
      <c r="G154" s="1192">
        <v>0.78</v>
      </c>
      <c r="H154" s="1190">
        <v>50</v>
      </c>
      <c r="I154" s="1191">
        <f>G154/H154</f>
        <v>0.0156</v>
      </c>
      <c r="J154" s="1192">
        <v>0.05</v>
      </c>
      <c r="K154" t="s" s="1193">
        <v>966</v>
      </c>
      <c r="L154" t="s" s="1194">
        <v>969</v>
      </c>
      <c r="M154" s="1167"/>
      <c r="N154" s="142"/>
      <c r="O154" s="142"/>
      <c r="P154" s="237"/>
      <c r="Q154" s="237"/>
      <c r="R154" s="237"/>
      <c r="S154" s="237"/>
      <c r="T154" s="237"/>
      <c r="U154" s="237"/>
      <c r="V154" s="237"/>
      <c r="W154" s="237"/>
      <c r="X154" s="237"/>
      <c r="Y154" s="237"/>
      <c r="Z154" s="237"/>
    </row>
    <row r="155" ht="12.75" customHeight="1">
      <c r="A155" s="1187">
        <v>2532</v>
      </c>
      <c r="B155" t="s" s="1237">
        <v>1092</v>
      </c>
      <c r="C155" t="s" s="1188">
        <v>1124</v>
      </c>
      <c r="D155" s="1192">
        <v>1000</v>
      </c>
      <c r="E155" s="1190">
        <v>1000</v>
      </c>
      <c r="F155" s="1191">
        <f>D155/E155</f>
        <v>1</v>
      </c>
      <c r="G155" s="1195"/>
      <c r="H155" s="1196"/>
      <c r="I155" s="1191">
        <f>F155</f>
        <v>1</v>
      </c>
      <c r="J155" s="1192">
        <v>0.5</v>
      </c>
      <c r="K155" t="s" s="1193">
        <v>985</v>
      </c>
      <c r="L155" t="s" s="1194">
        <v>257</v>
      </c>
      <c r="M155" s="1167"/>
      <c r="N155" s="142"/>
      <c r="O155" s="142"/>
      <c r="P155" s="237"/>
      <c r="Q155" s="237"/>
      <c r="R155" s="237"/>
      <c r="S155" s="237"/>
      <c r="T155" s="237"/>
      <c r="U155" s="237"/>
      <c r="V155" s="237"/>
      <c r="W155" s="237"/>
      <c r="X155" s="237"/>
      <c r="Y155" s="237"/>
      <c r="Z155" s="237"/>
    </row>
    <row r="156" ht="12.75" customHeight="1">
      <c r="A156" s="1187">
        <v>2533</v>
      </c>
      <c r="B156" t="s" s="1237">
        <v>1092</v>
      </c>
      <c r="C156" t="s" s="1188">
        <v>1125</v>
      </c>
      <c r="D156" s="1192">
        <v>250</v>
      </c>
      <c r="E156" s="1190">
        <v>5000</v>
      </c>
      <c r="F156" s="1191">
        <f>D156/E156</f>
        <v>0.05</v>
      </c>
      <c r="G156" s="1195"/>
      <c r="H156" s="1196"/>
      <c r="I156" s="1191">
        <f>F156</f>
        <v>0.05</v>
      </c>
      <c r="J156" s="1192">
        <v>0.5</v>
      </c>
      <c r="K156" t="s" s="1193">
        <v>985</v>
      </c>
      <c r="L156" t="s" s="1194">
        <v>257</v>
      </c>
      <c r="M156" s="1167"/>
      <c r="N156" s="142"/>
      <c r="O156" s="142"/>
      <c r="P156" s="237"/>
      <c r="Q156" s="237"/>
      <c r="R156" s="237"/>
      <c r="S156" s="237"/>
      <c r="T156" s="237"/>
      <c r="U156" s="237"/>
      <c r="V156" s="237"/>
      <c r="W156" s="237"/>
      <c r="X156" s="237"/>
      <c r="Y156" s="237"/>
      <c r="Z156" s="237"/>
    </row>
    <row r="157" ht="12.75" customHeight="1">
      <c r="A157" s="1187">
        <v>2534</v>
      </c>
      <c r="B157" t="s" s="1237">
        <v>1092</v>
      </c>
      <c r="C157" t="s" s="1188">
        <v>1126</v>
      </c>
      <c r="D157" s="1195"/>
      <c r="E157" s="1196"/>
      <c r="F157" s="1191">
        <v>10</v>
      </c>
      <c r="G157" s="1195"/>
      <c r="H157" s="1196"/>
      <c r="I157" s="1191">
        <v>10</v>
      </c>
      <c r="J157" s="1192">
        <v>0.05</v>
      </c>
      <c r="K157" t="s" s="1193">
        <v>1096</v>
      </c>
      <c r="L157" t="s" s="1194">
        <v>1096</v>
      </c>
      <c r="M157" s="1167"/>
      <c r="N157" s="142"/>
      <c r="O157" s="142"/>
      <c r="P157" s="237"/>
      <c r="Q157" s="237"/>
      <c r="R157" s="237"/>
      <c r="S157" s="237"/>
      <c r="T157" s="237"/>
      <c r="U157" s="237"/>
      <c r="V157" s="237"/>
      <c r="W157" s="237"/>
      <c r="X157" s="237"/>
      <c r="Y157" s="237"/>
      <c r="Z157" s="237"/>
    </row>
    <row r="158" ht="12.75" customHeight="1">
      <c r="A158" s="1187">
        <v>2535</v>
      </c>
      <c r="B158" t="s" s="1237">
        <v>1092</v>
      </c>
      <c r="C158" t="s" s="1188">
        <v>1127</v>
      </c>
      <c r="D158" s="1195"/>
      <c r="E158" s="1196"/>
      <c r="F158" s="1191">
        <v>10</v>
      </c>
      <c r="G158" s="1195"/>
      <c r="H158" s="1196"/>
      <c r="I158" s="1191">
        <v>10</v>
      </c>
      <c r="J158" s="1192">
        <v>1</v>
      </c>
      <c r="K158" t="s" s="1193">
        <v>1096</v>
      </c>
      <c r="L158" t="s" s="1194">
        <v>1096</v>
      </c>
      <c r="M158" s="1167"/>
      <c r="N158" s="142"/>
      <c r="O158" s="142"/>
      <c r="P158" s="237"/>
      <c r="Q158" s="237"/>
      <c r="R158" s="237"/>
      <c r="S158" s="237"/>
      <c r="T158" s="237"/>
      <c r="U158" s="237"/>
      <c r="V158" s="237"/>
      <c r="W158" s="237"/>
      <c r="X158" s="237"/>
      <c r="Y158" s="237"/>
      <c r="Z158" s="237"/>
    </row>
    <row r="159" ht="12.75" customHeight="1">
      <c r="A159" s="1187">
        <v>2536</v>
      </c>
      <c r="B159" t="s" s="1237">
        <v>1092</v>
      </c>
      <c r="C159" t="s" s="1188">
        <v>1128</v>
      </c>
      <c r="D159" s="1192">
        <v>9100</v>
      </c>
      <c r="E159" s="1190">
        <v>5000</v>
      </c>
      <c r="F159" s="1191">
        <f>D159/E159</f>
        <v>1.82</v>
      </c>
      <c r="G159" s="1195"/>
      <c r="H159" s="1196"/>
      <c r="I159" s="1191">
        <f>F159</f>
        <v>1.82</v>
      </c>
      <c r="J159" s="1192">
        <v>0.5</v>
      </c>
      <c r="K159" t="s" s="1193">
        <v>985</v>
      </c>
      <c r="L159" t="s" s="1194">
        <v>971</v>
      </c>
      <c r="M159" s="1167"/>
      <c r="N159" s="142"/>
      <c r="O159" s="142"/>
      <c r="P159" s="237"/>
      <c r="Q159" s="237"/>
      <c r="R159" s="237"/>
      <c r="S159" s="237"/>
      <c r="T159" s="237"/>
      <c r="U159" s="237"/>
      <c r="V159" s="237"/>
      <c r="W159" s="237"/>
      <c r="X159" s="237"/>
      <c r="Y159" s="237"/>
      <c r="Z159" s="237"/>
    </row>
    <row r="160" ht="12.75" customHeight="1">
      <c r="A160" s="1187">
        <v>2537</v>
      </c>
      <c r="B160" t="s" s="1237">
        <v>1092</v>
      </c>
      <c r="C160" t="s" s="1188">
        <v>1129</v>
      </c>
      <c r="D160" s="1195"/>
      <c r="E160" s="1196"/>
      <c r="F160" s="1191">
        <v>10</v>
      </c>
      <c r="G160" s="1195"/>
      <c r="H160" s="1196"/>
      <c r="I160" s="1191">
        <v>10</v>
      </c>
      <c r="J160" s="1192">
        <v>1</v>
      </c>
      <c r="K160" t="s" s="1193">
        <v>1096</v>
      </c>
      <c r="L160" t="s" s="1194">
        <v>1096</v>
      </c>
      <c r="M160" s="1167"/>
      <c r="N160" s="142"/>
      <c r="O160" s="142"/>
      <c r="P160" s="237"/>
      <c r="Q160" s="237"/>
      <c r="R160" s="237"/>
      <c r="S160" s="237"/>
      <c r="T160" s="237"/>
      <c r="U160" s="237"/>
      <c r="V160" s="237"/>
      <c r="W160" s="237"/>
      <c r="X160" s="237"/>
      <c r="Y160" s="237"/>
      <c r="Z160" s="237"/>
    </row>
    <row r="161" ht="12.75" customHeight="1">
      <c r="A161" s="1187">
        <v>2538</v>
      </c>
      <c r="B161" t="s" s="1237">
        <v>1092</v>
      </c>
      <c r="C161" t="s" s="1188">
        <v>1130</v>
      </c>
      <c r="D161" s="1192">
        <v>1000</v>
      </c>
      <c r="E161" s="1190">
        <v>10000</v>
      </c>
      <c r="F161" s="1191">
        <f>D161/E161</f>
        <v>0.1</v>
      </c>
      <c r="G161" s="1195"/>
      <c r="H161" s="1196"/>
      <c r="I161" s="1191">
        <f>F161</f>
        <v>0.1</v>
      </c>
      <c r="J161" s="1192">
        <v>1</v>
      </c>
      <c r="K161" t="s" s="1193">
        <v>1074</v>
      </c>
      <c r="L161" t="s" s="1194">
        <v>257</v>
      </c>
      <c r="M161" s="1167"/>
      <c r="N161" s="142"/>
      <c r="O161" s="142"/>
      <c r="P161" s="237"/>
      <c r="Q161" s="237"/>
      <c r="R161" s="237"/>
      <c r="S161" s="237"/>
      <c r="T161" s="237"/>
      <c r="U161" s="237"/>
      <c r="V161" s="237"/>
      <c r="W161" s="237"/>
      <c r="X161" s="237"/>
      <c r="Y161" s="237"/>
      <c r="Z161" s="237"/>
    </row>
    <row r="162" ht="12.75" customHeight="1">
      <c r="A162" s="1187">
        <v>2539</v>
      </c>
      <c r="B162" t="s" s="1237">
        <v>1092</v>
      </c>
      <c r="C162" t="s" s="1188">
        <v>1131</v>
      </c>
      <c r="D162" s="1192">
        <v>1000</v>
      </c>
      <c r="E162" s="1190">
        <v>10000</v>
      </c>
      <c r="F162" s="1191">
        <f>D162/E162</f>
        <v>0.1</v>
      </c>
      <c r="G162" s="1195"/>
      <c r="H162" s="1196"/>
      <c r="I162" s="1191">
        <f>F162</f>
        <v>0.1</v>
      </c>
      <c r="J162" s="1192">
        <v>0.05</v>
      </c>
      <c r="K162" t="s" s="1193">
        <v>966</v>
      </c>
      <c r="L162" t="s" s="1194">
        <v>969</v>
      </c>
      <c r="M162" s="1167"/>
      <c r="N162" s="142"/>
      <c r="O162" s="142"/>
      <c r="P162" s="237"/>
      <c r="Q162" s="237"/>
      <c r="R162" s="237"/>
      <c r="S162" s="237"/>
      <c r="T162" s="237"/>
      <c r="U162" s="237"/>
      <c r="V162" s="237"/>
      <c r="W162" s="237"/>
      <c r="X162" s="237"/>
      <c r="Y162" s="237"/>
      <c r="Z162" s="237"/>
    </row>
    <row r="163" ht="12.75" customHeight="1">
      <c r="A163" s="1187">
        <v>2540</v>
      </c>
      <c r="B163" t="s" s="1237">
        <v>1092</v>
      </c>
      <c r="C163" t="s" s="1188">
        <v>1132</v>
      </c>
      <c r="D163" s="1192">
        <v>450</v>
      </c>
      <c r="E163" s="1190">
        <v>1000</v>
      </c>
      <c r="F163" s="1191">
        <f>D163/E163</f>
        <v>0.45</v>
      </c>
      <c r="G163" s="1195"/>
      <c r="H163" s="1196"/>
      <c r="I163" s="1191">
        <f>F163</f>
        <v>0.45</v>
      </c>
      <c r="J163" s="1192">
        <v>0.05</v>
      </c>
      <c r="K163" t="s" s="1193">
        <v>966</v>
      </c>
      <c r="L163" t="s" s="1194">
        <v>971</v>
      </c>
      <c r="M163" s="1167"/>
      <c r="N163" s="142"/>
      <c r="O163" s="142"/>
      <c r="P163" s="237"/>
      <c r="Q163" s="237"/>
      <c r="R163" s="237"/>
      <c r="S163" s="237"/>
      <c r="T163" s="237"/>
      <c r="U163" s="237"/>
      <c r="V163" s="237"/>
      <c r="W163" s="237"/>
      <c r="X163" s="237"/>
      <c r="Y163" s="237"/>
      <c r="Z163" s="237"/>
    </row>
    <row r="164" ht="12.75" customHeight="1">
      <c r="A164" s="1187">
        <v>2541</v>
      </c>
      <c r="B164" t="s" s="1237">
        <v>1092</v>
      </c>
      <c r="C164" t="s" s="1188">
        <v>1133</v>
      </c>
      <c r="D164" s="1192">
        <v>230</v>
      </c>
      <c r="E164" s="1190">
        <v>1000</v>
      </c>
      <c r="F164" s="1191">
        <f>D164/E164</f>
        <v>0.23</v>
      </c>
      <c r="G164" s="1192">
        <v>31</v>
      </c>
      <c r="H164" s="1190">
        <v>100</v>
      </c>
      <c r="I164" s="1191">
        <f>G164/H164</f>
        <v>0.31</v>
      </c>
      <c r="J164" s="1192">
        <v>0.15</v>
      </c>
      <c r="K164" t="s" s="1193">
        <v>966</v>
      </c>
      <c r="L164" t="s" s="1194">
        <v>257</v>
      </c>
      <c r="M164" s="1167"/>
      <c r="N164" s="142"/>
      <c r="O164" s="142"/>
      <c r="P164" s="237"/>
      <c r="Q164" s="237"/>
      <c r="R164" s="237"/>
      <c r="S164" s="237"/>
      <c r="T164" s="237"/>
      <c r="U164" s="237"/>
      <c r="V164" s="237"/>
      <c r="W164" s="237"/>
      <c r="X164" s="237"/>
      <c r="Y164" s="237"/>
      <c r="Z164" s="237"/>
    </row>
    <row r="165" ht="12.75" customHeight="1">
      <c r="A165" s="1187">
        <v>2542</v>
      </c>
      <c r="B165" t="s" s="1237">
        <v>1092</v>
      </c>
      <c r="C165" t="s" s="1188">
        <v>1134</v>
      </c>
      <c r="D165" s="1195"/>
      <c r="E165" s="1196"/>
      <c r="F165" s="1191">
        <v>10</v>
      </c>
      <c r="G165" s="1195"/>
      <c r="H165" s="1196"/>
      <c r="I165" s="1191">
        <v>10</v>
      </c>
      <c r="J165" s="1192">
        <v>0.05</v>
      </c>
      <c r="K165" t="s" s="1193">
        <v>1096</v>
      </c>
      <c r="L165" t="s" s="1194">
        <v>1096</v>
      </c>
      <c r="M165" s="1167"/>
      <c r="N165" s="142"/>
      <c r="O165" s="142"/>
      <c r="P165" s="237"/>
      <c r="Q165" s="237"/>
      <c r="R165" s="237"/>
      <c r="S165" s="237"/>
      <c r="T165" s="237"/>
      <c r="U165" s="237"/>
      <c r="V165" s="237"/>
      <c r="W165" s="237"/>
      <c r="X165" s="237"/>
      <c r="Y165" s="237"/>
      <c r="Z165" s="237"/>
    </row>
    <row r="166" ht="12.75" customHeight="1">
      <c r="A166" s="1187">
        <v>2543</v>
      </c>
      <c r="B166" t="s" s="1237">
        <v>1092</v>
      </c>
      <c r="C166" t="s" s="1188">
        <v>1135</v>
      </c>
      <c r="D166" s="1192">
        <v>28</v>
      </c>
      <c r="E166" s="1190">
        <v>1000</v>
      </c>
      <c r="F166" s="1191">
        <f>D166/E166</f>
        <v>0.028</v>
      </c>
      <c r="G166" s="1192">
        <v>0.05</v>
      </c>
      <c r="H166" s="1190">
        <v>10</v>
      </c>
      <c r="I166" s="1191">
        <f>G166/H166</f>
        <v>0.005</v>
      </c>
      <c r="J166" s="1192">
        <v>0.05</v>
      </c>
      <c r="K166" t="s" s="1193">
        <v>1096</v>
      </c>
      <c r="L166" t="s" s="1194">
        <v>1096</v>
      </c>
      <c r="M166" s="1167"/>
      <c r="N166" s="142"/>
      <c r="O166" s="142"/>
      <c r="P166" s="237"/>
      <c r="Q166" s="237"/>
      <c r="R166" s="237"/>
      <c r="S166" s="237"/>
      <c r="T166" s="237"/>
      <c r="U166" s="237"/>
      <c r="V166" s="237"/>
      <c r="W166" s="237"/>
      <c r="X166" s="237"/>
      <c r="Y166" s="237"/>
      <c r="Z166" s="237"/>
    </row>
    <row r="167" ht="12.75" customHeight="1">
      <c r="A167" s="1197">
        <v>2544</v>
      </c>
      <c r="B167" t="s" s="1237">
        <v>1092</v>
      </c>
      <c r="C167" t="s" s="1188">
        <v>1136</v>
      </c>
      <c r="D167" s="1192">
        <v>25</v>
      </c>
      <c r="E167" s="1190">
        <v>5000</v>
      </c>
      <c r="F167" s="1191">
        <f>D167/E167</f>
        <v>0.005</v>
      </c>
      <c r="G167" s="1195"/>
      <c r="H167" s="1196"/>
      <c r="I167" s="1191">
        <f>F167</f>
        <v>0.005</v>
      </c>
      <c r="J167" s="1192">
        <v>0.05</v>
      </c>
      <c r="K167" t="s" s="1193">
        <v>966</v>
      </c>
      <c r="L167" t="s" s="1194">
        <v>969</v>
      </c>
      <c r="M167" s="1167"/>
      <c r="N167" s="142"/>
      <c r="O167" s="142"/>
      <c r="P167" s="237"/>
      <c r="Q167" s="237"/>
      <c r="R167" s="237"/>
      <c r="S167" s="237"/>
      <c r="T167" s="237"/>
      <c r="U167" s="237"/>
      <c r="V167" s="237"/>
      <c r="W167" s="237"/>
      <c r="X167" s="237"/>
      <c r="Y167" s="237"/>
      <c r="Z167" s="237"/>
    </row>
    <row r="168" ht="12.75" customHeight="1">
      <c r="A168" s="1187">
        <v>2545</v>
      </c>
      <c r="B168" t="s" s="1237">
        <v>1092</v>
      </c>
      <c r="C168" t="s" s="1188">
        <v>1137</v>
      </c>
      <c r="D168" s="1192">
        <v>113</v>
      </c>
      <c r="E168" s="1190">
        <v>5000</v>
      </c>
      <c r="F168" s="1240">
        <f>D168/E168</f>
        <v>0.0226</v>
      </c>
      <c r="G168" s="1195"/>
      <c r="H168" s="1196"/>
      <c r="I168" s="1240">
        <f>F168</f>
        <v>0.0226</v>
      </c>
      <c r="J168" s="1192">
        <v>0.05</v>
      </c>
      <c r="K168" t="s" s="1193">
        <v>966</v>
      </c>
      <c r="L168" t="s" s="1194">
        <v>971</v>
      </c>
      <c r="M168" s="1167"/>
      <c r="N168" s="142"/>
      <c r="O168" s="142"/>
      <c r="P168" s="237"/>
      <c r="Q168" s="237"/>
      <c r="R168" s="237"/>
      <c r="S168" s="237"/>
      <c r="T168" s="237"/>
      <c r="U168" s="237"/>
      <c r="V168" s="237"/>
      <c r="W168" s="237"/>
      <c r="X168" s="237"/>
      <c r="Y168" s="237"/>
      <c r="Z168" s="237"/>
    </row>
    <row r="169" ht="12.75" customHeight="1">
      <c r="A169" s="1187">
        <v>2546</v>
      </c>
      <c r="B169" t="s" s="1237">
        <v>1092</v>
      </c>
      <c r="C169" t="s" s="1188">
        <v>1138</v>
      </c>
      <c r="D169" s="1192">
        <v>0.17</v>
      </c>
      <c r="E169" s="1190">
        <v>1000</v>
      </c>
      <c r="F169" s="1191">
        <f>D169/E169</f>
        <v>0.00017</v>
      </c>
      <c r="G169" s="1192">
        <v>0.006</v>
      </c>
      <c r="H169" s="1190">
        <v>50</v>
      </c>
      <c r="I169" s="1191">
        <f>G169/H169</f>
        <v>0.00012</v>
      </c>
      <c r="J169" s="1192">
        <v>0.01</v>
      </c>
      <c r="K169" t="s" s="1193">
        <v>966</v>
      </c>
      <c r="L169" t="s" s="1194">
        <v>969</v>
      </c>
      <c r="M169" s="1167"/>
      <c r="N169" s="142"/>
      <c r="O169" s="142"/>
      <c r="P169" s="237"/>
      <c r="Q169" s="237"/>
      <c r="R169" s="237"/>
      <c r="S169" s="237"/>
      <c r="T169" s="237"/>
      <c r="U169" s="237"/>
      <c r="V169" s="237"/>
      <c r="W169" s="237"/>
      <c r="X169" s="237"/>
      <c r="Y169" s="237"/>
      <c r="Z169" s="237"/>
    </row>
    <row r="170" ht="12.75" customHeight="1">
      <c r="A170" s="1187">
        <v>2547</v>
      </c>
      <c r="B170" t="s" s="1237">
        <v>1092</v>
      </c>
      <c r="C170" t="s" s="1188">
        <v>1139</v>
      </c>
      <c r="D170" s="1192">
        <v>18</v>
      </c>
      <c r="E170" s="1190">
        <v>1000</v>
      </c>
      <c r="F170" s="1191">
        <f>D170/E170</f>
        <v>0.018</v>
      </c>
      <c r="G170" s="1195"/>
      <c r="H170" s="1196"/>
      <c r="I170" s="1191">
        <f>F170</f>
        <v>0.018</v>
      </c>
      <c r="J170" s="1192">
        <v>0.01</v>
      </c>
      <c r="K170" t="s" s="1193">
        <v>966</v>
      </c>
      <c r="L170" t="s" s="1194">
        <v>969</v>
      </c>
      <c r="M170" s="1167"/>
      <c r="N170" s="142"/>
      <c r="O170" s="142"/>
      <c r="P170" s="237"/>
      <c r="Q170" s="237"/>
      <c r="R170" s="237"/>
      <c r="S170" s="237"/>
      <c r="T170" s="237"/>
      <c r="U170" s="237"/>
      <c r="V170" s="237"/>
      <c r="W170" s="237"/>
      <c r="X170" s="237"/>
      <c r="Y170" s="237"/>
      <c r="Z170" s="237"/>
    </row>
    <row r="171" ht="12.75" customHeight="1">
      <c r="A171" s="1187">
        <v>2548</v>
      </c>
      <c r="B171" t="s" s="1237">
        <v>1092</v>
      </c>
      <c r="C171" t="s" s="1188">
        <v>1140</v>
      </c>
      <c r="D171" s="1192">
        <v>1972</v>
      </c>
      <c r="E171" s="1190">
        <v>1000</v>
      </c>
      <c r="F171" s="1191">
        <f>D171/E171</f>
        <v>1.972</v>
      </c>
      <c r="G171" s="1195"/>
      <c r="H171" s="1196"/>
      <c r="I171" s="1240">
        <f>F171</f>
        <v>1.972</v>
      </c>
      <c r="J171" s="1192">
        <v>0.05</v>
      </c>
      <c r="K171" t="s" s="1193">
        <v>966</v>
      </c>
      <c r="L171" t="s" s="1194">
        <v>971</v>
      </c>
      <c r="M171" s="1167"/>
      <c r="N171" s="142"/>
      <c r="O171" s="142"/>
      <c r="P171" s="237"/>
      <c r="Q171" s="237"/>
      <c r="R171" s="237"/>
      <c r="S171" s="237"/>
      <c r="T171" s="237"/>
      <c r="U171" s="237"/>
      <c r="V171" s="237"/>
      <c r="W171" s="237"/>
      <c r="X171" s="237"/>
      <c r="Y171" s="237"/>
      <c r="Z171" s="237"/>
    </row>
    <row r="172" ht="12.75" customHeight="1">
      <c r="A172" s="1187">
        <v>2549</v>
      </c>
      <c r="B172" t="s" s="1237">
        <v>1092</v>
      </c>
      <c r="C172" t="s" s="1188">
        <v>1141</v>
      </c>
      <c r="D172" s="1192">
        <v>2</v>
      </c>
      <c r="E172" s="1190">
        <v>1000</v>
      </c>
      <c r="F172" s="1191">
        <f>D172/E172</f>
        <v>0.002</v>
      </c>
      <c r="G172" s="1195"/>
      <c r="H172" s="1196"/>
      <c r="I172" s="1191">
        <f>F172</f>
        <v>0.002</v>
      </c>
      <c r="J172" s="1192">
        <v>0.5</v>
      </c>
      <c r="K172" t="s" s="1193">
        <v>985</v>
      </c>
      <c r="L172" t="s" s="1194">
        <v>257</v>
      </c>
      <c r="M172" s="1167"/>
      <c r="N172" s="142"/>
      <c r="O172" s="142"/>
      <c r="P172" s="237"/>
      <c r="Q172" s="237"/>
      <c r="R172" s="237"/>
      <c r="S172" s="237"/>
      <c r="T172" s="237"/>
      <c r="U172" s="237"/>
      <c r="V172" s="237"/>
      <c r="W172" s="237"/>
      <c r="X172" s="237"/>
      <c r="Y172" s="237"/>
      <c r="Z172" s="237"/>
    </row>
    <row r="173" ht="12.75" customHeight="1">
      <c r="A173" s="1187">
        <v>2550</v>
      </c>
      <c r="B173" t="s" s="1237">
        <v>1092</v>
      </c>
      <c r="C173" t="s" s="1188">
        <v>1142</v>
      </c>
      <c r="D173" s="1192">
        <v>10</v>
      </c>
      <c r="E173" s="1190">
        <v>1000</v>
      </c>
      <c r="F173" s="1191">
        <f>D173/E173</f>
        <v>0.01</v>
      </c>
      <c r="G173" s="1195"/>
      <c r="H173" s="1196"/>
      <c r="I173" s="1191">
        <f>F173</f>
        <v>0.01</v>
      </c>
      <c r="J173" s="1192">
        <v>1</v>
      </c>
      <c r="K173" t="s" s="1193">
        <v>1074</v>
      </c>
      <c r="L173" t="s" s="1194">
        <v>257</v>
      </c>
      <c r="M173" s="1167"/>
      <c r="N173" s="142"/>
      <c r="O173" s="142"/>
      <c r="P173" s="237"/>
      <c r="Q173" s="237"/>
      <c r="R173" s="237"/>
      <c r="S173" s="237"/>
      <c r="T173" s="237"/>
      <c r="U173" s="237"/>
      <c r="V173" s="237"/>
      <c r="W173" s="237"/>
      <c r="X173" s="237"/>
      <c r="Y173" s="237"/>
      <c r="Z173" s="237"/>
    </row>
    <row r="174" ht="12.75" customHeight="1">
      <c r="A174" s="1187">
        <v>2551</v>
      </c>
      <c r="B174" t="s" s="1237">
        <v>1092</v>
      </c>
      <c r="C174" t="s" s="1188">
        <v>1143</v>
      </c>
      <c r="D174" s="1192">
        <v>100</v>
      </c>
      <c r="E174" s="1190">
        <v>1000</v>
      </c>
      <c r="F174" s="1191">
        <f>D174/E174</f>
        <v>0.1</v>
      </c>
      <c r="G174" s="1195"/>
      <c r="H174" s="1196"/>
      <c r="I174" s="1191">
        <f>F174</f>
        <v>0.1</v>
      </c>
      <c r="J174" s="1192">
        <v>0.05</v>
      </c>
      <c r="K174" t="s" s="1193">
        <v>966</v>
      </c>
      <c r="L174" t="s" s="1194">
        <v>969</v>
      </c>
      <c r="M174" s="1167"/>
      <c r="N174" s="142"/>
      <c r="O174" s="142"/>
      <c r="P174" s="237"/>
      <c r="Q174" s="237"/>
      <c r="R174" s="237"/>
      <c r="S174" s="237"/>
      <c r="T174" s="237"/>
      <c r="U174" s="237"/>
      <c r="V174" s="237"/>
      <c r="W174" s="237"/>
      <c r="X174" s="237"/>
      <c r="Y174" s="237"/>
      <c r="Z174" s="237"/>
    </row>
    <row r="175" ht="12.75" customHeight="1">
      <c r="A175" s="1187">
        <v>2552</v>
      </c>
      <c r="B175" t="s" s="1237">
        <v>1092</v>
      </c>
      <c r="C175" t="s" s="1188">
        <v>1144</v>
      </c>
      <c r="D175" s="1192">
        <v>655</v>
      </c>
      <c r="E175" s="1190">
        <v>1000</v>
      </c>
      <c r="F175" s="1191">
        <f>D175/E175</f>
        <v>0.655</v>
      </c>
      <c r="G175" s="1195"/>
      <c r="H175" s="1196"/>
      <c r="I175" s="1191">
        <f>F175</f>
        <v>0.655</v>
      </c>
      <c r="J175" s="1192">
        <v>1</v>
      </c>
      <c r="K175" t="s" s="1193">
        <v>1074</v>
      </c>
      <c r="L175" t="s" s="1194">
        <v>971</v>
      </c>
      <c r="M175" s="1167"/>
      <c r="N175" s="142"/>
      <c r="O175" s="142"/>
      <c r="P175" s="237"/>
      <c r="Q175" s="237"/>
      <c r="R175" s="237"/>
      <c r="S175" s="237"/>
      <c r="T175" s="237"/>
      <c r="U175" s="237"/>
      <c r="V175" s="237"/>
      <c r="W175" s="237"/>
      <c r="X175" s="237"/>
      <c r="Y175" s="237"/>
      <c r="Z175" s="237"/>
    </row>
    <row r="176" ht="12.75" customHeight="1">
      <c r="A176" s="1187">
        <v>2553</v>
      </c>
      <c r="B176" t="s" s="1237">
        <v>1092</v>
      </c>
      <c r="C176" t="s" s="1188">
        <v>1145</v>
      </c>
      <c r="D176" s="1192">
        <v>530</v>
      </c>
      <c r="E176" s="1190">
        <v>1000</v>
      </c>
      <c r="F176" s="1191">
        <f>D176/E176</f>
        <v>0.53</v>
      </c>
      <c r="G176" s="1195"/>
      <c r="H176" s="1196"/>
      <c r="I176" s="1191">
        <f>F176</f>
        <v>0.53</v>
      </c>
      <c r="J176" s="1192">
        <v>1</v>
      </c>
      <c r="K176" t="s" s="1193">
        <v>1074</v>
      </c>
      <c r="L176" t="s" s="1194">
        <v>257</v>
      </c>
      <c r="M176" s="1167"/>
      <c r="N176" s="142"/>
      <c r="O176" s="142"/>
      <c r="P176" s="237"/>
      <c r="Q176" s="237"/>
      <c r="R176" s="237"/>
      <c r="S176" s="237"/>
      <c r="T176" s="237"/>
      <c r="U176" s="237"/>
      <c r="V176" s="237"/>
      <c r="W176" s="237"/>
      <c r="X176" s="237"/>
      <c r="Y176" s="237"/>
      <c r="Z176" s="237"/>
    </row>
    <row r="177" ht="12.75" customHeight="1">
      <c r="A177" s="1187">
        <v>2554</v>
      </c>
      <c r="B177" t="s" s="1237">
        <v>1092</v>
      </c>
      <c r="C177" t="s" s="1188">
        <v>1146</v>
      </c>
      <c r="D177" s="1192">
        <v>0.2</v>
      </c>
      <c r="E177" s="1190">
        <v>1000</v>
      </c>
      <c r="F177" s="1191">
        <f>D177/E177</f>
        <v>0.0002</v>
      </c>
      <c r="G177" s="1192">
        <v>0.16</v>
      </c>
      <c r="H177" s="1190">
        <v>100</v>
      </c>
      <c r="I177" s="1191">
        <f>G177/H177</f>
        <v>0.0016</v>
      </c>
      <c r="J177" s="1192">
        <v>1</v>
      </c>
      <c r="K177" t="s" s="1193">
        <v>1074</v>
      </c>
      <c r="L177" t="s" s="1194">
        <v>257</v>
      </c>
      <c r="M177" s="1167"/>
      <c r="N177" s="142"/>
      <c r="O177" s="142"/>
      <c r="P177" s="237"/>
      <c r="Q177" s="237"/>
      <c r="R177" s="237"/>
      <c r="S177" s="237"/>
      <c r="T177" s="237"/>
      <c r="U177" s="237"/>
      <c r="V177" s="237"/>
      <c r="W177" s="237"/>
      <c r="X177" s="237"/>
      <c r="Y177" s="237"/>
      <c r="Z177" s="237"/>
    </row>
    <row r="178" ht="12.75" customHeight="1">
      <c r="A178" s="1187">
        <v>2555</v>
      </c>
      <c r="B178" t="s" s="1237">
        <v>1092</v>
      </c>
      <c r="C178" t="s" s="1188">
        <v>1147</v>
      </c>
      <c r="D178" s="1192">
        <v>81</v>
      </c>
      <c r="E178" s="1190">
        <v>1000</v>
      </c>
      <c r="F178" s="1191">
        <f>D178/E178</f>
        <v>0.081</v>
      </c>
      <c r="G178" s="1192">
        <v>11.7</v>
      </c>
      <c r="H178" s="1190">
        <v>50</v>
      </c>
      <c r="I178" s="1191">
        <v>0.234</v>
      </c>
      <c r="J178" s="1192">
        <v>0.05</v>
      </c>
      <c r="K178" t="s" s="1193">
        <v>966</v>
      </c>
      <c r="L178" t="s" s="1194">
        <v>257</v>
      </c>
      <c r="M178" s="1167"/>
      <c r="N178" s="142"/>
      <c r="O178" s="142"/>
      <c r="P178" s="237"/>
      <c r="Q178" s="237"/>
      <c r="R178" s="237"/>
      <c r="S178" s="237"/>
      <c r="T178" s="237"/>
      <c r="U178" s="237"/>
      <c r="V178" s="237"/>
      <c r="W178" s="237"/>
      <c r="X178" s="237"/>
      <c r="Y178" s="237"/>
      <c r="Z178" s="237"/>
    </row>
    <row r="179" ht="12.75" customHeight="1">
      <c r="A179" s="1187">
        <v>2556</v>
      </c>
      <c r="B179" t="s" s="1237">
        <v>1092</v>
      </c>
      <c r="C179" t="s" s="1188">
        <v>1148</v>
      </c>
      <c r="D179" s="1192">
        <v>100</v>
      </c>
      <c r="E179" s="1190">
        <v>1000</v>
      </c>
      <c r="F179" s="1191">
        <v>0.1</v>
      </c>
      <c r="G179" s="1192">
        <v>5.5</v>
      </c>
      <c r="H179" s="1190">
        <v>50</v>
      </c>
      <c r="I179" s="1191">
        <v>0.11</v>
      </c>
      <c r="J179" s="1192">
        <v>0.5</v>
      </c>
      <c r="K179" t="s" s="1193">
        <v>985</v>
      </c>
      <c r="L179" t="s" s="1194">
        <v>257</v>
      </c>
      <c r="M179" s="1167"/>
      <c r="N179" s="142"/>
      <c r="O179" s="142"/>
      <c r="P179" s="237"/>
      <c r="Q179" s="237"/>
      <c r="R179" s="237"/>
      <c r="S179" s="237"/>
      <c r="T179" s="237"/>
      <c r="U179" s="237"/>
      <c r="V179" s="237"/>
      <c r="W179" s="237"/>
      <c r="X179" s="237"/>
      <c r="Y179" s="237"/>
      <c r="Z179" s="237"/>
    </row>
    <row r="180" ht="12.75" customHeight="1">
      <c r="A180" s="1187">
        <v>2557</v>
      </c>
      <c r="B180" t="s" s="1237">
        <v>1092</v>
      </c>
      <c r="C180" t="s" s="1188">
        <v>1149</v>
      </c>
      <c r="D180" s="1192">
        <v>10</v>
      </c>
      <c r="E180" s="1190">
        <v>1000</v>
      </c>
      <c r="F180" s="1191">
        <f>D180/E180</f>
        <v>0.01</v>
      </c>
      <c r="G180" s="1192">
        <v>1</v>
      </c>
      <c r="H180" s="1190">
        <v>10</v>
      </c>
      <c r="I180" s="1191">
        <f>G180/H180</f>
        <v>0.1</v>
      </c>
      <c r="J180" s="1192">
        <v>1</v>
      </c>
      <c r="K180" t="s" s="1193">
        <v>1074</v>
      </c>
      <c r="L180" t="s" s="1194">
        <v>257</v>
      </c>
      <c r="M180" s="1167"/>
      <c r="N180" s="142"/>
      <c r="O180" s="142"/>
      <c r="P180" s="237"/>
      <c r="Q180" s="237"/>
      <c r="R180" s="237"/>
      <c r="S180" s="237"/>
      <c r="T180" s="237"/>
      <c r="U180" s="237"/>
      <c r="V180" s="237"/>
      <c r="W180" s="237"/>
      <c r="X180" s="237"/>
      <c r="Y180" s="237"/>
      <c r="Z180" s="237"/>
    </row>
    <row r="181" ht="12.75" customHeight="1">
      <c r="A181" s="1187">
        <v>2558</v>
      </c>
      <c r="B181" t="s" s="1237">
        <v>1092</v>
      </c>
      <c r="C181" t="s" s="1188">
        <v>1150</v>
      </c>
      <c r="D181" s="1192">
        <v>4.225</v>
      </c>
      <c r="E181" s="1190">
        <v>1000</v>
      </c>
      <c r="F181" s="1191">
        <f>D181/E181</f>
        <v>0.004225</v>
      </c>
      <c r="G181" s="1192">
        <v>0.11</v>
      </c>
      <c r="H181" s="1190">
        <v>50</v>
      </c>
      <c r="I181" s="1191">
        <f>G181/H181</f>
        <v>0.0022</v>
      </c>
      <c r="J181" s="1192">
        <v>0.05</v>
      </c>
      <c r="K181" t="s" s="1193">
        <v>966</v>
      </c>
      <c r="L181" t="s" s="1194">
        <v>971</v>
      </c>
      <c r="M181" s="1167"/>
      <c r="N181" s="142"/>
      <c r="O181" s="142"/>
      <c r="P181" s="237"/>
      <c r="Q181" s="237"/>
      <c r="R181" s="237"/>
      <c r="S181" s="237"/>
      <c r="T181" s="237"/>
      <c r="U181" s="237"/>
      <c r="V181" s="237"/>
      <c r="W181" s="237"/>
      <c r="X181" s="237"/>
      <c r="Y181" s="237"/>
      <c r="Z181" s="237"/>
    </row>
    <row r="182" ht="12.75" customHeight="1">
      <c r="A182" s="1187">
        <v>2559</v>
      </c>
      <c r="B182" t="s" s="1237">
        <v>1092</v>
      </c>
      <c r="C182" t="s" s="1188">
        <v>1151</v>
      </c>
      <c r="D182" s="1192">
        <v>0.26</v>
      </c>
      <c r="E182" s="1190">
        <v>1000</v>
      </c>
      <c r="F182" s="1191">
        <f>D182/E182</f>
        <v>0.00026</v>
      </c>
      <c r="G182" s="1192">
        <v>0.0396</v>
      </c>
      <c r="H182" s="1190">
        <v>50</v>
      </c>
      <c r="I182" s="1241">
        <f>G182/H182</f>
        <v>0.000792</v>
      </c>
      <c r="J182" s="1192">
        <v>0.05</v>
      </c>
      <c r="K182" t="s" s="1193">
        <v>966</v>
      </c>
      <c r="L182" t="s" s="1194">
        <v>971</v>
      </c>
      <c r="M182" s="1167"/>
      <c r="N182" s="142"/>
      <c r="O182" s="142"/>
      <c r="P182" s="237"/>
      <c r="Q182" s="237"/>
      <c r="R182" s="237"/>
      <c r="S182" s="237"/>
      <c r="T182" s="237"/>
      <c r="U182" s="237"/>
      <c r="V182" s="237"/>
      <c r="W182" s="237"/>
      <c r="X182" s="237"/>
      <c r="Y182" s="237"/>
      <c r="Z182" s="237"/>
    </row>
    <row r="183" ht="12.75" customHeight="1">
      <c r="A183" s="1239">
        <v>2560</v>
      </c>
      <c r="B183" t="s" s="1237">
        <v>1092</v>
      </c>
      <c r="C183" t="s" s="1188">
        <v>1152</v>
      </c>
      <c r="D183" s="1192">
        <v>100</v>
      </c>
      <c r="E183" s="1190">
        <v>1000</v>
      </c>
      <c r="F183" s="1191">
        <f>D183/E183</f>
        <v>0.1</v>
      </c>
      <c r="G183" s="1195"/>
      <c r="H183" s="1196"/>
      <c r="I183" s="1191">
        <f>F183</f>
        <v>0.1</v>
      </c>
      <c r="J183" s="1192">
        <v>0.05</v>
      </c>
      <c r="K183" t="s" s="1193">
        <v>966</v>
      </c>
      <c r="L183" t="s" s="1194">
        <v>969</v>
      </c>
      <c r="M183" s="1167"/>
      <c r="N183" s="142"/>
      <c r="O183" s="142"/>
      <c r="P183" s="237"/>
      <c r="Q183" s="237"/>
      <c r="R183" s="237"/>
      <c r="S183" s="237"/>
      <c r="T183" s="237"/>
      <c r="U183" s="237"/>
      <c r="V183" s="237"/>
      <c r="W183" s="237"/>
      <c r="X183" s="237"/>
      <c r="Y183" s="237"/>
      <c r="Z183" s="237"/>
    </row>
    <row r="184" ht="12.75" customHeight="1">
      <c r="A184" s="1239">
        <v>2561</v>
      </c>
      <c r="B184" t="s" s="1237">
        <v>1092</v>
      </c>
      <c r="C184" t="s" s="1188">
        <v>1153</v>
      </c>
      <c r="D184" s="1192">
        <v>31</v>
      </c>
      <c r="E184" s="1190">
        <v>1000</v>
      </c>
      <c r="F184" s="1191">
        <f>D184/E184</f>
        <v>0.031</v>
      </c>
      <c r="G184" s="1195"/>
      <c r="H184" s="1196"/>
      <c r="I184" s="1191">
        <f>F184</f>
        <v>0.031</v>
      </c>
      <c r="J184" s="1192">
        <v>0.05</v>
      </c>
      <c r="K184" t="s" s="1193">
        <v>966</v>
      </c>
      <c r="L184" t="s" s="1194">
        <v>971</v>
      </c>
      <c r="M184" s="1167"/>
      <c r="N184" s="142"/>
      <c r="O184" s="142"/>
      <c r="P184" s="237"/>
      <c r="Q184" s="237"/>
      <c r="R184" s="237"/>
      <c r="S184" s="237"/>
      <c r="T184" s="237"/>
      <c r="U184" s="237"/>
      <c r="V184" s="237"/>
      <c r="W184" s="237"/>
      <c r="X184" s="237"/>
      <c r="Y184" s="237"/>
      <c r="Z184" s="237"/>
    </row>
    <row r="185" ht="12.75" customHeight="1">
      <c r="A185" s="1239">
        <v>2562</v>
      </c>
      <c r="B185" t="s" s="1237">
        <v>1092</v>
      </c>
      <c r="C185" t="s" s="1188">
        <v>1154</v>
      </c>
      <c r="D185" s="1192">
        <v>106</v>
      </c>
      <c r="E185" s="1190">
        <v>1000</v>
      </c>
      <c r="F185" s="1191">
        <f>D185/E185</f>
        <v>0.106</v>
      </c>
      <c r="G185" s="1195"/>
      <c r="H185" s="1196"/>
      <c r="I185" s="1191">
        <f>F185</f>
        <v>0.106</v>
      </c>
      <c r="J185" s="1192">
        <v>0.05</v>
      </c>
      <c r="K185" t="s" s="1193">
        <v>966</v>
      </c>
      <c r="L185" t="s" s="1194">
        <v>969</v>
      </c>
      <c r="M185" s="1167"/>
      <c r="N185" s="142"/>
      <c r="O185" s="142"/>
      <c r="P185" s="237"/>
      <c r="Q185" s="237"/>
      <c r="R185" s="237"/>
      <c r="S185" s="237"/>
      <c r="T185" s="237"/>
      <c r="U185" s="237"/>
      <c r="V185" s="237"/>
      <c r="W185" s="237"/>
      <c r="X185" s="237"/>
      <c r="Y185" s="237"/>
      <c r="Z185" s="237"/>
    </row>
    <row r="186" ht="12.75" customHeight="1">
      <c r="A186" s="1239">
        <v>2563</v>
      </c>
      <c r="B186" t="s" s="1237">
        <v>1092</v>
      </c>
      <c r="C186" t="s" s="1188">
        <v>1155</v>
      </c>
      <c r="D186" s="1192">
        <v>106</v>
      </c>
      <c r="E186" s="1190">
        <v>1000</v>
      </c>
      <c r="F186" s="1191">
        <f>D186/E186</f>
        <v>0.106</v>
      </c>
      <c r="G186" s="1195"/>
      <c r="H186" s="1196"/>
      <c r="I186" s="1191">
        <f>F186</f>
        <v>0.106</v>
      </c>
      <c r="J186" s="1192">
        <v>0.05</v>
      </c>
      <c r="K186" t="s" s="1193">
        <v>966</v>
      </c>
      <c r="L186" t="s" s="1194">
        <v>971</v>
      </c>
      <c r="M186" s="1167"/>
      <c r="N186" s="142"/>
      <c r="O186" s="142"/>
      <c r="P186" s="237"/>
      <c r="Q186" s="237"/>
      <c r="R186" s="237"/>
      <c r="S186" s="237"/>
      <c r="T186" s="237"/>
      <c r="U186" s="237"/>
      <c r="V186" s="237"/>
      <c r="W186" s="237"/>
      <c r="X186" s="237"/>
      <c r="Y186" s="237"/>
      <c r="Z186" s="237"/>
    </row>
    <row r="187" ht="12.75" customHeight="1">
      <c r="A187" s="1187">
        <v>2564</v>
      </c>
      <c r="B187" t="s" s="1237">
        <v>1092</v>
      </c>
      <c r="C187" t="s" s="1188">
        <v>1156</v>
      </c>
      <c r="D187" s="1192">
        <v>51</v>
      </c>
      <c r="E187" s="1190">
        <v>1000</v>
      </c>
      <c r="F187" s="1191">
        <v>0.051</v>
      </c>
      <c r="G187" s="1195"/>
      <c r="H187" s="1196"/>
      <c r="I187" s="1191">
        <v>0.051</v>
      </c>
      <c r="J187" s="1192">
        <v>0.05</v>
      </c>
      <c r="K187" t="s" s="1193">
        <v>966</v>
      </c>
      <c r="L187" t="s" s="1194">
        <v>971</v>
      </c>
      <c r="M187" s="1167"/>
      <c r="N187" s="142"/>
      <c r="O187" s="142"/>
      <c r="P187" s="237"/>
      <c r="Q187" s="237"/>
      <c r="R187" s="237"/>
      <c r="S187" s="237"/>
      <c r="T187" s="237"/>
      <c r="U187" s="237"/>
      <c r="V187" s="237"/>
      <c r="W187" s="237"/>
      <c r="X187" s="237"/>
      <c r="Y187" s="237"/>
      <c r="Z187" s="237"/>
    </row>
    <row r="188" ht="12.75" customHeight="1">
      <c r="A188" s="1239">
        <v>2565</v>
      </c>
      <c r="B188" t="s" s="1237">
        <v>1092</v>
      </c>
      <c r="C188" t="s" s="1188">
        <v>1157</v>
      </c>
      <c r="D188" s="1192">
        <v>138</v>
      </c>
      <c r="E188" s="1190">
        <v>1000</v>
      </c>
      <c r="F188" s="1191">
        <f>D188/E188</f>
        <v>0.138</v>
      </c>
      <c r="G188" s="1195"/>
      <c r="H188" s="1196"/>
      <c r="I188" s="1191">
        <f>F188</f>
        <v>0.138</v>
      </c>
      <c r="J188" s="1192">
        <v>0.05</v>
      </c>
      <c r="K188" t="s" s="1193">
        <v>1096</v>
      </c>
      <c r="L188" t="s" s="1194">
        <v>1096</v>
      </c>
      <c r="M188" s="1167"/>
      <c r="N188" s="142"/>
      <c r="O188" s="142"/>
      <c r="P188" s="237"/>
      <c r="Q188" s="237"/>
      <c r="R188" s="237"/>
      <c r="S188" s="237"/>
      <c r="T188" s="237"/>
      <c r="U188" s="237"/>
      <c r="V188" s="237"/>
      <c r="W188" s="237"/>
      <c r="X188" s="237"/>
      <c r="Y188" s="237"/>
      <c r="Z188" s="237"/>
    </row>
    <row r="189" ht="12.75" customHeight="1">
      <c r="A189" s="1239">
        <v>2566</v>
      </c>
      <c r="B189" t="s" s="1237">
        <v>1092</v>
      </c>
      <c r="C189" t="s" s="1188">
        <v>1158</v>
      </c>
      <c r="D189" s="1192">
        <v>128</v>
      </c>
      <c r="E189" s="1190">
        <v>5000</v>
      </c>
      <c r="F189" s="1191">
        <f>D189/E189</f>
        <v>0.0256</v>
      </c>
      <c r="G189" s="1195"/>
      <c r="H189" s="1196"/>
      <c r="I189" s="1191">
        <f>F189</f>
        <v>0.0256</v>
      </c>
      <c r="J189" s="1192">
        <v>0.05</v>
      </c>
      <c r="K189" t="s" s="1193">
        <v>966</v>
      </c>
      <c r="L189" t="s" s="1194">
        <v>971</v>
      </c>
      <c r="M189" s="1167"/>
      <c r="N189" s="142"/>
      <c r="O189" s="142"/>
      <c r="P189" s="237"/>
      <c r="Q189" s="237"/>
      <c r="R189" s="237"/>
      <c r="S189" s="237"/>
      <c r="T189" s="237"/>
      <c r="U189" s="237"/>
      <c r="V189" s="237"/>
      <c r="W189" s="237"/>
      <c r="X189" s="237"/>
      <c r="Y189" s="237"/>
      <c r="Z189" s="237"/>
    </row>
    <row r="190" ht="12.75" customHeight="1">
      <c r="A190" s="1239">
        <v>2567</v>
      </c>
      <c r="B190" t="s" s="1237">
        <v>1092</v>
      </c>
      <c r="C190" t="s" s="1188">
        <v>1159</v>
      </c>
      <c r="D190" s="1192">
        <v>30</v>
      </c>
      <c r="E190" s="1190">
        <v>1000</v>
      </c>
      <c r="F190" s="1191">
        <f>D190/E190</f>
        <v>0.03</v>
      </c>
      <c r="G190" s="1195"/>
      <c r="H190" s="1196"/>
      <c r="I190" s="1191">
        <f>F190</f>
        <v>0.03</v>
      </c>
      <c r="J190" s="1192">
        <v>0.05</v>
      </c>
      <c r="K190" t="s" s="1193">
        <v>966</v>
      </c>
      <c r="L190" t="s" s="1194">
        <v>969</v>
      </c>
      <c r="M190" s="1167"/>
      <c r="N190" s="142"/>
      <c r="O190" s="142"/>
      <c r="P190" s="237"/>
      <c r="Q190" s="237"/>
      <c r="R190" s="237"/>
      <c r="S190" s="237"/>
      <c r="T190" s="237"/>
      <c r="U190" s="237"/>
      <c r="V190" s="237"/>
      <c r="W190" s="237"/>
      <c r="X190" s="237"/>
      <c r="Y190" s="237"/>
      <c r="Z190" s="237"/>
    </row>
    <row r="191" ht="12.75" customHeight="1">
      <c r="A191" s="1239">
        <v>2568</v>
      </c>
      <c r="B191" t="s" s="1237">
        <v>1092</v>
      </c>
      <c r="C191" t="s" s="1188">
        <v>1160</v>
      </c>
      <c r="D191" s="1192">
        <v>130</v>
      </c>
      <c r="E191" s="1190">
        <v>1000</v>
      </c>
      <c r="F191" s="1191">
        <f>D191/E191</f>
        <v>0.13</v>
      </c>
      <c r="G191" s="1195"/>
      <c r="H191" s="1196"/>
      <c r="I191" s="1191">
        <f>F191</f>
        <v>0.13</v>
      </c>
      <c r="J191" s="1192">
        <v>0.05</v>
      </c>
      <c r="K191" t="s" s="1193">
        <v>966</v>
      </c>
      <c r="L191" t="s" s="1194">
        <v>969</v>
      </c>
      <c r="M191" s="1167"/>
      <c r="N191" s="142"/>
      <c r="O191" s="142"/>
      <c r="P191" s="237"/>
      <c r="Q191" s="237"/>
      <c r="R191" s="237"/>
      <c r="S191" s="237"/>
      <c r="T191" s="237"/>
      <c r="U191" s="237"/>
      <c r="V191" s="237"/>
      <c r="W191" s="237"/>
      <c r="X191" s="237"/>
      <c r="Y191" s="237"/>
      <c r="Z191" s="237"/>
    </row>
    <row r="192" ht="12.75" customHeight="1">
      <c r="A192" s="1187">
        <v>2569</v>
      </c>
      <c r="B192" t="s" s="1237">
        <v>1092</v>
      </c>
      <c r="C192" t="s" s="1188">
        <v>1161</v>
      </c>
      <c r="D192" s="1192">
        <v>48</v>
      </c>
      <c r="E192" s="1190">
        <v>1000</v>
      </c>
      <c r="F192" s="1191">
        <f>D192/E192</f>
        <v>0.048</v>
      </c>
      <c r="G192" s="1195"/>
      <c r="H192" s="1196"/>
      <c r="I192" s="1191">
        <f>F192</f>
        <v>0.048</v>
      </c>
      <c r="J192" s="1192">
        <v>1</v>
      </c>
      <c r="K192" t="s" s="1193">
        <v>1096</v>
      </c>
      <c r="L192" t="s" s="1194">
        <v>1096</v>
      </c>
      <c r="M192" s="1167"/>
      <c r="N192" s="142"/>
      <c r="O192" s="142"/>
      <c r="P192" s="237"/>
      <c r="Q192" s="237"/>
      <c r="R192" s="237"/>
      <c r="S192" s="237"/>
      <c r="T192" s="237"/>
      <c r="U192" s="237"/>
      <c r="V192" s="237"/>
      <c r="W192" s="237"/>
      <c r="X192" s="237"/>
      <c r="Y192" s="237"/>
      <c r="Z192" s="237"/>
    </row>
    <row r="193" ht="12.75" customHeight="1">
      <c r="A193" s="1187">
        <v>2570</v>
      </c>
      <c r="B193" t="s" s="1237">
        <v>1092</v>
      </c>
      <c r="C193" t="s" s="1188">
        <v>1162</v>
      </c>
      <c r="D193" s="1192">
        <v>100</v>
      </c>
      <c r="E193" s="1190">
        <v>1000</v>
      </c>
      <c r="F193" s="1191">
        <v>0.1</v>
      </c>
      <c r="G193" s="1192">
        <v>10</v>
      </c>
      <c r="H193" s="1190">
        <v>50</v>
      </c>
      <c r="I193" s="1191">
        <v>0.2</v>
      </c>
      <c r="J193" s="1192">
        <v>0.05</v>
      </c>
      <c r="K193" t="s" s="1193">
        <v>966</v>
      </c>
      <c r="L193" t="s" s="1194">
        <v>971</v>
      </c>
      <c r="M193" s="1167"/>
      <c r="N193" s="142"/>
      <c r="O193" s="142"/>
      <c r="P193" s="237"/>
      <c r="Q193" s="237"/>
      <c r="R193" s="237"/>
      <c r="S193" s="237"/>
      <c r="T193" s="237"/>
      <c r="U193" s="237"/>
      <c r="V193" s="237"/>
      <c r="W193" s="237"/>
      <c r="X193" s="237"/>
      <c r="Y193" s="237"/>
      <c r="Z193" s="237"/>
    </row>
    <row r="194" ht="12.75" customHeight="1">
      <c r="A194" s="1187">
        <v>2571</v>
      </c>
      <c r="B194" t="s" s="1237">
        <v>1092</v>
      </c>
      <c r="C194" t="s" s="1188">
        <v>1163</v>
      </c>
      <c r="D194" s="1192">
        <v>31.2</v>
      </c>
      <c r="E194" s="1190">
        <v>1000</v>
      </c>
      <c r="F194" s="1191">
        <f>D194/E194</f>
        <v>0.0312</v>
      </c>
      <c r="G194" s="1195"/>
      <c r="H194" s="1196"/>
      <c r="I194" s="1191">
        <f>F194</f>
        <v>0.0312</v>
      </c>
      <c r="J194" s="1192">
        <v>0.05</v>
      </c>
      <c r="K194" t="s" s="1193">
        <v>966</v>
      </c>
      <c r="L194" t="s" s="1194">
        <v>971</v>
      </c>
      <c r="M194" s="1167"/>
      <c r="N194" s="142"/>
      <c r="O194" s="142"/>
      <c r="P194" s="237"/>
      <c r="Q194" s="237"/>
      <c r="R194" s="237"/>
      <c r="S194" s="237"/>
      <c r="T194" s="237"/>
      <c r="U194" s="237"/>
      <c r="V194" s="237"/>
      <c r="W194" s="237"/>
      <c r="X194" s="237"/>
      <c r="Y194" s="237"/>
      <c r="Z194" s="237"/>
    </row>
    <row r="195" ht="12.75" customHeight="1">
      <c r="A195" s="1239">
        <v>2572</v>
      </c>
      <c r="B195" t="s" s="1237">
        <v>1092</v>
      </c>
      <c r="C195" t="s" s="1188">
        <v>1164</v>
      </c>
      <c r="D195" s="1192">
        <v>208</v>
      </c>
      <c r="E195" s="1190">
        <v>5000</v>
      </c>
      <c r="F195" s="1191">
        <f>D195/E195</f>
        <v>0.0416</v>
      </c>
      <c r="G195" s="1195"/>
      <c r="H195" s="1196"/>
      <c r="I195" s="1191">
        <f>F195</f>
        <v>0.0416</v>
      </c>
      <c r="J195" s="1192">
        <v>0.05</v>
      </c>
      <c r="K195" t="s" s="1193">
        <v>966</v>
      </c>
      <c r="L195" t="s" s="1194">
        <v>971</v>
      </c>
      <c r="M195" s="1167"/>
      <c r="N195" s="142"/>
      <c r="O195" s="142"/>
      <c r="P195" s="237"/>
      <c r="Q195" s="237"/>
      <c r="R195" s="237"/>
      <c r="S195" s="237"/>
      <c r="T195" s="237"/>
      <c r="U195" s="237"/>
      <c r="V195" s="237"/>
      <c r="W195" s="237"/>
      <c r="X195" s="237"/>
      <c r="Y195" s="237"/>
      <c r="Z195" s="237"/>
    </row>
    <row r="196" ht="12.75" customHeight="1">
      <c r="A196" s="1239">
        <v>2573</v>
      </c>
      <c r="B196" t="s" s="1237">
        <v>1092</v>
      </c>
      <c r="C196" t="s" s="1188">
        <v>1165</v>
      </c>
      <c r="D196" s="1192">
        <v>95</v>
      </c>
      <c r="E196" s="1190">
        <v>5000</v>
      </c>
      <c r="F196" s="1191">
        <f>D196/E196</f>
        <v>0.019</v>
      </c>
      <c r="G196" s="1195"/>
      <c r="H196" s="1196"/>
      <c r="I196" s="1191">
        <f>F196</f>
        <v>0.019</v>
      </c>
      <c r="J196" s="1192">
        <v>0.05</v>
      </c>
      <c r="K196" t="s" s="1193">
        <v>966</v>
      </c>
      <c r="L196" t="s" s="1194">
        <v>971</v>
      </c>
      <c r="M196" s="1167"/>
      <c r="N196" s="142"/>
      <c r="O196" s="142"/>
      <c r="P196" s="237"/>
      <c r="Q196" s="237"/>
      <c r="R196" s="237"/>
      <c r="S196" s="237"/>
      <c r="T196" s="237"/>
      <c r="U196" s="237"/>
      <c r="V196" s="237"/>
      <c r="W196" s="237"/>
      <c r="X196" s="237"/>
      <c r="Y196" s="237"/>
      <c r="Z196" s="237"/>
    </row>
    <row r="197" ht="12.75" customHeight="1">
      <c r="A197" s="1239">
        <v>2574</v>
      </c>
      <c r="B197" t="s" s="1237">
        <v>1092</v>
      </c>
      <c r="C197" t="s" s="1188">
        <v>1166</v>
      </c>
      <c r="D197" s="1192">
        <v>6500</v>
      </c>
      <c r="E197" s="1190">
        <v>1000</v>
      </c>
      <c r="F197" s="1191">
        <f>D197/E197</f>
        <v>6.5</v>
      </c>
      <c r="G197" s="1195"/>
      <c r="H197" s="1196"/>
      <c r="I197" s="1191">
        <f>F197</f>
        <v>6.5</v>
      </c>
      <c r="J197" s="1192">
        <v>0.05</v>
      </c>
      <c r="K197" t="s" s="1193">
        <v>966</v>
      </c>
      <c r="L197" t="s" s="1194">
        <v>969</v>
      </c>
      <c r="M197" s="1167"/>
      <c r="N197" s="142"/>
      <c r="O197" s="142"/>
      <c r="P197" s="237"/>
      <c r="Q197" s="237"/>
      <c r="R197" s="237"/>
      <c r="S197" s="237"/>
      <c r="T197" s="237"/>
      <c r="U197" s="237"/>
      <c r="V197" s="237"/>
      <c r="W197" s="237"/>
      <c r="X197" s="237"/>
      <c r="Y197" s="237"/>
      <c r="Z197" s="237"/>
    </row>
    <row r="198" ht="12.75" customHeight="1">
      <c r="A198" s="1187">
        <v>2575</v>
      </c>
      <c r="B198" t="s" s="1237">
        <v>1092</v>
      </c>
      <c r="C198" t="s" s="1188">
        <v>1167</v>
      </c>
      <c r="D198" s="1192">
        <v>911</v>
      </c>
      <c r="E198" s="1190">
        <v>1000</v>
      </c>
      <c r="F198" s="1191">
        <f>D198/E198</f>
        <v>0.911</v>
      </c>
      <c r="G198" s="1192">
        <v>88</v>
      </c>
      <c r="H198" s="1190">
        <v>10</v>
      </c>
      <c r="I198" s="1191">
        <f>G198/H198</f>
        <v>8.800000000000001</v>
      </c>
      <c r="J198" s="1192">
        <v>0.05</v>
      </c>
      <c r="K198" t="s" s="1193">
        <v>966</v>
      </c>
      <c r="L198" t="s" s="1194">
        <v>969</v>
      </c>
      <c r="M198" s="1167"/>
      <c r="N198" s="142"/>
      <c r="O198" s="142"/>
      <c r="P198" s="237"/>
      <c r="Q198" s="237"/>
      <c r="R198" s="237"/>
      <c r="S198" s="237"/>
      <c r="T198" s="237"/>
      <c r="U198" s="237"/>
      <c r="V198" s="237"/>
      <c r="W198" s="237"/>
      <c r="X198" s="237"/>
      <c r="Y198" s="237"/>
      <c r="Z198" s="237"/>
    </row>
    <row r="199" ht="12.75" customHeight="1">
      <c r="A199" s="1187">
        <v>2576</v>
      </c>
      <c r="B199" t="s" s="1237">
        <v>1092</v>
      </c>
      <c r="C199" t="s" s="1188">
        <v>1168</v>
      </c>
      <c r="D199" s="1192">
        <v>4400</v>
      </c>
      <c r="E199" s="1190">
        <v>1000</v>
      </c>
      <c r="F199" s="1191">
        <f>D199/E199</f>
        <v>4.4</v>
      </c>
      <c r="G199" s="1192">
        <v>100</v>
      </c>
      <c r="H199" s="1190">
        <v>10</v>
      </c>
      <c r="I199" s="1191">
        <f>G199/H199</f>
        <v>10</v>
      </c>
      <c r="J199" s="1192">
        <v>0.05</v>
      </c>
      <c r="K199" t="s" s="1193">
        <v>966</v>
      </c>
      <c r="L199" t="s" s="1194">
        <v>969</v>
      </c>
      <c r="M199" s="1167"/>
      <c r="N199" s="142"/>
      <c r="O199" s="142"/>
      <c r="P199" s="237"/>
      <c r="Q199" s="237"/>
      <c r="R199" s="237"/>
      <c r="S199" s="237"/>
      <c r="T199" s="237"/>
      <c r="U199" s="237"/>
      <c r="V199" s="237"/>
      <c r="W199" s="237"/>
      <c r="X199" s="237"/>
      <c r="Y199" s="237"/>
      <c r="Z199" s="237"/>
    </row>
    <row r="200" ht="12.75" customHeight="1">
      <c r="A200" s="1187">
        <v>2577</v>
      </c>
      <c r="B200" t="s" s="1237">
        <v>1092</v>
      </c>
      <c r="C200" t="s" s="1188">
        <v>1169</v>
      </c>
      <c r="D200" s="1192">
        <v>500</v>
      </c>
      <c r="E200" s="1190">
        <v>1000</v>
      </c>
      <c r="F200" s="1191">
        <f>D200/E200</f>
        <v>0.5</v>
      </c>
      <c r="G200" s="1195"/>
      <c r="H200" s="1196"/>
      <c r="I200" s="1191">
        <f>F200</f>
        <v>0.5</v>
      </c>
      <c r="J200" s="1192">
        <v>0.05</v>
      </c>
      <c r="K200" t="s" s="1193">
        <v>966</v>
      </c>
      <c r="L200" t="s" s="1194">
        <v>971</v>
      </c>
      <c r="M200" s="1167"/>
      <c r="N200" s="142"/>
      <c r="O200" s="142"/>
      <c r="P200" s="237"/>
      <c r="Q200" s="237"/>
      <c r="R200" s="237"/>
      <c r="S200" s="237"/>
      <c r="T200" s="237"/>
      <c r="U200" s="237"/>
      <c r="V200" s="237"/>
      <c r="W200" s="237"/>
      <c r="X200" s="237"/>
      <c r="Y200" s="237"/>
      <c r="Z200" s="237"/>
    </row>
    <row r="201" ht="12.75" customHeight="1">
      <c r="A201" s="1187">
        <v>2578</v>
      </c>
      <c r="B201" t="s" s="1237">
        <v>1092</v>
      </c>
      <c r="C201" t="s" s="1188">
        <v>1170</v>
      </c>
      <c r="D201" s="1192">
        <v>3940</v>
      </c>
      <c r="E201" s="1190">
        <v>5000</v>
      </c>
      <c r="F201" s="1191">
        <f>D201/E201</f>
        <v>0.788</v>
      </c>
      <c r="G201" s="1195"/>
      <c r="H201" s="1196"/>
      <c r="I201" s="1191">
        <f>F201</f>
        <v>0.788</v>
      </c>
      <c r="J201" s="1192">
        <v>0.05</v>
      </c>
      <c r="K201" t="s" s="1193">
        <v>966</v>
      </c>
      <c r="L201" t="s" s="1194">
        <v>971</v>
      </c>
      <c r="M201" s="1167"/>
      <c r="N201" s="142"/>
      <c r="O201" s="142"/>
      <c r="P201" s="237"/>
      <c r="Q201" s="237"/>
      <c r="R201" s="237"/>
      <c r="S201" s="237"/>
      <c r="T201" s="237"/>
      <c r="U201" s="237"/>
      <c r="V201" s="237"/>
      <c r="W201" s="237"/>
      <c r="X201" s="237"/>
      <c r="Y201" s="237"/>
      <c r="Z201" s="237"/>
    </row>
    <row r="202" ht="12.75" customHeight="1">
      <c r="A202" s="1187">
        <v>2579</v>
      </c>
      <c r="B202" t="s" s="1237">
        <v>1092</v>
      </c>
      <c r="C202" t="s" s="1188">
        <v>1171</v>
      </c>
      <c r="D202" s="1192">
        <v>1254</v>
      </c>
      <c r="E202" s="1190">
        <v>1000</v>
      </c>
      <c r="F202" s="1191">
        <f>D202/E202</f>
        <v>1.254</v>
      </c>
      <c r="G202" s="1195"/>
      <c r="H202" s="1196"/>
      <c r="I202" s="1191">
        <f>F202</f>
        <v>1.254</v>
      </c>
      <c r="J202" s="1192">
        <v>0.05</v>
      </c>
      <c r="K202" t="s" s="1193">
        <v>966</v>
      </c>
      <c r="L202" t="s" s="1194">
        <v>971</v>
      </c>
      <c r="M202" s="1167"/>
      <c r="N202" s="142"/>
      <c r="O202" s="142"/>
      <c r="P202" s="237"/>
      <c r="Q202" s="237"/>
      <c r="R202" s="237"/>
      <c r="S202" s="237"/>
      <c r="T202" s="237"/>
      <c r="U202" s="237"/>
      <c r="V202" s="237"/>
      <c r="W202" s="237"/>
      <c r="X202" s="237"/>
      <c r="Y202" s="237"/>
      <c r="Z202" s="237"/>
    </row>
    <row r="203" ht="12.75" customHeight="1">
      <c r="A203" s="1187">
        <v>2580</v>
      </c>
      <c r="B203" t="s" s="1237">
        <v>1092</v>
      </c>
      <c r="C203" t="s" s="1188">
        <v>1172</v>
      </c>
      <c r="D203" s="1192">
        <v>943</v>
      </c>
      <c r="E203" s="1190">
        <v>1000</v>
      </c>
      <c r="F203" s="1191">
        <f>D203/E203</f>
        <v>0.9429999999999999</v>
      </c>
      <c r="G203" s="1192">
        <v>320</v>
      </c>
      <c r="H203" s="1190">
        <v>50</v>
      </c>
      <c r="I203" s="1191">
        <f>G203/H203</f>
        <v>6.4</v>
      </c>
      <c r="J203" s="1192">
        <v>0.5</v>
      </c>
      <c r="K203" t="s" s="1193">
        <v>985</v>
      </c>
      <c r="L203" t="s" s="1194">
        <v>971</v>
      </c>
      <c r="M203" s="1167"/>
      <c r="N203" s="142"/>
      <c r="O203" s="142"/>
      <c r="P203" s="237"/>
      <c r="Q203" s="237"/>
      <c r="R203" s="237"/>
      <c r="S203" s="237"/>
      <c r="T203" s="237"/>
      <c r="U203" s="237"/>
      <c r="V203" s="237"/>
      <c r="W203" s="237"/>
      <c r="X203" s="237"/>
      <c r="Y203" s="237"/>
      <c r="Z203" s="237"/>
    </row>
    <row r="204" ht="12.75" customHeight="1">
      <c r="A204" s="1187">
        <v>2581</v>
      </c>
      <c r="B204" t="s" s="1237">
        <v>1092</v>
      </c>
      <c r="C204" t="s" s="1188">
        <v>1173</v>
      </c>
      <c r="D204" s="1192">
        <v>32000</v>
      </c>
      <c r="E204" s="1190">
        <v>1000</v>
      </c>
      <c r="F204" s="1191">
        <f>D204/E204</f>
        <v>32</v>
      </c>
      <c r="G204" s="1195"/>
      <c r="H204" s="1196"/>
      <c r="I204" s="1191">
        <f>F204</f>
        <v>32</v>
      </c>
      <c r="J204" s="1192">
        <v>0.05</v>
      </c>
      <c r="K204" t="s" s="1193">
        <v>966</v>
      </c>
      <c r="L204" t="s" s="1194">
        <v>969</v>
      </c>
      <c r="M204" s="1167"/>
      <c r="N204" s="142"/>
      <c r="O204" s="142"/>
      <c r="P204" s="237"/>
      <c r="Q204" s="237"/>
      <c r="R204" s="237"/>
      <c r="S204" s="237"/>
      <c r="T204" s="237"/>
      <c r="U204" s="237"/>
      <c r="V204" s="237"/>
      <c r="W204" s="237"/>
      <c r="X204" s="237"/>
      <c r="Y204" s="237"/>
      <c r="Z204" s="237"/>
    </row>
    <row r="205" ht="12.75" customHeight="1">
      <c r="A205" s="1187">
        <v>2582</v>
      </c>
      <c r="B205" t="s" s="1237">
        <v>1092</v>
      </c>
      <c r="C205" t="s" s="1188">
        <v>1174</v>
      </c>
      <c r="D205" s="1192">
        <v>500</v>
      </c>
      <c r="E205" s="1190">
        <v>1000</v>
      </c>
      <c r="F205" s="1191">
        <f>D205/E205</f>
        <v>0.5</v>
      </c>
      <c r="G205" s="1195"/>
      <c r="H205" s="1196"/>
      <c r="I205" s="1191">
        <f>F205</f>
        <v>0.5</v>
      </c>
      <c r="J205" s="1192">
        <v>0.05</v>
      </c>
      <c r="K205" t="s" s="1193">
        <v>966</v>
      </c>
      <c r="L205" t="s" s="1194">
        <v>971</v>
      </c>
      <c r="M205" s="1167"/>
      <c r="N205" s="142"/>
      <c r="O205" s="142"/>
      <c r="P205" s="237"/>
      <c r="Q205" s="237"/>
      <c r="R205" s="237"/>
      <c r="S205" s="237"/>
      <c r="T205" s="237"/>
      <c r="U205" s="237"/>
      <c r="V205" s="237"/>
      <c r="W205" s="237"/>
      <c r="X205" s="237"/>
      <c r="Y205" s="237"/>
      <c r="Z205" s="237"/>
    </row>
    <row r="206" ht="12.75" customHeight="1">
      <c r="A206" s="1187">
        <v>2583</v>
      </c>
      <c r="B206" t="s" s="1237">
        <v>1092</v>
      </c>
      <c r="C206" t="s" s="1188">
        <v>1175</v>
      </c>
      <c r="D206" s="1242">
        <v>762.5</v>
      </c>
      <c r="E206" s="1190">
        <v>1000</v>
      </c>
      <c r="F206" s="1243">
        <f>D206/E206</f>
        <v>0.7625</v>
      </c>
      <c r="G206" s="1195"/>
      <c r="H206" s="1196"/>
      <c r="I206" s="1243">
        <f>F206</f>
        <v>0.7625</v>
      </c>
      <c r="J206" s="1192">
        <v>0.05</v>
      </c>
      <c r="K206" t="s" s="1193">
        <v>966</v>
      </c>
      <c r="L206" t="s" s="1194">
        <v>971</v>
      </c>
      <c r="M206" s="1167"/>
      <c r="N206" s="142"/>
      <c r="O206" s="142"/>
      <c r="P206" s="237"/>
      <c r="Q206" s="237"/>
      <c r="R206" s="237"/>
      <c r="S206" s="237"/>
      <c r="T206" s="237"/>
      <c r="U206" s="237"/>
      <c r="V206" s="237"/>
      <c r="W206" s="237"/>
      <c r="X206" s="237"/>
      <c r="Y206" s="237"/>
      <c r="Z206" s="237"/>
    </row>
    <row r="207" ht="12.75" customHeight="1">
      <c r="A207" s="1187">
        <v>2584</v>
      </c>
      <c r="B207" t="s" s="1237">
        <v>1092</v>
      </c>
      <c r="C207" t="s" s="1188">
        <v>1176</v>
      </c>
      <c r="D207" s="1192">
        <v>109</v>
      </c>
      <c r="E207" s="1190">
        <v>1000</v>
      </c>
      <c r="F207" s="1191">
        <f>D207/E207</f>
        <v>0.109</v>
      </c>
      <c r="G207" s="1192">
        <v>172.5</v>
      </c>
      <c r="H207" s="1190">
        <v>50</v>
      </c>
      <c r="I207" s="1191">
        <f>G207/H207</f>
        <v>3.45</v>
      </c>
      <c r="J207" s="1192">
        <v>0.05</v>
      </c>
      <c r="K207" t="s" s="1193">
        <v>966</v>
      </c>
      <c r="L207" t="s" s="1194">
        <v>971</v>
      </c>
      <c r="M207" s="1167"/>
      <c r="N207" s="142"/>
      <c r="O207" s="142"/>
      <c r="P207" s="237"/>
      <c r="Q207" s="237"/>
      <c r="R207" s="237"/>
      <c r="S207" s="237"/>
      <c r="T207" s="237"/>
      <c r="U207" s="237"/>
      <c r="V207" s="237"/>
      <c r="W207" s="237"/>
      <c r="X207" s="237"/>
      <c r="Y207" s="237"/>
      <c r="Z207" s="237"/>
    </row>
    <row r="208" ht="12.75" customHeight="1">
      <c r="A208" s="1187">
        <v>2585</v>
      </c>
      <c r="B208" t="s" s="1237">
        <v>1092</v>
      </c>
      <c r="C208" t="s" s="1188">
        <v>1177</v>
      </c>
      <c r="D208" s="1192">
        <v>969</v>
      </c>
      <c r="E208" s="1190">
        <v>1000</v>
      </c>
      <c r="F208" s="1191">
        <f>D208/E208</f>
        <v>0.969</v>
      </c>
      <c r="G208" s="1192">
        <v>0.5</v>
      </c>
      <c r="H208" s="1190">
        <v>50</v>
      </c>
      <c r="I208" s="1191">
        <f>G208/H208</f>
        <v>0.01</v>
      </c>
      <c r="J208" s="1192">
        <v>0.05</v>
      </c>
      <c r="K208" t="s" s="1193">
        <v>966</v>
      </c>
      <c r="L208" t="s" s="1194">
        <v>971</v>
      </c>
      <c r="M208" s="1167"/>
      <c r="N208" s="142"/>
      <c r="O208" s="142"/>
      <c r="P208" s="237"/>
      <c r="Q208" s="237"/>
      <c r="R208" s="237"/>
      <c r="S208" s="237"/>
      <c r="T208" s="237"/>
      <c r="U208" s="237"/>
      <c r="V208" s="237"/>
      <c r="W208" s="237"/>
      <c r="X208" s="237"/>
      <c r="Y208" s="237"/>
      <c r="Z208" s="237"/>
    </row>
    <row r="209" ht="12.75" customHeight="1">
      <c r="A209" s="1187">
        <v>2586</v>
      </c>
      <c r="B209" t="s" s="1237">
        <v>1092</v>
      </c>
      <c r="C209" t="s" s="1188">
        <v>1178</v>
      </c>
      <c r="D209" s="1192">
        <v>841</v>
      </c>
      <c r="E209" s="1190">
        <v>1000</v>
      </c>
      <c r="F209" s="1191">
        <f>D209/E209</f>
        <v>0.841</v>
      </c>
      <c r="G209" s="1195"/>
      <c r="H209" s="1196"/>
      <c r="I209" s="1191">
        <f>F209</f>
        <v>0.841</v>
      </c>
      <c r="J209" s="1192">
        <v>0.05</v>
      </c>
      <c r="K209" t="s" s="1193">
        <v>966</v>
      </c>
      <c r="L209" t="s" s="1194">
        <v>971</v>
      </c>
      <c r="M209" s="1167"/>
      <c r="N209" s="142"/>
      <c r="O209" s="142"/>
      <c r="P209" s="237"/>
      <c r="Q209" s="237"/>
      <c r="R209" s="237"/>
      <c r="S209" s="237"/>
      <c r="T209" s="237"/>
      <c r="U209" s="237"/>
      <c r="V209" s="237"/>
      <c r="W209" s="237"/>
      <c r="X209" s="237"/>
      <c r="Y209" s="237"/>
      <c r="Z209" s="237"/>
    </row>
    <row r="210" ht="12.75" customHeight="1">
      <c r="A210" s="1239">
        <v>2587</v>
      </c>
      <c r="B210" t="s" s="1237">
        <v>1092</v>
      </c>
      <c r="C210" t="s" s="1188">
        <v>1179</v>
      </c>
      <c r="D210" s="1192">
        <v>1000</v>
      </c>
      <c r="E210" s="1190">
        <v>5000</v>
      </c>
      <c r="F210" s="1191">
        <f>D210/E210</f>
        <v>0.2</v>
      </c>
      <c r="G210" s="1195"/>
      <c r="H210" s="1196"/>
      <c r="I210" s="1191">
        <f>F210</f>
        <v>0.2</v>
      </c>
      <c r="J210" s="1192">
        <v>0.5</v>
      </c>
      <c r="K210" t="s" s="1193">
        <v>985</v>
      </c>
      <c r="L210" t="s" s="1194">
        <v>971</v>
      </c>
      <c r="M210" s="1167"/>
      <c r="N210" s="142"/>
      <c r="O210" s="142"/>
      <c r="P210" s="237"/>
      <c r="Q210" s="237"/>
      <c r="R210" s="237"/>
      <c r="S210" s="237"/>
      <c r="T210" s="237"/>
      <c r="U210" s="237"/>
      <c r="V210" s="237"/>
      <c r="W210" s="237"/>
      <c r="X210" s="237"/>
      <c r="Y210" s="237"/>
      <c r="Z210" s="237"/>
    </row>
    <row r="211" ht="12.75" customHeight="1">
      <c r="A211" s="1239">
        <v>2588</v>
      </c>
      <c r="B211" t="s" s="1237">
        <v>1092</v>
      </c>
      <c r="C211" t="s" s="1188">
        <v>1180</v>
      </c>
      <c r="D211" s="1192">
        <v>4400</v>
      </c>
      <c r="E211" s="1190">
        <v>1000</v>
      </c>
      <c r="F211" s="1191">
        <f>D211/E211</f>
        <v>4.4</v>
      </c>
      <c r="G211" s="1195"/>
      <c r="H211" s="1196"/>
      <c r="I211" s="1191">
        <f>F211</f>
        <v>4.4</v>
      </c>
      <c r="J211" s="1192">
        <v>0.5</v>
      </c>
      <c r="K211" t="s" s="1193">
        <v>985</v>
      </c>
      <c r="L211" t="s" s="1194">
        <v>971</v>
      </c>
      <c r="M211" s="1167"/>
      <c r="N211" s="142"/>
      <c r="O211" s="142"/>
      <c r="P211" s="237"/>
      <c r="Q211" s="237"/>
      <c r="R211" s="237"/>
      <c r="S211" s="237"/>
      <c r="T211" s="237"/>
      <c r="U211" s="237"/>
      <c r="V211" s="237"/>
      <c r="W211" s="237"/>
      <c r="X211" s="237"/>
      <c r="Y211" s="237"/>
      <c r="Z211" s="237"/>
    </row>
    <row r="212" ht="12.75" customHeight="1">
      <c r="A212" s="1239">
        <v>2589</v>
      </c>
      <c r="B212" t="s" s="1237">
        <v>1092</v>
      </c>
      <c r="C212" t="s" s="1188">
        <v>1181</v>
      </c>
      <c r="D212" s="1192">
        <v>1.8</v>
      </c>
      <c r="E212" s="1190">
        <v>1000</v>
      </c>
      <c r="F212" s="1191">
        <f>D212/E212</f>
        <v>0.0018</v>
      </c>
      <c r="G212" s="1195"/>
      <c r="H212" s="1196"/>
      <c r="I212" s="1191">
        <f>F212</f>
        <v>0.0018</v>
      </c>
      <c r="J212" s="1192">
        <v>0.05</v>
      </c>
      <c r="K212" t="s" s="1193">
        <v>966</v>
      </c>
      <c r="L212" t="s" s="1194">
        <v>971</v>
      </c>
      <c r="M212" s="1167"/>
      <c r="N212" s="142"/>
      <c r="O212" s="142"/>
      <c r="P212" s="237"/>
      <c r="Q212" s="237"/>
      <c r="R212" s="237"/>
      <c r="S212" s="237"/>
      <c r="T212" s="237"/>
      <c r="U212" s="237"/>
      <c r="V212" s="237"/>
      <c r="W212" s="237"/>
      <c r="X212" s="237"/>
      <c r="Y212" s="237"/>
      <c r="Z212" s="237"/>
    </row>
    <row r="213" ht="12.75" customHeight="1">
      <c r="A213" s="1239">
        <v>2590</v>
      </c>
      <c r="B213" t="s" s="1237">
        <v>1092</v>
      </c>
      <c r="C213" t="s" s="1188">
        <v>1182</v>
      </c>
      <c r="D213" s="1192">
        <v>100</v>
      </c>
      <c r="E213" s="1190">
        <v>5000</v>
      </c>
      <c r="F213" s="1191">
        <f>D213/E213</f>
        <v>0.02</v>
      </c>
      <c r="G213" s="1195"/>
      <c r="H213" s="1196"/>
      <c r="I213" s="1191">
        <f>F213</f>
        <v>0.02</v>
      </c>
      <c r="J213" s="1192">
        <v>0.5</v>
      </c>
      <c r="K213" t="s" s="1193">
        <v>985</v>
      </c>
      <c r="L213" t="s" s="1194">
        <v>971</v>
      </c>
      <c r="M213" s="1167"/>
      <c r="N213" s="142"/>
      <c r="O213" s="142"/>
      <c r="P213" s="237"/>
      <c r="Q213" s="237"/>
      <c r="R213" s="237"/>
      <c r="S213" s="237"/>
      <c r="T213" s="237"/>
      <c r="U213" s="237"/>
      <c r="V213" s="237"/>
      <c r="W213" s="237"/>
      <c r="X213" s="237"/>
      <c r="Y213" s="237"/>
      <c r="Z213" s="237"/>
    </row>
    <row r="214" ht="12.75" customHeight="1">
      <c r="A214" s="1187">
        <v>2591</v>
      </c>
      <c r="B214" t="s" s="1237">
        <v>1092</v>
      </c>
      <c r="C214" t="s" s="1188">
        <v>1183</v>
      </c>
      <c r="D214" s="1192">
        <v>10000</v>
      </c>
      <c r="E214" s="1190">
        <v>10000</v>
      </c>
      <c r="F214" s="1191">
        <f>D214/E214</f>
        <v>1</v>
      </c>
      <c r="G214" s="1195"/>
      <c r="H214" s="1196"/>
      <c r="I214" s="1191">
        <f>F214</f>
        <v>1</v>
      </c>
      <c r="J214" s="1192">
        <v>0.05</v>
      </c>
      <c r="K214" t="s" s="1193">
        <v>966</v>
      </c>
      <c r="L214" t="s" s="1194">
        <v>971</v>
      </c>
      <c r="M214" s="1167"/>
      <c r="N214" s="142"/>
      <c r="O214" s="142"/>
      <c r="P214" s="237"/>
      <c r="Q214" s="237"/>
      <c r="R214" s="237"/>
      <c r="S214" s="237"/>
      <c r="T214" s="237"/>
      <c r="U214" s="237"/>
      <c r="V214" s="237"/>
      <c r="W214" s="237"/>
      <c r="X214" s="237"/>
      <c r="Y214" s="237"/>
      <c r="Z214" s="237"/>
    </row>
    <row r="215" ht="12.75" customHeight="1">
      <c r="A215" s="1187">
        <v>2592</v>
      </c>
      <c r="B215" t="s" s="1237">
        <v>1092</v>
      </c>
      <c r="C215" t="s" s="1188">
        <v>1184</v>
      </c>
      <c r="D215" s="1192">
        <v>100</v>
      </c>
      <c r="E215" s="1190">
        <v>1000</v>
      </c>
      <c r="F215" s="1191">
        <f>D215/E215</f>
        <v>0.1</v>
      </c>
      <c r="G215" s="1192">
        <v>100</v>
      </c>
      <c r="H215" s="1190">
        <v>50</v>
      </c>
      <c r="I215" s="1191">
        <f>G215/H215</f>
        <v>2</v>
      </c>
      <c r="J215" s="1192">
        <v>0.05</v>
      </c>
      <c r="K215" t="s" s="1193">
        <v>966</v>
      </c>
      <c r="L215" t="s" s="1194">
        <v>969</v>
      </c>
      <c r="M215" s="1167"/>
      <c r="N215" s="142"/>
      <c r="O215" s="142"/>
      <c r="P215" s="237"/>
      <c r="Q215" s="237"/>
      <c r="R215" s="237"/>
      <c r="S215" s="237"/>
      <c r="T215" s="237"/>
      <c r="U215" s="237"/>
      <c r="V215" s="237"/>
      <c r="W215" s="237"/>
      <c r="X215" s="237"/>
      <c r="Y215" s="237"/>
      <c r="Z215" s="237"/>
    </row>
    <row r="216" ht="12.75" customHeight="1">
      <c r="A216" s="1187">
        <v>2593</v>
      </c>
      <c r="B216" t="s" s="1237">
        <v>1092</v>
      </c>
      <c r="C216" t="s" s="1188">
        <v>1185</v>
      </c>
      <c r="D216" s="1192">
        <v>209</v>
      </c>
      <c r="E216" s="1190">
        <v>5000</v>
      </c>
      <c r="F216" s="1191">
        <f>D216/E216</f>
        <v>0.0418</v>
      </c>
      <c r="G216" s="1195"/>
      <c r="H216" s="1196"/>
      <c r="I216" s="1191">
        <f>F216</f>
        <v>0.0418</v>
      </c>
      <c r="J216" s="1192">
        <v>1</v>
      </c>
      <c r="K216" t="s" s="1193">
        <v>1074</v>
      </c>
      <c r="L216" t="s" s="1194">
        <v>971</v>
      </c>
      <c r="M216" s="1167"/>
      <c r="N216" s="142"/>
      <c r="O216" s="142"/>
      <c r="P216" s="237"/>
      <c r="Q216" s="237"/>
      <c r="R216" s="237"/>
      <c r="S216" s="237"/>
      <c r="T216" s="237"/>
      <c r="U216" s="237"/>
      <c r="V216" s="237"/>
      <c r="W216" s="237"/>
      <c r="X216" s="237"/>
      <c r="Y216" s="237"/>
      <c r="Z216" s="237"/>
    </row>
    <row r="217" ht="12.75" customHeight="1">
      <c r="A217" s="1187">
        <v>2594</v>
      </c>
      <c r="B217" t="s" s="1237">
        <v>1092</v>
      </c>
      <c r="C217" t="s" s="1188">
        <v>1186</v>
      </c>
      <c r="D217" s="1192">
        <v>188</v>
      </c>
      <c r="E217" s="1190">
        <v>5000</v>
      </c>
      <c r="F217" s="1191">
        <f>D217/E217</f>
        <v>0.0376</v>
      </c>
      <c r="G217" s="1195"/>
      <c r="H217" s="1196"/>
      <c r="I217" s="1191">
        <f>F217</f>
        <v>0.0376</v>
      </c>
      <c r="J217" s="1192">
        <v>1</v>
      </c>
      <c r="K217" t="s" s="1193">
        <v>1074</v>
      </c>
      <c r="L217" t="s" s="1194">
        <v>971</v>
      </c>
      <c r="M217" s="1167"/>
      <c r="N217" s="142"/>
      <c r="O217" s="142"/>
      <c r="P217" s="237"/>
      <c r="Q217" s="237"/>
      <c r="R217" s="237"/>
      <c r="S217" s="237"/>
      <c r="T217" s="237"/>
      <c r="U217" s="237"/>
      <c r="V217" s="237"/>
      <c r="W217" s="237"/>
      <c r="X217" s="237"/>
      <c r="Y217" s="237"/>
      <c r="Z217" s="237"/>
    </row>
    <row r="218" ht="12.75" customHeight="1">
      <c r="A218" s="1187">
        <v>2595</v>
      </c>
      <c r="B218" t="s" s="1237">
        <v>1092</v>
      </c>
      <c r="C218" t="s" s="1188">
        <v>1187</v>
      </c>
      <c r="D218" s="1192">
        <v>600</v>
      </c>
      <c r="E218" s="1190">
        <v>1000</v>
      </c>
      <c r="F218" s="1191">
        <f>D218/E218</f>
        <v>0.6</v>
      </c>
      <c r="G218" s="1192">
        <v>12.5</v>
      </c>
      <c r="H218" s="1190">
        <v>50</v>
      </c>
      <c r="I218" s="1191">
        <f>G218/H218</f>
        <v>0.25</v>
      </c>
      <c r="J218" s="1192">
        <v>0.05</v>
      </c>
      <c r="K218" t="s" s="1193">
        <v>966</v>
      </c>
      <c r="L218" t="s" s="1194">
        <v>971</v>
      </c>
      <c r="M218" s="1167"/>
      <c r="N218" s="142"/>
      <c r="O218" s="142"/>
      <c r="P218" s="237"/>
      <c r="Q218" s="237"/>
      <c r="R218" s="237"/>
      <c r="S218" s="237"/>
      <c r="T218" s="237"/>
      <c r="U218" s="237"/>
      <c r="V218" s="237"/>
      <c r="W218" s="237"/>
      <c r="X218" s="237"/>
      <c r="Y218" s="237"/>
      <c r="Z218" s="237"/>
    </row>
    <row r="219" ht="12.75" customHeight="1">
      <c r="A219" s="1187">
        <v>2596</v>
      </c>
      <c r="B219" t="s" s="1237">
        <v>1092</v>
      </c>
      <c r="C219" t="s" s="1188">
        <v>1188</v>
      </c>
      <c r="D219" s="1192">
        <v>490</v>
      </c>
      <c r="E219" s="1190">
        <v>1000</v>
      </c>
      <c r="F219" s="1191">
        <f>D219/E219</f>
        <v>0.49</v>
      </c>
      <c r="G219" s="1195"/>
      <c r="H219" s="1196"/>
      <c r="I219" s="1191">
        <f>F219</f>
        <v>0.49</v>
      </c>
      <c r="J219" s="1192">
        <v>0.05</v>
      </c>
      <c r="K219" t="s" s="1193">
        <v>966</v>
      </c>
      <c r="L219" t="s" s="1194">
        <v>971</v>
      </c>
      <c r="M219" s="1167"/>
      <c r="N219" s="142"/>
      <c r="O219" s="142"/>
      <c r="P219" s="237"/>
      <c r="Q219" s="237"/>
      <c r="R219" s="237"/>
      <c r="S219" s="237"/>
      <c r="T219" s="237"/>
      <c r="U219" s="237"/>
      <c r="V219" s="237"/>
      <c r="W219" s="237"/>
      <c r="X219" s="237"/>
      <c r="Y219" s="237"/>
      <c r="Z219" s="237"/>
    </row>
    <row r="220" ht="12.75" customHeight="1">
      <c r="A220" s="1187">
        <v>2597</v>
      </c>
      <c r="B220" t="s" s="1237">
        <v>1092</v>
      </c>
      <c r="C220" t="s" s="1188">
        <v>1189</v>
      </c>
      <c r="D220" s="1192">
        <v>18</v>
      </c>
      <c r="E220" s="1190">
        <v>1000</v>
      </c>
      <c r="F220" s="1191">
        <f>D220/E220</f>
        <v>0.018</v>
      </c>
      <c r="G220" s="1192">
        <v>3.3</v>
      </c>
      <c r="H220" s="1190">
        <v>100</v>
      </c>
      <c r="I220" s="1191">
        <f>G220/H220</f>
        <v>0.033</v>
      </c>
      <c r="J220" s="1192">
        <v>0.05</v>
      </c>
      <c r="K220" t="s" s="1193">
        <v>966</v>
      </c>
      <c r="L220" t="s" s="1194">
        <v>971</v>
      </c>
      <c r="M220" s="1167"/>
      <c r="N220" s="142"/>
      <c r="O220" s="142"/>
      <c r="P220" s="237"/>
      <c r="Q220" s="237"/>
      <c r="R220" s="237"/>
      <c r="S220" s="237"/>
      <c r="T220" s="237"/>
      <c r="U220" s="237"/>
      <c r="V220" s="237"/>
      <c r="W220" s="237"/>
      <c r="X220" s="237"/>
      <c r="Y220" s="237"/>
      <c r="Z220" s="237"/>
    </row>
    <row r="221" ht="12.75" customHeight="1">
      <c r="A221" s="1187">
        <v>2598</v>
      </c>
      <c r="B221" t="s" s="1237">
        <v>1092</v>
      </c>
      <c r="C221" t="s" s="1188">
        <v>1190</v>
      </c>
      <c r="D221" s="1192">
        <v>75</v>
      </c>
      <c r="E221" s="1190">
        <v>1000</v>
      </c>
      <c r="F221" s="1191">
        <f>D221/E221</f>
        <v>0.075</v>
      </c>
      <c r="G221" s="1192">
        <v>5.6</v>
      </c>
      <c r="H221" s="1190">
        <v>50</v>
      </c>
      <c r="I221" s="1191">
        <f>G221/H221</f>
        <v>0.112</v>
      </c>
      <c r="J221" s="1192">
        <v>1</v>
      </c>
      <c r="K221" t="s" s="1193">
        <v>1074</v>
      </c>
      <c r="L221" t="s" s="1194">
        <v>971</v>
      </c>
      <c r="M221" s="1167"/>
      <c r="N221" s="142"/>
      <c r="O221" s="142"/>
      <c r="P221" s="237"/>
      <c r="Q221" s="237"/>
      <c r="R221" s="237"/>
      <c r="S221" s="237"/>
      <c r="T221" s="237"/>
      <c r="U221" s="237"/>
      <c r="V221" s="237"/>
      <c r="W221" s="237"/>
      <c r="X221" s="237"/>
      <c r="Y221" s="237"/>
      <c r="Z221" s="237"/>
    </row>
    <row r="222" ht="12.75" customHeight="1">
      <c r="A222" s="1239">
        <v>2599</v>
      </c>
      <c r="B222" t="s" s="1237">
        <v>1092</v>
      </c>
      <c r="C222" t="s" s="1188">
        <v>1191</v>
      </c>
      <c r="D222" s="1192">
        <v>100</v>
      </c>
      <c r="E222" s="1190">
        <v>1000</v>
      </c>
      <c r="F222" s="1191">
        <f>D222/E222</f>
        <v>0.1</v>
      </c>
      <c r="G222" s="1192">
        <v>120</v>
      </c>
      <c r="H222" s="1190">
        <v>100</v>
      </c>
      <c r="I222" s="1191">
        <f>G222/H222</f>
        <v>1.2</v>
      </c>
      <c r="J222" s="1192">
        <v>0.5</v>
      </c>
      <c r="K222" t="s" s="1193">
        <v>985</v>
      </c>
      <c r="L222" t="s" s="1194">
        <v>971</v>
      </c>
      <c r="M222" s="1167"/>
      <c r="N222" s="142"/>
      <c r="O222" s="142"/>
      <c r="P222" s="237"/>
      <c r="Q222" s="237"/>
      <c r="R222" s="237"/>
      <c r="S222" s="237"/>
      <c r="T222" s="237"/>
      <c r="U222" s="237"/>
      <c r="V222" s="237"/>
      <c r="W222" s="237"/>
      <c r="X222" s="237"/>
      <c r="Y222" s="237"/>
      <c r="Z222" s="237"/>
    </row>
    <row r="223" ht="12.75" customHeight="1">
      <c r="A223" s="1239">
        <v>2600</v>
      </c>
      <c r="B223" t="s" s="1237">
        <v>1092</v>
      </c>
      <c r="C223" t="s" s="1188">
        <v>1192</v>
      </c>
      <c r="D223" s="1192">
        <v>120</v>
      </c>
      <c r="E223" s="1190">
        <v>1000</v>
      </c>
      <c r="F223" s="1191">
        <f>D223/E223</f>
        <v>0.12</v>
      </c>
      <c r="G223" s="1192">
        <v>120</v>
      </c>
      <c r="H223" s="1190">
        <v>100</v>
      </c>
      <c r="I223" s="1191">
        <f>G223/H223</f>
        <v>1.2</v>
      </c>
      <c r="J223" s="1192">
        <v>1</v>
      </c>
      <c r="K223" t="s" s="1193">
        <v>1074</v>
      </c>
      <c r="L223" t="s" s="1194">
        <v>971</v>
      </c>
      <c r="M223" s="1167"/>
      <c r="N223" s="142"/>
      <c r="O223" s="142"/>
      <c r="P223" s="237"/>
      <c r="Q223" s="237"/>
      <c r="R223" s="237"/>
      <c r="S223" s="237"/>
      <c r="T223" s="237"/>
      <c r="U223" s="237"/>
      <c r="V223" s="237"/>
      <c r="W223" s="237"/>
      <c r="X223" s="237"/>
      <c r="Y223" s="237"/>
      <c r="Z223" s="237"/>
    </row>
    <row r="224" ht="12.75" customHeight="1">
      <c r="A224" s="1239">
        <v>2601</v>
      </c>
      <c r="B224" t="s" s="1237">
        <v>1092</v>
      </c>
      <c r="C224" t="s" s="1188">
        <v>1193</v>
      </c>
      <c r="D224" s="1192">
        <v>120</v>
      </c>
      <c r="E224" s="1190">
        <v>1000</v>
      </c>
      <c r="F224" s="1191">
        <f>D224/E224</f>
        <v>0.12</v>
      </c>
      <c r="G224" s="1192">
        <v>120</v>
      </c>
      <c r="H224" s="1190">
        <v>100</v>
      </c>
      <c r="I224" s="1191">
        <f>G224/H224</f>
        <v>1.2</v>
      </c>
      <c r="J224" s="1192">
        <v>0.5</v>
      </c>
      <c r="K224" t="s" s="1193">
        <v>985</v>
      </c>
      <c r="L224" t="s" s="1194">
        <v>971</v>
      </c>
      <c r="M224" s="1167"/>
      <c r="N224" s="142"/>
      <c r="O224" s="142"/>
      <c r="P224" s="237"/>
      <c r="Q224" s="237"/>
      <c r="R224" s="237"/>
      <c r="S224" s="237"/>
      <c r="T224" s="237"/>
      <c r="U224" s="237"/>
      <c r="V224" s="237"/>
      <c r="W224" s="237"/>
      <c r="X224" s="237"/>
      <c r="Y224" s="237"/>
      <c r="Z224" s="237"/>
    </row>
    <row r="225" ht="12.75" customHeight="1">
      <c r="A225" s="1239">
        <v>2602</v>
      </c>
      <c r="B225" t="s" s="1237">
        <v>1092</v>
      </c>
      <c r="C225" t="s" s="1188">
        <v>1194</v>
      </c>
      <c r="D225" s="1192">
        <v>38</v>
      </c>
      <c r="E225" s="1190">
        <v>1000</v>
      </c>
      <c r="F225" s="1191">
        <f>D225/E225</f>
        <v>0.038</v>
      </c>
      <c r="G225" s="1195"/>
      <c r="H225" s="1196"/>
      <c r="I225" s="1191">
        <f>F225</f>
        <v>0.038</v>
      </c>
      <c r="J225" s="1192">
        <v>1</v>
      </c>
      <c r="K225" t="s" s="1193">
        <v>1074</v>
      </c>
      <c r="L225" t="s" s="1194">
        <v>971</v>
      </c>
      <c r="M225" s="1167"/>
      <c r="N225" s="142"/>
      <c r="O225" s="142"/>
      <c r="P225" s="237"/>
      <c r="Q225" s="237"/>
      <c r="R225" s="237"/>
      <c r="S225" s="237"/>
      <c r="T225" s="237"/>
      <c r="U225" s="237"/>
      <c r="V225" s="237"/>
      <c r="W225" s="237"/>
      <c r="X225" s="237"/>
      <c r="Y225" s="237"/>
      <c r="Z225" s="237"/>
    </row>
    <row r="226" ht="12.75" customHeight="1">
      <c r="A226" s="1187">
        <v>2603</v>
      </c>
      <c r="B226" t="s" s="1237">
        <v>1092</v>
      </c>
      <c r="C226" t="s" s="1188">
        <v>1195</v>
      </c>
      <c r="D226" s="1192">
        <v>100</v>
      </c>
      <c r="E226" s="1190">
        <v>5000</v>
      </c>
      <c r="F226" s="1191">
        <f>D226/E226</f>
        <v>0.02</v>
      </c>
      <c r="G226" s="1195"/>
      <c r="H226" s="1196"/>
      <c r="I226" s="1191">
        <f>F226</f>
        <v>0.02</v>
      </c>
      <c r="J226" s="1192">
        <v>1</v>
      </c>
      <c r="K226" t="s" s="1193">
        <v>1074</v>
      </c>
      <c r="L226" t="s" s="1194">
        <v>257</v>
      </c>
      <c r="M226" s="1167"/>
      <c r="N226" s="142"/>
      <c r="O226" s="142"/>
      <c r="P226" s="237"/>
      <c r="Q226" s="237"/>
      <c r="R226" s="237"/>
      <c r="S226" s="237"/>
      <c r="T226" s="237"/>
      <c r="U226" s="237"/>
      <c r="V226" s="237"/>
      <c r="W226" s="237"/>
      <c r="X226" s="237"/>
      <c r="Y226" s="237"/>
      <c r="Z226" s="237"/>
    </row>
    <row r="227" ht="12.75" customHeight="1">
      <c r="A227" s="1187">
        <v>2604</v>
      </c>
      <c r="B227" t="s" s="1237">
        <v>1092</v>
      </c>
      <c r="C227" t="s" s="1188">
        <v>1196</v>
      </c>
      <c r="D227" s="1192">
        <v>13</v>
      </c>
      <c r="E227" s="1190">
        <v>5000</v>
      </c>
      <c r="F227" s="1191">
        <f>D227/E227</f>
        <v>0.0026</v>
      </c>
      <c r="G227" s="1195"/>
      <c r="H227" s="1196"/>
      <c r="I227" s="1191">
        <f>F227</f>
        <v>0.0026</v>
      </c>
      <c r="J227" s="1192">
        <v>1</v>
      </c>
      <c r="K227" t="s" s="1193">
        <v>971</v>
      </c>
      <c r="L227" t="s" s="1194">
        <v>971</v>
      </c>
      <c r="M227" s="1167"/>
      <c r="N227" s="142"/>
      <c r="O227" s="142"/>
      <c r="P227" s="237"/>
      <c r="Q227" s="237"/>
      <c r="R227" s="237"/>
      <c r="S227" s="237"/>
      <c r="T227" s="237"/>
      <c r="U227" s="237"/>
      <c r="V227" s="237"/>
      <c r="W227" s="237"/>
      <c r="X227" s="237"/>
      <c r="Y227" s="237"/>
      <c r="Z227" s="237"/>
    </row>
    <row r="228" ht="12.75" customHeight="1">
      <c r="A228" s="1187">
        <v>2605</v>
      </c>
      <c r="B228" t="s" s="1237">
        <v>1092</v>
      </c>
      <c r="C228" t="s" s="1188">
        <v>1197</v>
      </c>
      <c r="D228" s="1192">
        <v>40.7</v>
      </c>
      <c r="E228" s="1190">
        <v>1000</v>
      </c>
      <c r="F228" s="1191">
        <f>D228/E228</f>
        <v>0.0407</v>
      </c>
      <c r="G228" s="1195"/>
      <c r="H228" s="1196"/>
      <c r="I228" s="1191">
        <f>F228</f>
        <v>0.0407</v>
      </c>
      <c r="J228" s="1192">
        <v>0.05</v>
      </c>
      <c r="K228" t="s" s="1193">
        <v>966</v>
      </c>
      <c r="L228" t="s" s="1194">
        <v>971</v>
      </c>
      <c r="M228" s="1167"/>
      <c r="N228" s="142"/>
      <c r="O228" s="142"/>
      <c r="P228" s="237"/>
      <c r="Q228" s="237"/>
      <c r="R228" s="237"/>
      <c r="S228" s="237"/>
      <c r="T228" s="237"/>
      <c r="U228" s="237"/>
      <c r="V228" s="237"/>
      <c r="W228" s="237"/>
      <c r="X228" s="237"/>
      <c r="Y228" s="237"/>
      <c r="Z228" s="237"/>
    </row>
    <row r="229" ht="12.75" customHeight="1">
      <c r="A229" s="1187">
        <v>2606</v>
      </c>
      <c r="B229" t="s" s="1237">
        <v>1092</v>
      </c>
      <c r="C229" t="s" s="1188">
        <v>1198</v>
      </c>
      <c r="D229" s="1192">
        <v>528</v>
      </c>
      <c r="E229" s="1190">
        <v>1000</v>
      </c>
      <c r="F229" s="1191">
        <f>D229/E229</f>
        <v>0.528</v>
      </c>
      <c r="G229" s="1195"/>
      <c r="H229" s="1196"/>
      <c r="I229" s="1191">
        <f>F229</f>
        <v>0.528</v>
      </c>
      <c r="J229" s="1192">
        <v>0.05</v>
      </c>
      <c r="K229" t="s" s="1193">
        <v>966</v>
      </c>
      <c r="L229" t="s" s="1194">
        <v>257</v>
      </c>
      <c r="M229" s="1167"/>
      <c r="N229" s="142"/>
      <c r="O229" s="142"/>
      <c r="P229" s="237"/>
      <c r="Q229" s="237"/>
      <c r="R229" s="237"/>
      <c r="S229" s="237"/>
      <c r="T229" s="237"/>
      <c r="U229" s="237"/>
      <c r="V229" s="237"/>
      <c r="W229" s="237"/>
      <c r="X229" s="237"/>
      <c r="Y229" s="237"/>
      <c r="Z229" s="237"/>
    </row>
    <row r="230" ht="12.75" customHeight="1">
      <c r="A230" s="1187">
        <v>2607</v>
      </c>
      <c r="B230" t="s" s="1237">
        <v>1092</v>
      </c>
      <c r="C230" t="s" s="1188">
        <v>1199</v>
      </c>
      <c r="D230" s="1192">
        <v>39</v>
      </c>
      <c r="E230" s="1190">
        <v>1000</v>
      </c>
      <c r="F230" s="1191">
        <f>D230/E230</f>
        <v>0.039</v>
      </c>
      <c r="G230" s="1192">
        <v>4.3</v>
      </c>
      <c r="H230" s="1190">
        <v>100</v>
      </c>
      <c r="I230" s="1191">
        <f>G230/H230</f>
        <v>0.043</v>
      </c>
      <c r="J230" s="1192">
        <v>0.5</v>
      </c>
      <c r="K230" t="s" s="1193">
        <v>985</v>
      </c>
      <c r="L230" t="s" s="1194">
        <v>971</v>
      </c>
      <c r="M230" s="1167"/>
      <c r="N230" s="142"/>
      <c r="O230" s="142"/>
      <c r="P230" s="237"/>
      <c r="Q230" s="237"/>
      <c r="R230" s="237"/>
      <c r="S230" s="237"/>
      <c r="T230" s="237"/>
      <c r="U230" s="237"/>
      <c r="V230" s="237"/>
      <c r="W230" s="237"/>
      <c r="X230" s="237"/>
      <c r="Y230" s="237"/>
      <c r="Z230" s="237"/>
    </row>
    <row r="231" ht="12.75" customHeight="1">
      <c r="A231" s="1187">
        <v>2608</v>
      </c>
      <c r="B231" t="s" s="1237">
        <v>1092</v>
      </c>
      <c r="C231" t="s" s="1188">
        <v>1200</v>
      </c>
      <c r="D231" s="1192">
        <v>100</v>
      </c>
      <c r="E231" s="1190">
        <v>1000</v>
      </c>
      <c r="F231" s="1191">
        <f>D231/E231</f>
        <v>0.1</v>
      </c>
      <c r="G231" s="1192">
        <v>100</v>
      </c>
      <c r="H231" s="1190">
        <v>10</v>
      </c>
      <c r="I231" s="1191">
        <f>G231/H231</f>
        <v>10</v>
      </c>
      <c r="J231" s="1192">
        <v>0.05</v>
      </c>
      <c r="K231" t="s" s="1193">
        <v>966</v>
      </c>
      <c r="L231" t="s" s="1194">
        <v>969</v>
      </c>
      <c r="M231" s="1167"/>
      <c r="N231" s="142"/>
      <c r="O231" s="142"/>
      <c r="P231" s="237"/>
      <c r="Q231" s="237"/>
      <c r="R231" s="237"/>
      <c r="S231" s="237"/>
      <c r="T231" s="237"/>
      <c r="U231" s="237"/>
      <c r="V231" s="237"/>
      <c r="W231" s="237"/>
      <c r="X231" s="237"/>
      <c r="Y231" s="237"/>
      <c r="Z231" s="237"/>
    </row>
    <row r="232" ht="13.65" customHeight="1">
      <c r="A232" s="1187">
        <v>2609</v>
      </c>
      <c r="B232" t="s" s="1237">
        <v>1092</v>
      </c>
      <c r="C232" t="s" s="1244">
        <v>1201</v>
      </c>
      <c r="D232" s="1192">
        <v>100</v>
      </c>
      <c r="E232" s="1190">
        <v>1000</v>
      </c>
      <c r="F232" s="1191">
        <f>D232/E232</f>
        <v>0.1</v>
      </c>
      <c r="G232" s="1192">
        <v>100</v>
      </c>
      <c r="H232" s="1190">
        <v>50</v>
      </c>
      <c r="I232" s="1191">
        <f>G232/H232</f>
        <v>2</v>
      </c>
      <c r="J232" s="1192">
        <v>1</v>
      </c>
      <c r="K232" t="s" s="1193">
        <v>1074</v>
      </c>
      <c r="L232" t="s" s="1194">
        <v>971</v>
      </c>
      <c r="M232" s="1167"/>
      <c r="N232" s="142"/>
      <c r="O232" s="142"/>
      <c r="P232" s="237"/>
      <c r="Q232" s="237"/>
      <c r="R232" s="237"/>
      <c r="S232" s="237"/>
      <c r="T232" s="237"/>
      <c r="U232" s="237"/>
      <c r="V232" s="237"/>
      <c r="W232" s="237"/>
      <c r="X232" s="237"/>
      <c r="Y232" s="237"/>
      <c r="Z232" s="237"/>
    </row>
    <row r="233" ht="12.75" customHeight="1">
      <c r="A233" s="1239">
        <v>2610</v>
      </c>
      <c r="B233" t="s" s="1237">
        <v>1092</v>
      </c>
      <c r="C233" t="s" s="1227">
        <v>1202</v>
      </c>
      <c r="D233" s="1192">
        <v>100</v>
      </c>
      <c r="E233" s="1190">
        <v>1000</v>
      </c>
      <c r="F233" s="1191">
        <f>D233/E233</f>
        <v>0.1</v>
      </c>
      <c r="G233" s="1195"/>
      <c r="H233" s="1196"/>
      <c r="I233" s="1191">
        <v>0.1</v>
      </c>
      <c r="J233" s="1192">
        <v>0.05</v>
      </c>
      <c r="K233" t="s" s="1193">
        <v>966</v>
      </c>
      <c r="L233" t="s" s="1194">
        <v>971</v>
      </c>
      <c r="M233" s="1167"/>
      <c r="N233" s="142"/>
      <c r="O233" s="142"/>
      <c r="P233" s="237"/>
      <c r="Q233" s="237"/>
      <c r="R233" s="237"/>
      <c r="S233" s="237"/>
      <c r="T233" s="237"/>
      <c r="U233" s="237"/>
      <c r="V233" s="237"/>
      <c r="W233" s="237"/>
      <c r="X233" s="237"/>
      <c r="Y233" s="237"/>
      <c r="Z233" s="237"/>
    </row>
    <row r="234" ht="12.75" customHeight="1">
      <c r="A234" s="1239">
        <v>2611</v>
      </c>
      <c r="B234" t="s" s="1237">
        <v>1092</v>
      </c>
      <c r="C234" t="s" s="1188">
        <v>1203</v>
      </c>
      <c r="D234" s="1192">
        <v>100</v>
      </c>
      <c r="E234" s="1190">
        <v>1000</v>
      </c>
      <c r="F234" s="1191">
        <f>D234/E234</f>
        <v>0.1</v>
      </c>
      <c r="G234" s="1195"/>
      <c r="H234" s="1196"/>
      <c r="I234" s="1191">
        <v>0.1</v>
      </c>
      <c r="J234" s="1192">
        <v>1</v>
      </c>
      <c r="K234" t="s" s="1193">
        <v>1074</v>
      </c>
      <c r="L234" t="s" s="1194">
        <v>971</v>
      </c>
      <c r="M234" s="1167"/>
      <c r="N234" s="142"/>
      <c r="O234" s="142"/>
      <c r="P234" s="237"/>
      <c r="Q234" s="237"/>
      <c r="R234" s="237"/>
      <c r="S234" s="237"/>
      <c r="T234" s="237"/>
      <c r="U234" s="237"/>
      <c r="V234" s="237"/>
      <c r="W234" s="237"/>
      <c r="X234" s="237"/>
      <c r="Y234" s="237"/>
      <c r="Z234" s="237"/>
    </row>
    <row r="235" ht="13.65" customHeight="1">
      <c r="A235" s="1239">
        <v>2612</v>
      </c>
      <c r="B235" t="s" s="1237">
        <v>1092</v>
      </c>
      <c r="C235" t="s" s="1244">
        <v>1204</v>
      </c>
      <c r="D235" s="1192">
        <v>100</v>
      </c>
      <c r="E235" s="1190">
        <v>1000</v>
      </c>
      <c r="F235" s="1191">
        <f>D235/E235</f>
        <v>0.1</v>
      </c>
      <c r="G235" s="1195"/>
      <c r="H235" s="1196"/>
      <c r="I235" s="1191">
        <v>0.1</v>
      </c>
      <c r="J235" s="1192">
        <v>1</v>
      </c>
      <c r="K235" t="s" s="1193">
        <v>1074</v>
      </c>
      <c r="L235" t="s" s="1194">
        <v>971</v>
      </c>
      <c r="M235" s="1167"/>
      <c r="N235" s="142"/>
      <c r="O235" s="142"/>
      <c r="P235" s="237"/>
      <c r="Q235" s="237"/>
      <c r="R235" s="237"/>
      <c r="S235" s="237"/>
      <c r="T235" s="237"/>
      <c r="U235" s="237"/>
      <c r="V235" s="237"/>
      <c r="W235" s="237"/>
      <c r="X235" s="237"/>
      <c r="Y235" s="237"/>
      <c r="Z235" s="237"/>
    </row>
    <row r="236" ht="13.65" customHeight="1">
      <c r="A236" s="1239">
        <v>2613</v>
      </c>
      <c r="B236" t="s" s="1237">
        <v>1092</v>
      </c>
      <c r="C236" t="s" s="1244">
        <v>1205</v>
      </c>
      <c r="D236" s="1192">
        <v>100</v>
      </c>
      <c r="E236" s="1190">
        <v>1000</v>
      </c>
      <c r="F236" s="1191">
        <f>D236/E236</f>
        <v>0.1</v>
      </c>
      <c r="G236" s="1195"/>
      <c r="H236" s="1196"/>
      <c r="I236" s="1191">
        <v>0.1</v>
      </c>
      <c r="J236" s="1192">
        <v>1</v>
      </c>
      <c r="K236" t="s" s="1193">
        <v>1074</v>
      </c>
      <c r="L236" t="s" s="1194">
        <v>971</v>
      </c>
      <c r="M236" s="1167"/>
      <c r="N236" s="142"/>
      <c r="O236" s="142"/>
      <c r="P236" s="237"/>
      <c r="Q236" s="237"/>
      <c r="R236" s="237"/>
      <c r="S236" s="237"/>
      <c r="T236" s="237"/>
      <c r="U236" s="237"/>
      <c r="V236" s="237"/>
      <c r="W236" s="237"/>
      <c r="X236" s="237"/>
      <c r="Y236" s="237"/>
      <c r="Z236" s="237"/>
    </row>
    <row r="237" ht="12.75" customHeight="1">
      <c r="A237" s="1239">
        <v>2614</v>
      </c>
      <c r="B237" t="s" s="1237">
        <v>1092</v>
      </c>
      <c r="C237" t="s" s="1227">
        <v>1206</v>
      </c>
      <c r="D237" s="1192">
        <v>100</v>
      </c>
      <c r="E237" s="1190">
        <v>1000</v>
      </c>
      <c r="F237" s="1191">
        <f>D237/E237</f>
        <v>0.1</v>
      </c>
      <c r="G237" s="1195"/>
      <c r="H237" s="1196"/>
      <c r="I237" s="1191">
        <v>0.1</v>
      </c>
      <c r="J237" s="1192">
        <v>1</v>
      </c>
      <c r="K237" t="s" s="1193">
        <v>1074</v>
      </c>
      <c r="L237" t="s" s="1194">
        <v>971</v>
      </c>
      <c r="M237" s="1167"/>
      <c r="N237" s="142"/>
      <c r="O237" s="142"/>
      <c r="P237" s="237"/>
      <c r="Q237" s="237"/>
      <c r="R237" s="237"/>
      <c r="S237" s="237"/>
      <c r="T237" s="237"/>
      <c r="U237" s="237"/>
      <c r="V237" s="237"/>
      <c r="W237" s="237"/>
      <c r="X237" s="237"/>
      <c r="Y237" s="237"/>
      <c r="Z237" s="237"/>
    </row>
    <row r="238" ht="12.75" customHeight="1">
      <c r="A238" s="1245">
        <v>2615</v>
      </c>
      <c r="B238" t="s" s="1237">
        <v>1092</v>
      </c>
      <c r="C238" t="s" s="1188">
        <v>1207</v>
      </c>
      <c r="D238" s="1192">
        <v>0.59</v>
      </c>
      <c r="E238" s="1190">
        <v>5000</v>
      </c>
      <c r="F238" s="1191">
        <f>D238/E238</f>
        <v>0.000118</v>
      </c>
      <c r="G238" s="1195"/>
      <c r="H238" s="1196"/>
      <c r="I238" s="1191">
        <f>F238</f>
        <v>0.000118</v>
      </c>
      <c r="J238" s="1192">
        <v>0.05</v>
      </c>
      <c r="K238" t="s" s="1193">
        <v>966</v>
      </c>
      <c r="L238" t="s" s="1194">
        <v>971</v>
      </c>
      <c r="M238" s="1167"/>
      <c r="N238" s="142"/>
      <c r="O238" s="142"/>
      <c r="P238" s="237"/>
      <c r="Q238" s="237"/>
      <c r="R238" s="237"/>
      <c r="S238" s="237"/>
      <c r="T238" s="237"/>
      <c r="U238" s="237"/>
      <c r="V238" s="237"/>
      <c r="W238" s="237"/>
      <c r="X238" s="237"/>
      <c r="Y238" s="237"/>
      <c r="Z238" s="237"/>
    </row>
    <row r="239" ht="12.75" customHeight="1">
      <c r="A239" s="1245">
        <v>2616</v>
      </c>
      <c r="B239" t="s" s="1237">
        <v>1092</v>
      </c>
      <c r="C239" t="s" s="1188">
        <v>1208</v>
      </c>
      <c r="D239" s="1192">
        <v>7.4</v>
      </c>
      <c r="E239" s="1190">
        <v>1000</v>
      </c>
      <c r="F239" s="1191">
        <f>D239/E239</f>
        <v>0.0074</v>
      </c>
      <c r="G239" s="1195"/>
      <c r="H239" s="1196"/>
      <c r="I239" s="1191">
        <f>F239</f>
        <v>0.0074</v>
      </c>
      <c r="J239" s="1192">
        <v>0.05</v>
      </c>
      <c r="K239" t="s" s="1193">
        <v>966</v>
      </c>
      <c r="L239" t="s" s="1194">
        <v>971</v>
      </c>
      <c r="M239" s="1167"/>
      <c r="N239" s="142"/>
      <c r="O239" s="142"/>
      <c r="P239" s="237"/>
      <c r="Q239" s="237"/>
      <c r="R239" s="237"/>
      <c r="S239" s="237"/>
      <c r="T239" s="237"/>
      <c r="U239" s="237"/>
      <c r="V239" s="237"/>
      <c r="W239" s="237"/>
      <c r="X239" s="237"/>
      <c r="Y239" s="237"/>
      <c r="Z239" s="237"/>
    </row>
    <row r="240" ht="12.75" customHeight="1">
      <c r="A240" s="1245">
        <v>2617</v>
      </c>
      <c r="B240" t="s" s="1237">
        <v>1092</v>
      </c>
      <c r="C240" t="s" s="1188">
        <v>1209</v>
      </c>
      <c r="D240" s="1192">
        <v>100</v>
      </c>
      <c r="E240" s="1190">
        <v>5000</v>
      </c>
      <c r="F240" s="1191">
        <f>D240/E240</f>
        <v>0.02</v>
      </c>
      <c r="G240" s="1195"/>
      <c r="H240" s="1196"/>
      <c r="I240" s="1191">
        <f>F240</f>
        <v>0.02</v>
      </c>
      <c r="J240" s="1192">
        <v>0.05</v>
      </c>
      <c r="K240" t="s" s="1193">
        <v>966</v>
      </c>
      <c r="L240" t="s" s="1194">
        <v>971</v>
      </c>
      <c r="M240" s="1167"/>
      <c r="N240" s="142"/>
      <c r="O240" s="142"/>
      <c r="P240" s="237"/>
      <c r="Q240" s="237"/>
      <c r="R240" s="237"/>
      <c r="S240" s="237"/>
      <c r="T240" s="237"/>
      <c r="U240" s="237"/>
      <c r="V240" s="237"/>
      <c r="W240" s="237"/>
      <c r="X240" s="237"/>
      <c r="Y240" s="237"/>
      <c r="Z240" s="237"/>
    </row>
    <row r="241" ht="12.75" customHeight="1">
      <c r="A241" s="1245">
        <v>2618</v>
      </c>
      <c r="B241" t="s" s="1237">
        <v>1092</v>
      </c>
      <c r="C241" t="s" s="1188">
        <v>1210</v>
      </c>
      <c r="D241" s="1192">
        <v>100</v>
      </c>
      <c r="E241" s="1190">
        <v>1000</v>
      </c>
      <c r="F241" s="1191">
        <f>D241/E241</f>
        <v>0.1</v>
      </c>
      <c r="G241" s="1195"/>
      <c r="H241" s="1196"/>
      <c r="I241" s="1191">
        <f>F241</f>
        <v>0.1</v>
      </c>
      <c r="J241" s="1192">
        <v>0.05</v>
      </c>
      <c r="K241" t="s" s="1193">
        <v>966</v>
      </c>
      <c r="L241" t="s" s="1194">
        <v>971</v>
      </c>
      <c r="M241" s="1246"/>
      <c r="N241" s="1247"/>
      <c r="O241" s="1247"/>
      <c r="P241" s="237"/>
      <c r="Q241" s="237"/>
      <c r="R241" s="237"/>
      <c r="S241" s="237"/>
      <c r="T241" s="237"/>
      <c r="U241" s="237"/>
      <c r="V241" s="237"/>
      <c r="W241" s="237"/>
      <c r="X241" s="237"/>
      <c r="Y241" s="237"/>
      <c r="Z241" s="237"/>
    </row>
    <row r="242" ht="12.75" customHeight="1">
      <c r="A242" s="1197">
        <v>2619</v>
      </c>
      <c r="B242" t="s" s="1237">
        <v>1092</v>
      </c>
      <c r="C242" t="s" s="1188">
        <v>1211</v>
      </c>
      <c r="D242" s="1192">
        <v>2.2</v>
      </c>
      <c r="E242" s="1190">
        <v>1000</v>
      </c>
      <c r="F242" s="1191">
        <f>D242/E242</f>
        <v>0.0022</v>
      </c>
      <c r="G242" s="1195"/>
      <c r="H242" s="1196"/>
      <c r="I242" s="1191">
        <f>F242</f>
        <v>0.0022</v>
      </c>
      <c r="J242" s="1192">
        <v>0.05</v>
      </c>
      <c r="K242" t="s" s="1193">
        <v>966</v>
      </c>
      <c r="L242" t="s" s="1194">
        <v>969</v>
      </c>
      <c r="M242" s="1246"/>
      <c r="N242" s="1247"/>
      <c r="O242" s="1247"/>
      <c r="P242" s="237"/>
      <c r="Q242" s="237"/>
      <c r="R242" s="237"/>
      <c r="S242" s="237"/>
      <c r="T242" s="237"/>
      <c r="U242" s="237"/>
      <c r="V242" s="237"/>
      <c r="W242" s="237"/>
      <c r="X242" s="237"/>
      <c r="Y242" s="237"/>
      <c r="Z242" s="237"/>
    </row>
    <row r="243" ht="12.75" customHeight="1">
      <c r="A243" s="1197">
        <v>2620</v>
      </c>
      <c r="B243" t="s" s="1237">
        <v>1092</v>
      </c>
      <c r="C243" t="s" s="1188">
        <v>1212</v>
      </c>
      <c r="D243" s="1192">
        <v>100</v>
      </c>
      <c r="E243" s="1190">
        <v>1000</v>
      </c>
      <c r="F243" s="1191">
        <f>D243/E243</f>
        <v>0.1</v>
      </c>
      <c r="G243" s="1192">
        <v>100</v>
      </c>
      <c r="H243" s="1190">
        <v>50</v>
      </c>
      <c r="I243" s="1191">
        <f>G243/H243</f>
        <v>2</v>
      </c>
      <c r="J243" s="1192">
        <v>0.05</v>
      </c>
      <c r="K243" t="s" s="1193">
        <v>966</v>
      </c>
      <c r="L243" t="s" s="1194">
        <v>971</v>
      </c>
      <c r="M243" s="1246"/>
      <c r="N243" s="1247"/>
      <c r="O243" s="1247"/>
      <c r="P243" s="237"/>
      <c r="Q243" s="237"/>
      <c r="R243" s="237"/>
      <c r="S243" s="237"/>
      <c r="T243" s="237"/>
      <c r="U243" s="237"/>
      <c r="V243" s="237"/>
      <c r="W243" s="237"/>
      <c r="X243" s="237"/>
      <c r="Y243" s="237"/>
      <c r="Z243" s="237"/>
    </row>
    <row r="244" ht="13.5" customHeight="1">
      <c r="A244" s="1219">
        <v>2621</v>
      </c>
      <c r="B244" t="s" s="1248">
        <v>1092</v>
      </c>
      <c r="C244" t="s" s="1217">
        <v>1213</v>
      </c>
      <c r="D244" s="1218">
        <v>100</v>
      </c>
      <c r="E244" s="1219">
        <v>1000</v>
      </c>
      <c r="F244" s="1220">
        <f>D244/E244</f>
        <v>0.1</v>
      </c>
      <c r="G244" s="1249"/>
      <c r="H244" s="1250"/>
      <c r="I244" s="1220">
        <f>F244</f>
        <v>0.1</v>
      </c>
      <c r="J244" s="1218">
        <v>1</v>
      </c>
      <c r="K244" t="s" s="1223">
        <v>1074</v>
      </c>
      <c r="L244" t="s" s="1224">
        <v>257</v>
      </c>
      <c r="M244" s="1246"/>
      <c r="N244" s="1247"/>
      <c r="O244" s="1247"/>
      <c r="P244" s="237"/>
      <c r="Q244" s="237"/>
      <c r="R244" s="237"/>
      <c r="S244" s="237"/>
      <c r="T244" s="237"/>
      <c r="U244" s="237"/>
      <c r="V244" s="237"/>
      <c r="W244" s="237"/>
      <c r="X244" s="237"/>
      <c r="Y244" s="237"/>
      <c r="Z244" s="237"/>
    </row>
    <row r="245" ht="12.75" customHeight="1">
      <c r="A245" s="1251"/>
      <c r="B245" s="1252"/>
      <c r="C245" s="1251"/>
      <c r="D245" s="1251"/>
      <c r="E245" s="1251"/>
      <c r="F245" s="1251"/>
      <c r="G245" s="1251"/>
      <c r="H245" s="1251"/>
      <c r="I245" s="1251"/>
      <c r="J245" s="1251"/>
      <c r="K245" s="1251"/>
      <c r="L245" s="1251"/>
      <c r="M245" s="1247"/>
      <c r="N245" s="1247"/>
      <c r="O245" s="1247"/>
      <c r="P245" s="237"/>
      <c r="Q245" s="237"/>
      <c r="R245" s="237"/>
      <c r="S245" s="237"/>
      <c r="T245" s="237"/>
      <c r="U245" s="237"/>
      <c r="V245" s="237"/>
      <c r="W245" s="237"/>
      <c r="X245" s="237"/>
      <c r="Y245" s="237"/>
      <c r="Z245" s="237"/>
    </row>
    <row r="246" ht="12.75" customHeight="1">
      <c r="A246" s="142"/>
      <c r="B246" s="1253"/>
      <c r="C246" s="142"/>
      <c r="D246" s="142"/>
      <c r="E246" s="142"/>
      <c r="F246" s="142"/>
      <c r="G246" s="142"/>
      <c r="H246" s="142"/>
      <c r="I246" s="142"/>
      <c r="J246" s="142"/>
      <c r="K246" s="142"/>
      <c r="L246" s="142"/>
      <c r="M246" s="1247"/>
      <c r="N246" s="1247"/>
      <c r="O246" s="1247"/>
      <c r="P246" s="237"/>
      <c r="Q246" s="237"/>
      <c r="R246" s="237"/>
      <c r="S246" s="237"/>
      <c r="T246" s="237"/>
      <c r="U246" s="237"/>
      <c r="V246" s="237"/>
      <c r="W246" s="237"/>
      <c r="X246" s="237"/>
      <c r="Y246" s="237"/>
      <c r="Z246" s="237"/>
    </row>
    <row r="247" ht="12.75" customHeight="1">
      <c r="A247" t="s" s="1254">
        <v>1214</v>
      </c>
      <c r="B247" s="1253"/>
      <c r="C247" s="1255"/>
      <c r="D247" s="1256"/>
      <c r="E247" s="1256"/>
      <c r="F247" s="1256"/>
      <c r="G247" s="1256"/>
      <c r="H247" s="1256"/>
      <c r="I247" s="1256"/>
      <c r="J247" s="1256"/>
      <c r="K247" s="142"/>
      <c r="L247" s="142"/>
      <c r="M247" s="142"/>
      <c r="N247" s="142"/>
      <c r="O247" s="142"/>
      <c r="P247" s="237"/>
      <c r="Q247" s="237"/>
      <c r="R247" s="237"/>
      <c r="S247" s="237"/>
      <c r="T247" s="237"/>
      <c r="U247" s="237"/>
      <c r="V247" s="237"/>
      <c r="W247" s="237"/>
      <c r="X247" s="237"/>
      <c r="Y247" s="237"/>
      <c r="Z247" s="237"/>
    </row>
    <row r="248" ht="12.75" customHeight="1">
      <c r="A248" t="s" s="1257">
        <v>1215</v>
      </c>
      <c r="B248" s="1258"/>
      <c r="C248" t="s" s="1254">
        <v>1216</v>
      </c>
      <c r="D248" s="1256"/>
      <c r="E248" s="1256"/>
      <c r="F248" s="1256"/>
      <c r="G248" s="1256"/>
      <c r="H248" s="1256"/>
      <c r="I248" s="1256"/>
      <c r="J248" s="1256"/>
      <c r="K248" s="142"/>
      <c r="L248" s="142"/>
      <c r="M248" s="142"/>
      <c r="N248" s="142"/>
      <c r="O248" s="142"/>
      <c r="P248" s="237"/>
      <c r="Q248" s="237"/>
      <c r="R248" s="237"/>
      <c r="S248" s="237"/>
      <c r="T248" s="237"/>
      <c r="U248" s="237"/>
      <c r="V248" s="237"/>
      <c r="W248" s="237"/>
      <c r="X248" s="237"/>
      <c r="Y248" s="237"/>
      <c r="Z248" s="237"/>
    </row>
    <row r="249" ht="12.75" customHeight="1">
      <c r="A249" t="s" s="1254">
        <v>1217</v>
      </c>
      <c r="B249" s="1253"/>
      <c r="C249" t="s" s="1254">
        <v>1218</v>
      </c>
      <c r="D249" s="1256"/>
      <c r="E249" s="1256"/>
      <c r="F249" s="1256"/>
      <c r="G249" s="1256"/>
      <c r="H249" s="1256"/>
      <c r="I249" s="1256"/>
      <c r="J249" s="1256"/>
      <c r="K249" s="142"/>
      <c r="L249" s="142"/>
      <c r="M249" s="142"/>
      <c r="N249" s="142"/>
      <c r="O249" s="142"/>
      <c r="P249" s="237"/>
      <c r="Q249" s="237"/>
      <c r="R249" s="237"/>
      <c r="S249" s="237"/>
      <c r="T249" s="237"/>
      <c r="U249" s="237"/>
      <c r="V249" s="237"/>
      <c r="W249" s="237"/>
      <c r="X249" s="237"/>
      <c r="Y249" s="237"/>
      <c r="Z249" s="237"/>
    </row>
    <row r="250" ht="12.75" customHeight="1">
      <c r="A250" s="1255"/>
      <c r="B250" s="1253"/>
      <c r="C250" t="s" s="1254">
        <v>1219</v>
      </c>
      <c r="D250" s="1256"/>
      <c r="E250" s="1256"/>
      <c r="F250" s="1256"/>
      <c r="G250" s="1256"/>
      <c r="H250" s="1256"/>
      <c r="I250" s="1256"/>
      <c r="J250" s="1256"/>
      <c r="K250" s="142"/>
      <c r="L250" s="142"/>
      <c r="M250" s="142"/>
      <c r="N250" s="142"/>
      <c r="O250" s="142"/>
      <c r="P250" s="237"/>
      <c r="Q250" s="237"/>
      <c r="R250" s="237"/>
      <c r="S250" s="237"/>
      <c r="T250" s="237"/>
      <c r="U250" s="237"/>
      <c r="V250" s="237"/>
      <c r="W250" s="237"/>
      <c r="X250" s="237"/>
      <c r="Y250" s="237"/>
      <c r="Z250" s="237"/>
    </row>
    <row r="251" ht="12.75" customHeight="1">
      <c r="A251" t="s" s="1257">
        <v>1220</v>
      </c>
      <c r="B251" s="1253"/>
      <c r="C251" t="s" s="1254">
        <v>1221</v>
      </c>
      <c r="D251" s="1256"/>
      <c r="E251" s="1256"/>
      <c r="F251" s="1256"/>
      <c r="G251" s="1256"/>
      <c r="H251" s="1256"/>
      <c r="I251" s="1256"/>
      <c r="J251" s="1256"/>
      <c r="K251" s="142"/>
      <c r="L251" s="142"/>
      <c r="M251" s="142"/>
      <c r="N251" s="142"/>
      <c r="O251" s="142"/>
      <c r="P251" s="237"/>
      <c r="Q251" s="237"/>
      <c r="R251" s="237"/>
      <c r="S251" s="237"/>
      <c r="T251" s="237"/>
      <c r="U251" s="237"/>
      <c r="V251" s="237"/>
      <c r="W251" s="237"/>
      <c r="X251" s="237"/>
      <c r="Y251" s="237"/>
      <c r="Z251" s="237"/>
    </row>
    <row r="252" ht="12.75" customHeight="1">
      <c r="A252" t="s" s="1257">
        <v>1222</v>
      </c>
      <c r="B252" s="1253"/>
      <c r="C252" t="s" s="1254">
        <v>1223</v>
      </c>
      <c r="D252" s="1256"/>
      <c r="E252" s="1256"/>
      <c r="F252" s="1256"/>
      <c r="G252" s="1256"/>
      <c r="H252" s="1256"/>
      <c r="I252" s="1256"/>
      <c r="J252" s="1256"/>
      <c r="K252" s="142"/>
      <c r="L252" s="142"/>
      <c r="M252" s="142"/>
      <c r="N252" s="142"/>
      <c r="O252" s="142"/>
      <c r="P252" s="237"/>
      <c r="Q252" s="237"/>
      <c r="R252" s="237"/>
      <c r="S252" s="237"/>
      <c r="T252" s="237"/>
      <c r="U252" s="237"/>
      <c r="V252" s="237"/>
      <c r="W252" s="237"/>
      <c r="X252" s="237"/>
      <c r="Y252" s="237"/>
      <c r="Z252" s="237"/>
    </row>
    <row r="253" ht="12.75" customHeight="1">
      <c r="A253" s="1259"/>
      <c r="B253" s="1253"/>
      <c r="C253" t="s" s="1254">
        <v>1224</v>
      </c>
      <c r="D253" s="1256"/>
      <c r="E253" s="1256"/>
      <c r="F253" s="1256"/>
      <c r="G253" s="1256"/>
      <c r="H253" s="1256"/>
      <c r="I253" s="1256"/>
      <c r="J253" s="1256"/>
      <c r="K253" s="142"/>
      <c r="L253" s="142"/>
      <c r="M253" s="142"/>
      <c r="N253" s="142"/>
      <c r="O253" s="142"/>
      <c r="P253" s="237"/>
      <c r="Q253" s="237"/>
      <c r="R253" s="237"/>
      <c r="S253" s="237"/>
      <c r="T253" s="237"/>
      <c r="U253" s="237"/>
      <c r="V253" s="237"/>
      <c r="W253" s="237"/>
      <c r="X253" s="237"/>
      <c r="Y253" s="237"/>
      <c r="Z253" s="237"/>
    </row>
    <row r="254" ht="12.75" customHeight="1">
      <c r="A254" t="s" s="1257">
        <v>1225</v>
      </c>
      <c r="B254" s="1258"/>
      <c r="C254" t="s" s="1254">
        <v>1226</v>
      </c>
      <c r="D254" s="1256"/>
      <c r="E254" s="1256"/>
      <c r="F254" s="1256"/>
      <c r="G254" s="1256"/>
      <c r="H254" s="1256"/>
      <c r="I254" s="1256"/>
      <c r="J254" s="1256"/>
      <c r="K254" s="142"/>
      <c r="L254" s="142"/>
      <c r="M254" s="142"/>
      <c r="N254" s="142"/>
      <c r="O254" s="142"/>
      <c r="P254" s="237"/>
      <c r="Q254" s="237"/>
      <c r="R254" s="237"/>
      <c r="S254" s="237"/>
      <c r="T254" s="237"/>
      <c r="U254" s="237"/>
      <c r="V254" s="237"/>
      <c r="W254" s="237"/>
      <c r="X254" s="237"/>
      <c r="Y254" s="237"/>
      <c r="Z254" s="237"/>
    </row>
    <row r="255" ht="15.75" customHeight="1">
      <c r="A255" t="s" s="1260">
        <v>1227</v>
      </c>
      <c r="B255" s="1253"/>
      <c r="C255" s="142"/>
      <c r="D255" s="142"/>
      <c r="E255" s="142"/>
      <c r="F255" s="142"/>
      <c r="G255" s="142"/>
      <c r="H255" s="142"/>
      <c r="I255" s="142"/>
      <c r="J255" s="142"/>
      <c r="K255" s="142"/>
      <c r="L255" s="142"/>
      <c r="M255" s="142"/>
      <c r="N255" s="142"/>
      <c r="O255" s="142"/>
      <c r="P255" s="237"/>
      <c r="Q255" s="237"/>
      <c r="R255" s="237"/>
      <c r="S255" s="237"/>
      <c r="T255" s="237"/>
      <c r="U255" s="237"/>
      <c r="V255" s="237"/>
      <c r="W255" s="237"/>
      <c r="X255" s="237"/>
      <c r="Y255" s="237"/>
      <c r="Z255" s="237"/>
    </row>
    <row r="256" ht="12.75" customHeight="1">
      <c r="A256" t="s" s="1254">
        <v>1228</v>
      </c>
      <c r="B256" s="1253"/>
      <c r="C256" t="s" s="1254">
        <v>1229</v>
      </c>
      <c r="D256" s="142"/>
      <c r="E256" s="142"/>
      <c r="F256" s="142"/>
      <c r="G256" s="142"/>
      <c r="H256" s="142"/>
      <c r="I256" s="142"/>
      <c r="J256" s="142"/>
      <c r="K256" s="142"/>
      <c r="L256" s="142"/>
      <c r="M256" s="142"/>
      <c r="N256" s="142"/>
      <c r="O256" s="142"/>
      <c r="P256" s="237"/>
      <c r="Q256" s="237"/>
      <c r="R256" s="237"/>
      <c r="S256" s="237"/>
      <c r="T256" s="237"/>
      <c r="U256" s="237"/>
      <c r="V256" s="237"/>
      <c r="W256" s="237"/>
      <c r="X256" s="237"/>
      <c r="Y256" s="237"/>
      <c r="Z256" s="237"/>
    </row>
    <row r="257" ht="12.75" customHeight="1">
      <c r="A257" t="s" s="1254">
        <v>1230</v>
      </c>
      <c r="B257" s="1253"/>
      <c r="C257" t="s" s="1254">
        <v>1231</v>
      </c>
      <c r="D257" s="142"/>
      <c r="E257" s="142"/>
      <c r="F257" s="142"/>
      <c r="G257" s="142"/>
      <c r="H257" s="142"/>
      <c r="I257" s="142"/>
      <c r="J257" s="142"/>
      <c r="K257" s="142"/>
      <c r="L257" s="142"/>
      <c r="M257" s="142"/>
      <c r="N257" s="142"/>
      <c r="O257" s="142"/>
      <c r="P257" s="237"/>
      <c r="Q257" s="237"/>
      <c r="R257" s="237"/>
      <c r="S257" s="237"/>
      <c r="T257" s="237"/>
      <c r="U257" s="237"/>
      <c r="V257" s="237"/>
      <c r="W257" s="237"/>
      <c r="X257" s="237"/>
      <c r="Y257" s="237"/>
      <c r="Z257" s="237"/>
    </row>
    <row r="258" ht="12.75" customHeight="1">
      <c r="A258" t="s" s="1254">
        <v>1232</v>
      </c>
      <c r="B258" s="1253"/>
      <c r="C258" t="s" s="1254">
        <v>1233</v>
      </c>
      <c r="D258" s="142"/>
      <c r="E258" s="142"/>
      <c r="F258" s="142"/>
      <c r="G258" s="142"/>
      <c r="H258" s="142"/>
      <c r="I258" s="142"/>
      <c r="J258" s="142"/>
      <c r="K258" s="142"/>
      <c r="L258" s="142"/>
      <c r="M258" s="142"/>
      <c r="N258" s="142"/>
      <c r="O258" s="142"/>
      <c r="P258" s="237"/>
      <c r="Q258" s="237"/>
      <c r="R258" s="237"/>
      <c r="S258" s="237"/>
      <c r="T258" s="237"/>
      <c r="U258" s="237"/>
      <c r="V258" s="237"/>
      <c r="W258" s="237"/>
      <c r="X258" s="237"/>
      <c r="Y258" s="237"/>
      <c r="Z258" s="237"/>
    </row>
    <row r="259" ht="12.75" customHeight="1">
      <c r="A259" t="s" s="1254">
        <v>1234</v>
      </c>
      <c r="B259" s="142"/>
      <c r="C259" t="s" s="1254">
        <v>1235</v>
      </c>
      <c r="D259" s="142"/>
      <c r="E259" s="142"/>
      <c r="F259" s="142"/>
      <c r="G259" s="142"/>
      <c r="H259" s="142"/>
      <c r="I259" s="142"/>
      <c r="J259" s="142"/>
      <c r="K259" s="142"/>
      <c r="L259" s="142"/>
      <c r="M259" s="142"/>
      <c r="N259" s="142"/>
      <c r="O259" s="142"/>
      <c r="P259" s="237"/>
      <c r="Q259" s="237"/>
      <c r="R259" s="237"/>
      <c r="S259" s="237"/>
      <c r="T259" s="237"/>
      <c r="U259" s="237"/>
      <c r="V259" s="237"/>
      <c r="W259" s="237"/>
      <c r="X259" s="237"/>
      <c r="Y259" s="237"/>
      <c r="Z259" s="237"/>
    </row>
    <row r="260" ht="12.75" customHeight="1">
      <c r="A260" t="s" s="1254">
        <v>1236</v>
      </c>
      <c r="B260" s="142"/>
      <c r="C260" t="s" s="1254">
        <v>1237</v>
      </c>
      <c r="D260" s="142"/>
      <c r="E260" s="142"/>
      <c r="F260" s="142"/>
      <c r="G260" s="142"/>
      <c r="H260" s="142"/>
      <c r="I260" s="142"/>
      <c r="J260" s="142"/>
      <c r="K260" s="142"/>
      <c r="L260" s="142"/>
      <c r="M260" s="142"/>
      <c r="N260" s="142"/>
      <c r="O260" s="142"/>
      <c r="P260" s="237"/>
      <c r="Q260" s="237"/>
      <c r="R260" s="237"/>
      <c r="S260" s="237"/>
      <c r="T260" s="237"/>
      <c r="U260" s="237"/>
      <c r="V260" s="237"/>
      <c r="W260" s="237"/>
      <c r="X260" s="237"/>
      <c r="Y260" s="237"/>
      <c r="Z260" s="237"/>
    </row>
    <row r="261" ht="12.75" customHeight="1">
      <c r="A261" t="s" s="1261">
        <v>1238</v>
      </c>
      <c r="B261" s="142"/>
      <c r="C261" s="142"/>
      <c r="D261" t="s" s="1262">
        <v>1239</v>
      </c>
      <c r="E261" s="142"/>
      <c r="F261" s="142"/>
      <c r="G261" s="142"/>
      <c r="H261" s="142"/>
      <c r="I261" s="142"/>
      <c r="J261" s="142"/>
      <c r="K261" s="142"/>
      <c r="L261" s="142"/>
      <c r="M261" s="142"/>
      <c r="N261" s="142"/>
      <c r="O261" s="142"/>
      <c r="P261" s="237"/>
      <c r="Q261" s="237"/>
      <c r="R261" s="237"/>
      <c r="S261" s="237"/>
      <c r="T261" s="237"/>
      <c r="U261" s="237"/>
      <c r="V261" s="237"/>
      <c r="W261" s="237"/>
      <c r="X261" s="237"/>
      <c r="Y261" s="237"/>
      <c r="Z261" s="237"/>
    </row>
    <row r="262" ht="12.75" customHeight="1">
      <c r="A262" t="s" s="1254">
        <v>1240</v>
      </c>
      <c r="B262" s="142"/>
      <c r="C262" t="s" s="1254">
        <v>1241</v>
      </c>
      <c r="D262" t="s" s="1263">
        <v>1242</v>
      </c>
      <c r="E262" s="142"/>
      <c r="F262" s="142"/>
      <c r="G262" s="142"/>
      <c r="H262" s="142"/>
      <c r="I262" s="142"/>
      <c r="J262" s="142"/>
      <c r="K262" s="142"/>
      <c r="L262" s="142"/>
      <c r="M262" s="142"/>
      <c r="N262" s="142"/>
      <c r="O262" s="142"/>
      <c r="P262" s="237"/>
      <c r="Q262" s="237"/>
      <c r="R262" s="237"/>
      <c r="S262" s="237"/>
      <c r="T262" s="237"/>
      <c r="U262" s="237"/>
      <c r="V262" s="237"/>
      <c r="W262" s="237"/>
      <c r="X262" s="237"/>
      <c r="Y262" s="237"/>
      <c r="Z262" s="237"/>
    </row>
    <row r="263" ht="12.75" customHeight="1">
      <c r="A263" t="s" s="1254">
        <v>985</v>
      </c>
      <c r="B263" s="142"/>
      <c r="C263" t="s" s="1254">
        <v>1243</v>
      </c>
      <c r="D263" t="s" s="1263">
        <v>985</v>
      </c>
      <c r="E263" s="142"/>
      <c r="F263" s="142"/>
      <c r="G263" s="142"/>
      <c r="H263" s="142"/>
      <c r="I263" s="142"/>
      <c r="J263" s="142"/>
      <c r="K263" s="142"/>
      <c r="L263" s="142"/>
      <c r="M263" s="142"/>
      <c r="N263" s="142"/>
      <c r="O263" s="142"/>
      <c r="P263" s="237"/>
      <c r="Q263" s="237"/>
      <c r="R263" s="237"/>
      <c r="S263" s="237"/>
      <c r="T263" s="237"/>
      <c r="U263" s="237"/>
      <c r="V263" s="237"/>
      <c r="W263" s="237"/>
      <c r="X263" s="237"/>
      <c r="Y263" s="237"/>
      <c r="Z263" s="237"/>
    </row>
    <row r="264" ht="12.75" customHeight="1">
      <c r="A264" t="s" s="1254">
        <v>1244</v>
      </c>
      <c r="B264" s="142"/>
      <c r="C264" t="s" s="1254">
        <v>1245</v>
      </c>
      <c r="D264" t="s" s="1263">
        <v>1246</v>
      </c>
      <c r="E264" s="142"/>
      <c r="F264" s="142"/>
      <c r="G264" s="142"/>
      <c r="H264" s="142"/>
      <c r="I264" s="142"/>
      <c r="J264" s="142"/>
      <c r="K264" s="142"/>
      <c r="L264" s="142"/>
      <c r="M264" s="142"/>
      <c r="N264" s="142"/>
      <c r="O264" s="142"/>
      <c r="P264" s="237"/>
      <c r="Q264" s="237"/>
      <c r="R264" s="237"/>
      <c r="S264" s="237"/>
      <c r="T264" s="237"/>
      <c r="U264" s="237"/>
      <c r="V264" s="237"/>
      <c r="W264" s="237"/>
      <c r="X264" s="237"/>
      <c r="Y264" s="237"/>
      <c r="Z264" s="237"/>
    </row>
    <row r="265" ht="12.75" customHeight="1">
      <c r="A265" t="s" s="1254">
        <v>1045</v>
      </c>
      <c r="B265" s="142"/>
      <c r="C265" t="s" s="1254">
        <v>1247</v>
      </c>
      <c r="D265" t="s" s="1263">
        <v>971</v>
      </c>
      <c r="E265" s="142"/>
      <c r="F265" s="142"/>
      <c r="G265" s="142"/>
      <c r="H265" s="142"/>
      <c r="I265" s="142"/>
      <c r="J265" s="142"/>
      <c r="K265" s="142"/>
      <c r="L265" s="142"/>
      <c r="M265" s="142"/>
      <c r="N265" s="142"/>
      <c r="O265" s="142"/>
      <c r="P265" s="237"/>
      <c r="Q265" s="237"/>
      <c r="R265" s="237"/>
      <c r="S265" s="237"/>
      <c r="T265" s="237"/>
      <c r="U265" s="237"/>
      <c r="V265" s="237"/>
      <c r="W265" s="237"/>
      <c r="X265" s="237"/>
      <c r="Y265" s="237"/>
      <c r="Z265" s="237"/>
    </row>
    <row r="266" ht="12.75" customHeight="1">
      <c r="A266" t="s" s="1254">
        <v>1248</v>
      </c>
      <c r="B266" s="142"/>
      <c r="C266" t="s" s="1254">
        <v>1249</v>
      </c>
      <c r="D266" t="s" s="1263">
        <v>1096</v>
      </c>
      <c r="E266" s="142"/>
      <c r="F266" s="142"/>
      <c r="G266" s="142"/>
      <c r="H266" s="142"/>
      <c r="I266" s="142"/>
      <c r="J266" s="142"/>
      <c r="K266" s="142"/>
      <c r="L266" s="142"/>
      <c r="M266" s="142"/>
      <c r="N266" s="142"/>
      <c r="O266" s="142"/>
      <c r="P266" s="237"/>
      <c r="Q266" s="237"/>
      <c r="R266" s="237"/>
      <c r="S266" s="237"/>
      <c r="T266" s="237"/>
      <c r="U266" s="237"/>
      <c r="V266" s="237"/>
      <c r="W266" s="237"/>
      <c r="X266" s="237"/>
      <c r="Y266" s="237"/>
      <c r="Z266" s="237"/>
    </row>
    <row r="267" ht="12.75" customHeight="1">
      <c r="A267" t="s" s="1261">
        <v>1250</v>
      </c>
      <c r="B267" s="142"/>
      <c r="C267" s="142"/>
      <c r="D267" s="1264"/>
      <c r="E267" s="142"/>
      <c r="F267" s="142"/>
      <c r="G267" s="142"/>
      <c r="H267" s="142"/>
      <c r="I267" s="142"/>
      <c r="J267" s="142"/>
      <c r="K267" s="142"/>
      <c r="L267" s="142"/>
      <c r="M267" s="142"/>
      <c r="N267" s="142"/>
      <c r="O267" s="142"/>
      <c r="P267" s="237"/>
      <c r="Q267" s="237"/>
      <c r="R267" s="237"/>
      <c r="S267" s="237"/>
      <c r="T267" s="237"/>
      <c r="U267" s="237"/>
      <c r="V267" s="237"/>
      <c r="W267" s="237"/>
      <c r="X267" s="237"/>
      <c r="Y267" s="237"/>
      <c r="Z267" s="237"/>
    </row>
    <row r="268" ht="12.75" customHeight="1">
      <c r="A268" t="s" s="1254">
        <v>1251</v>
      </c>
      <c r="B268" s="142"/>
      <c r="C268" t="s" s="1254">
        <v>1252</v>
      </c>
      <c r="D268" t="s" s="1263">
        <v>1253</v>
      </c>
      <c r="E268" s="142"/>
      <c r="F268" s="142"/>
      <c r="G268" s="142"/>
      <c r="H268" s="142"/>
      <c r="I268" s="142"/>
      <c r="J268" s="142"/>
      <c r="K268" s="142"/>
      <c r="L268" s="142"/>
      <c r="M268" s="142"/>
      <c r="N268" s="142"/>
      <c r="O268" s="142"/>
      <c r="P268" s="237"/>
      <c r="Q268" s="237"/>
      <c r="R268" s="237"/>
      <c r="S268" s="237"/>
      <c r="T268" s="237"/>
      <c r="U268" s="237"/>
      <c r="V268" s="237"/>
      <c r="W268" s="237"/>
      <c r="X268" s="237"/>
      <c r="Y268" s="237"/>
      <c r="Z268" s="237"/>
    </row>
    <row r="269" ht="12.75" customHeight="1">
      <c r="A269" t="s" s="1254">
        <v>1254</v>
      </c>
      <c r="B269" s="142"/>
      <c r="C269" t="s" s="1254">
        <v>1255</v>
      </c>
      <c r="D269" t="s" s="1263">
        <v>257</v>
      </c>
      <c r="E269" s="142"/>
      <c r="F269" s="142"/>
      <c r="G269" s="142"/>
      <c r="H269" s="142"/>
      <c r="I269" s="142"/>
      <c r="J269" s="142"/>
      <c r="K269" s="142"/>
      <c r="L269" s="142"/>
      <c r="M269" s="142"/>
      <c r="N269" s="142"/>
      <c r="O269" s="142"/>
      <c r="P269" s="237"/>
      <c r="Q269" s="237"/>
      <c r="R269" s="237"/>
      <c r="S269" s="237"/>
      <c r="T269" s="237"/>
      <c r="U269" s="237"/>
      <c r="V269" s="237"/>
      <c r="W269" s="237"/>
      <c r="X269" s="237"/>
      <c r="Y269" s="237"/>
      <c r="Z269" s="237"/>
    </row>
    <row r="270" ht="12.75" customHeight="1">
      <c r="A270" t="s" s="1254">
        <v>1045</v>
      </c>
      <c r="B270" s="142"/>
      <c r="C270" t="s" s="1254">
        <v>1247</v>
      </c>
      <c r="D270" t="s" s="1263">
        <v>971</v>
      </c>
      <c r="E270" s="142"/>
      <c r="F270" s="142"/>
      <c r="G270" s="142"/>
      <c r="H270" s="142"/>
      <c r="I270" s="142"/>
      <c r="J270" s="142"/>
      <c r="K270" s="142"/>
      <c r="L270" s="142"/>
      <c r="M270" s="142"/>
      <c r="N270" s="142"/>
      <c r="O270" s="142"/>
      <c r="P270" s="237"/>
      <c r="Q270" s="237"/>
      <c r="R270" s="237"/>
      <c r="S270" s="237"/>
      <c r="T270" s="237"/>
      <c r="U270" s="237"/>
      <c r="V270" s="237"/>
      <c r="W270" s="237"/>
      <c r="X270" s="237"/>
      <c r="Y270" s="237"/>
      <c r="Z270" s="237"/>
    </row>
    <row r="271" ht="12.75" customHeight="1">
      <c r="A271" t="s" s="1254">
        <v>1248</v>
      </c>
      <c r="B271" s="142"/>
      <c r="C271" t="s" s="1254">
        <v>1249</v>
      </c>
      <c r="D271" t="s" s="1263">
        <v>1096</v>
      </c>
      <c r="E271" s="142"/>
      <c r="F271" s="142"/>
      <c r="G271" s="142"/>
      <c r="H271" s="142"/>
      <c r="I271" s="142"/>
      <c r="J271" s="142"/>
      <c r="K271" s="142"/>
      <c r="L271" s="142"/>
      <c r="M271" s="142"/>
      <c r="N271" s="142"/>
      <c r="O271" s="142"/>
      <c r="P271" s="237"/>
      <c r="Q271" s="237"/>
      <c r="R271" s="237"/>
      <c r="S271" s="237"/>
      <c r="T271" s="237"/>
      <c r="U271" s="237"/>
      <c r="V271" s="237"/>
      <c r="W271" s="237"/>
      <c r="X271" s="237"/>
      <c r="Y271" s="237"/>
      <c r="Z271" s="237"/>
    </row>
    <row r="272" ht="12.75" customHeight="1">
      <c r="A272" s="142"/>
      <c r="B272" s="142"/>
      <c r="C272" s="142"/>
      <c r="D272" s="142"/>
      <c r="E272" s="142"/>
      <c r="F272" s="142"/>
      <c r="G272" s="142"/>
      <c r="H272" s="142"/>
      <c r="I272" s="142"/>
      <c r="J272" s="142"/>
      <c r="K272" s="142"/>
      <c r="L272" s="142"/>
      <c r="M272" s="142"/>
      <c r="N272" s="142"/>
      <c r="O272" s="142"/>
      <c r="P272" s="237"/>
      <c r="Q272" s="237"/>
      <c r="R272" s="237"/>
      <c r="S272" s="237"/>
      <c r="T272" s="237"/>
      <c r="U272" s="237"/>
      <c r="V272" s="237"/>
      <c r="W272" s="237"/>
      <c r="X272" s="237"/>
      <c r="Y272" s="237"/>
      <c r="Z272" s="237"/>
    </row>
    <row r="273" ht="12.75" customHeight="1">
      <c r="A273" s="142"/>
      <c r="B273" s="142"/>
      <c r="C273" s="142"/>
      <c r="D273" s="142"/>
      <c r="E273" s="142"/>
      <c r="F273" s="142"/>
      <c r="G273" s="142"/>
      <c r="H273" s="142"/>
      <c r="I273" s="142"/>
      <c r="J273" s="142"/>
      <c r="K273" s="142"/>
      <c r="L273" s="142"/>
      <c r="M273" s="142"/>
      <c r="N273" s="142"/>
      <c r="O273" s="142"/>
      <c r="P273" s="237"/>
      <c r="Q273" s="237"/>
      <c r="R273" s="237"/>
      <c r="S273" s="237"/>
      <c r="T273" s="237"/>
      <c r="U273" s="237"/>
      <c r="V273" s="237"/>
      <c r="W273" s="237"/>
      <c r="X273" s="237"/>
      <c r="Y273" s="237"/>
      <c r="Z273" s="237"/>
    </row>
    <row r="274" ht="409.6" customHeight="1">
      <c r="A274" s="142"/>
      <c r="B274" s="142"/>
      <c r="C274" s="142"/>
      <c r="D274" s="142"/>
      <c r="E274" s="142"/>
      <c r="F274" s="142"/>
      <c r="G274" s="142"/>
      <c r="H274" s="142"/>
      <c r="I274" s="142"/>
      <c r="J274" s="142"/>
      <c r="K274" s="142"/>
      <c r="L274" s="142"/>
      <c r="M274" s="142"/>
      <c r="N274" s="142"/>
      <c r="O274" s="142"/>
      <c r="P274" s="237"/>
      <c r="Q274" s="237"/>
      <c r="R274" s="237"/>
      <c r="S274" s="237"/>
      <c r="T274" s="237"/>
      <c r="U274" s="237"/>
      <c r="V274" s="237"/>
      <c r="W274" s="237"/>
      <c r="X274" s="237"/>
      <c r="Y274" s="237"/>
      <c r="Z274" s="237"/>
    </row>
    <row r="275" ht="409.6" customHeight="1">
      <c r="A275" s="142"/>
      <c r="B275" s="142"/>
      <c r="C275" s="142"/>
      <c r="D275" s="142"/>
      <c r="E275" s="142"/>
      <c r="F275" s="142"/>
      <c r="G275" s="142"/>
      <c r="H275" s="142"/>
      <c r="I275" s="142"/>
      <c r="J275" s="142"/>
      <c r="K275" s="142"/>
      <c r="L275" s="142"/>
      <c r="M275" s="142"/>
      <c r="N275" s="142"/>
      <c r="O275" s="142"/>
      <c r="P275" s="237"/>
      <c r="Q275" s="237"/>
      <c r="R275" s="237"/>
      <c r="S275" s="237"/>
      <c r="T275" s="237"/>
      <c r="U275" s="237"/>
      <c r="V275" s="237"/>
      <c r="W275" s="237"/>
      <c r="X275" s="237"/>
      <c r="Y275" s="237"/>
      <c r="Z275" s="237"/>
    </row>
    <row r="276" ht="409.6" customHeight="1">
      <c r="A276" s="142"/>
      <c r="B276" s="142"/>
      <c r="C276" s="142"/>
      <c r="D276" s="142"/>
      <c r="E276" s="142"/>
      <c r="F276" s="142"/>
      <c r="G276" s="142"/>
      <c r="H276" s="142"/>
      <c r="I276" s="142"/>
      <c r="J276" s="142"/>
      <c r="K276" s="142"/>
      <c r="L276" s="142"/>
      <c r="M276" s="142"/>
      <c r="N276" s="142"/>
      <c r="O276" s="142"/>
      <c r="P276" s="237"/>
      <c r="Q276" s="237"/>
      <c r="R276" s="237"/>
      <c r="S276" s="237"/>
      <c r="T276" s="237"/>
      <c r="U276" s="237"/>
      <c r="V276" s="237"/>
      <c r="W276" s="237"/>
      <c r="X276" s="237"/>
      <c r="Y276" s="237"/>
      <c r="Z276" s="237"/>
    </row>
    <row r="277" ht="409.6" customHeight="1">
      <c r="A277" s="142"/>
      <c r="B277" s="142"/>
      <c r="C277" s="142"/>
      <c r="D277" s="142"/>
      <c r="E277" s="142"/>
      <c r="F277" s="142"/>
      <c r="G277" s="142"/>
      <c r="H277" s="142"/>
      <c r="I277" s="142"/>
      <c r="J277" s="142"/>
      <c r="K277" s="142"/>
      <c r="L277" s="142"/>
      <c r="M277" s="142"/>
      <c r="N277" s="142"/>
      <c r="O277" s="142"/>
      <c r="P277" s="237"/>
      <c r="Q277" s="237"/>
      <c r="R277" s="237"/>
      <c r="S277" s="237"/>
      <c r="T277" s="237"/>
      <c r="U277" s="237"/>
      <c r="V277" s="237"/>
      <c r="W277" s="237"/>
      <c r="X277" s="237"/>
      <c r="Y277" s="237"/>
      <c r="Z277" s="237"/>
    </row>
    <row r="278" ht="409.6" customHeight="1">
      <c r="A278" s="142"/>
      <c r="B278" s="142"/>
      <c r="C278" s="142"/>
      <c r="D278" s="142"/>
      <c r="E278" s="142"/>
      <c r="F278" s="142"/>
      <c r="G278" s="142"/>
      <c r="H278" s="142"/>
      <c r="I278" s="142"/>
      <c r="J278" s="142"/>
      <c r="K278" s="142"/>
      <c r="L278" s="142"/>
      <c r="M278" s="142"/>
      <c r="N278" s="142"/>
      <c r="O278" s="142"/>
      <c r="P278" s="237"/>
      <c r="Q278" s="237"/>
      <c r="R278" s="237"/>
      <c r="S278" s="237"/>
      <c r="T278" s="237"/>
      <c r="U278" s="237"/>
      <c r="V278" s="237"/>
      <c r="W278" s="237"/>
      <c r="X278" s="237"/>
      <c r="Y278" s="237"/>
      <c r="Z278" s="237"/>
    </row>
    <row r="279" ht="409.6" customHeight="1">
      <c r="A279" s="142"/>
      <c r="B279" s="142"/>
      <c r="C279" s="142"/>
      <c r="D279" s="142"/>
      <c r="E279" s="142"/>
      <c r="F279" s="142"/>
      <c r="G279" s="142"/>
      <c r="H279" s="142"/>
      <c r="I279" s="142"/>
      <c r="J279" s="142"/>
      <c r="K279" s="142"/>
      <c r="L279" s="142"/>
      <c r="M279" s="142"/>
      <c r="N279" s="142"/>
      <c r="O279" s="142"/>
      <c r="P279" s="237"/>
      <c r="Q279" s="237"/>
      <c r="R279" s="237"/>
      <c r="S279" s="237"/>
      <c r="T279" s="237"/>
      <c r="U279" s="237"/>
      <c r="V279" s="237"/>
      <c r="W279" s="237"/>
      <c r="X279" s="237"/>
      <c r="Y279" s="237"/>
      <c r="Z279" s="237"/>
    </row>
    <row r="280" ht="409.6" customHeight="1">
      <c r="A280" s="142"/>
      <c r="B280" s="142"/>
      <c r="C280" s="142"/>
      <c r="D280" s="142"/>
      <c r="E280" s="142"/>
      <c r="F280" s="142"/>
      <c r="G280" s="142"/>
      <c r="H280" s="142"/>
      <c r="I280" s="142"/>
      <c r="J280" s="142"/>
      <c r="K280" s="142"/>
      <c r="L280" s="142"/>
      <c r="M280" s="142"/>
      <c r="N280" s="142"/>
      <c r="O280" s="142"/>
      <c r="P280" s="237"/>
      <c r="Q280" s="237"/>
      <c r="R280" s="237"/>
      <c r="S280" s="237"/>
      <c r="T280" s="237"/>
      <c r="U280" s="237"/>
      <c r="V280" s="237"/>
      <c r="W280" s="237"/>
      <c r="X280" s="237"/>
      <c r="Y280" s="237"/>
      <c r="Z280" s="237"/>
    </row>
    <row r="281" ht="409.6" customHeight="1">
      <c r="A281" s="142"/>
      <c r="B281" s="142"/>
      <c r="C281" s="142"/>
      <c r="D281" s="142"/>
      <c r="E281" s="142"/>
      <c r="F281" s="142"/>
      <c r="G281" s="142"/>
      <c r="H281" s="142"/>
      <c r="I281" s="142"/>
      <c r="J281" s="142"/>
      <c r="K281" s="142"/>
      <c r="L281" s="142"/>
      <c r="M281" s="142"/>
      <c r="N281" s="142"/>
      <c r="O281" s="142"/>
      <c r="P281" s="237"/>
      <c r="Q281" s="237"/>
      <c r="R281" s="237"/>
      <c r="S281" s="237"/>
      <c r="T281" s="237"/>
      <c r="U281" s="237"/>
      <c r="V281" s="237"/>
      <c r="W281" s="237"/>
      <c r="X281" s="237"/>
      <c r="Y281" s="237"/>
      <c r="Z281" s="237"/>
    </row>
    <row r="282" ht="409.6" customHeight="1">
      <c r="A282" s="142"/>
      <c r="B282" s="142"/>
      <c r="C282" s="142"/>
      <c r="D282" s="142"/>
      <c r="E282" s="142"/>
      <c r="F282" s="142"/>
      <c r="G282" s="142"/>
      <c r="H282" s="142"/>
      <c r="I282" s="142"/>
      <c r="J282" s="142"/>
      <c r="K282" s="142"/>
      <c r="L282" s="142"/>
      <c r="M282" s="142"/>
      <c r="N282" s="142"/>
      <c r="O282" s="142"/>
      <c r="P282" s="237"/>
      <c r="Q282" s="237"/>
      <c r="R282" s="237"/>
      <c r="S282" s="237"/>
      <c r="T282" s="237"/>
      <c r="U282" s="237"/>
      <c r="V282" s="237"/>
      <c r="W282" s="237"/>
      <c r="X282" s="237"/>
      <c r="Y282" s="237"/>
      <c r="Z282" s="237"/>
    </row>
    <row r="283" ht="409.6" customHeight="1">
      <c r="A283" s="142"/>
      <c r="B283" s="142"/>
      <c r="C283" s="142"/>
      <c r="D283" s="142"/>
      <c r="E283" s="142"/>
      <c r="F283" s="142"/>
      <c r="G283" s="142"/>
      <c r="H283" s="142"/>
      <c r="I283" s="142"/>
      <c r="J283" s="142"/>
      <c r="K283" s="142"/>
      <c r="L283" s="142"/>
      <c r="M283" s="142"/>
      <c r="N283" s="142"/>
      <c r="O283" s="142"/>
      <c r="P283" s="237"/>
      <c r="Q283" s="237"/>
      <c r="R283" s="237"/>
      <c r="S283" s="237"/>
      <c r="T283" s="237"/>
      <c r="U283" s="237"/>
      <c r="V283" s="237"/>
      <c r="W283" s="237"/>
      <c r="X283" s="237"/>
      <c r="Y283" s="237"/>
      <c r="Z283" s="237"/>
    </row>
    <row r="284" ht="409.6" customHeight="1">
      <c r="A284" s="142"/>
      <c r="B284" s="142"/>
      <c r="C284" s="142"/>
      <c r="D284" s="142"/>
      <c r="E284" s="142"/>
      <c r="F284" s="142"/>
      <c r="G284" s="142"/>
      <c r="H284" s="142"/>
      <c r="I284" s="142"/>
      <c r="J284" s="142"/>
      <c r="K284" s="142"/>
      <c r="L284" s="142"/>
      <c r="M284" s="142"/>
      <c r="N284" s="142"/>
      <c r="O284" s="142"/>
      <c r="P284" s="237"/>
      <c r="Q284" s="237"/>
      <c r="R284" s="237"/>
      <c r="S284" s="237"/>
      <c r="T284" s="237"/>
      <c r="U284" s="237"/>
      <c r="V284" s="237"/>
      <c r="W284" s="237"/>
      <c r="X284" s="237"/>
      <c r="Y284" s="237"/>
      <c r="Z284" s="237"/>
    </row>
    <row r="285" ht="409.6" customHeight="1">
      <c r="A285" s="142"/>
      <c r="B285" s="142"/>
      <c r="C285" s="142"/>
      <c r="D285" s="142"/>
      <c r="E285" s="142"/>
      <c r="F285" s="142"/>
      <c r="G285" s="142"/>
      <c r="H285" s="142"/>
      <c r="I285" s="142"/>
      <c r="J285" s="142"/>
      <c r="K285" s="142"/>
      <c r="L285" s="142"/>
      <c r="M285" s="142"/>
      <c r="N285" s="142"/>
      <c r="O285" s="142"/>
      <c r="P285" s="237"/>
      <c r="Q285" s="237"/>
      <c r="R285" s="237"/>
      <c r="S285" s="237"/>
      <c r="T285" s="237"/>
      <c r="U285" s="237"/>
      <c r="V285" s="237"/>
      <c r="W285" s="237"/>
      <c r="X285" s="237"/>
      <c r="Y285" s="237"/>
      <c r="Z285" s="237"/>
    </row>
    <row r="286" ht="409.6" customHeight="1">
      <c r="A286" s="142"/>
      <c r="B286" s="142"/>
      <c r="C286" s="142"/>
      <c r="D286" s="142"/>
      <c r="E286" s="142"/>
      <c r="F286" s="142"/>
      <c r="G286" s="142"/>
      <c r="H286" s="142"/>
      <c r="I286" s="142"/>
      <c r="J286" s="142"/>
      <c r="K286" s="142"/>
      <c r="L286" s="142"/>
      <c r="M286" s="142"/>
      <c r="N286" s="142"/>
      <c r="O286" s="142"/>
      <c r="P286" s="237"/>
      <c r="Q286" s="237"/>
      <c r="R286" s="237"/>
      <c r="S286" s="237"/>
      <c r="T286" s="237"/>
      <c r="U286" s="237"/>
      <c r="V286" s="237"/>
      <c r="W286" s="237"/>
      <c r="X286" s="237"/>
      <c r="Y286" s="237"/>
      <c r="Z286" s="237"/>
    </row>
    <row r="287" ht="409.6" customHeight="1">
      <c r="A287" s="142"/>
      <c r="B287" s="142"/>
      <c r="C287" s="142"/>
      <c r="D287" s="142"/>
      <c r="E287" s="142"/>
      <c r="F287" s="142"/>
      <c r="G287" s="142"/>
      <c r="H287" s="142"/>
      <c r="I287" s="142"/>
      <c r="J287" s="142"/>
      <c r="K287" s="142"/>
      <c r="L287" s="142"/>
      <c r="M287" s="142"/>
      <c r="N287" s="142"/>
      <c r="O287" s="142"/>
      <c r="P287" s="237"/>
      <c r="Q287" s="237"/>
      <c r="R287" s="237"/>
      <c r="S287" s="237"/>
      <c r="T287" s="237"/>
      <c r="U287" s="237"/>
      <c r="V287" s="237"/>
      <c r="W287" s="237"/>
      <c r="X287" s="237"/>
      <c r="Y287" s="237"/>
      <c r="Z287" s="237"/>
    </row>
    <row r="288" ht="409.6" customHeight="1">
      <c r="A288" s="142"/>
      <c r="B288" s="142"/>
      <c r="C288" s="142"/>
      <c r="D288" s="142"/>
      <c r="E288" s="142"/>
      <c r="F288" s="142"/>
      <c r="G288" s="142"/>
      <c r="H288" s="142"/>
      <c r="I288" s="142"/>
      <c r="J288" s="142"/>
      <c r="K288" s="142"/>
      <c r="L288" s="142"/>
      <c r="M288" s="142"/>
      <c r="N288" s="142"/>
      <c r="O288" s="142"/>
      <c r="P288" s="237"/>
      <c r="Q288" s="237"/>
      <c r="R288" s="237"/>
      <c r="S288" s="237"/>
      <c r="T288" s="237"/>
      <c r="U288" s="237"/>
      <c r="V288" s="237"/>
      <c r="W288" s="237"/>
      <c r="X288" s="237"/>
      <c r="Y288" s="237"/>
      <c r="Z288" s="237"/>
    </row>
    <row r="289" ht="409.6" customHeight="1">
      <c r="A289" s="142"/>
      <c r="B289" s="142"/>
      <c r="C289" s="142"/>
      <c r="D289" s="142"/>
      <c r="E289" s="142"/>
      <c r="F289" s="142"/>
      <c r="G289" s="142"/>
      <c r="H289" s="142"/>
      <c r="I289" s="142"/>
      <c r="J289" s="142"/>
      <c r="K289" s="142"/>
      <c r="L289" s="142"/>
      <c r="M289" s="142"/>
      <c r="N289" s="142"/>
      <c r="O289" s="142"/>
      <c r="P289" s="237"/>
      <c r="Q289" s="237"/>
      <c r="R289" s="237"/>
      <c r="S289" s="237"/>
      <c r="T289" s="237"/>
      <c r="U289" s="237"/>
      <c r="V289" s="237"/>
      <c r="W289" s="237"/>
      <c r="X289" s="237"/>
      <c r="Y289" s="237"/>
      <c r="Z289" s="237"/>
    </row>
    <row r="290" ht="409.6" customHeight="1">
      <c r="A290" s="142"/>
      <c r="B290" s="142"/>
      <c r="C290" s="142"/>
      <c r="D290" s="142"/>
      <c r="E290" s="142"/>
      <c r="F290" s="142"/>
      <c r="G290" s="142"/>
      <c r="H290" s="142"/>
      <c r="I290" s="142"/>
      <c r="J290" s="142"/>
      <c r="K290" s="142"/>
      <c r="L290" s="142"/>
      <c r="M290" s="142"/>
      <c r="N290" s="142"/>
      <c r="O290" s="142"/>
      <c r="P290" s="237"/>
      <c r="Q290" s="237"/>
      <c r="R290" s="237"/>
      <c r="S290" s="237"/>
      <c r="T290" s="237"/>
      <c r="U290" s="237"/>
      <c r="V290" s="237"/>
      <c r="W290" s="237"/>
      <c r="X290" s="237"/>
      <c r="Y290" s="237"/>
      <c r="Z290" s="237"/>
    </row>
    <row r="291" ht="409.6" customHeight="1">
      <c r="A291" s="142"/>
      <c r="B291" s="142"/>
      <c r="C291" s="142"/>
      <c r="D291" s="142"/>
      <c r="E291" s="142"/>
      <c r="F291" s="142"/>
      <c r="G291" s="142"/>
      <c r="H291" s="142"/>
      <c r="I291" s="142"/>
      <c r="J291" s="142"/>
      <c r="K291" s="142"/>
      <c r="L291" s="142"/>
      <c r="M291" s="142"/>
      <c r="N291" s="142"/>
      <c r="O291" s="142"/>
      <c r="P291" s="237"/>
      <c r="Q291" s="237"/>
      <c r="R291" s="237"/>
      <c r="S291" s="237"/>
      <c r="T291" s="237"/>
      <c r="U291" s="237"/>
      <c r="V291" s="237"/>
      <c r="W291" s="237"/>
      <c r="X291" s="237"/>
      <c r="Y291" s="237"/>
      <c r="Z291" s="237"/>
    </row>
    <row r="292" ht="409.6" customHeight="1">
      <c r="A292" s="142"/>
      <c r="B292" s="142"/>
      <c r="C292" s="142"/>
      <c r="D292" s="142"/>
      <c r="E292" s="142"/>
      <c r="F292" s="142"/>
      <c r="G292" s="142"/>
      <c r="H292" s="142"/>
      <c r="I292" s="142"/>
      <c r="J292" s="142"/>
      <c r="K292" s="142"/>
      <c r="L292" s="142"/>
      <c r="M292" s="142"/>
      <c r="N292" s="142"/>
      <c r="O292" s="142"/>
      <c r="P292" s="237"/>
      <c r="Q292" s="237"/>
      <c r="R292" s="237"/>
      <c r="S292" s="237"/>
      <c r="T292" s="237"/>
      <c r="U292" s="237"/>
      <c r="V292" s="237"/>
      <c r="W292" s="237"/>
      <c r="X292" s="237"/>
      <c r="Y292" s="237"/>
      <c r="Z292" s="237"/>
    </row>
    <row r="293" ht="409.6" customHeight="1">
      <c r="A293" s="142"/>
      <c r="B293" s="142"/>
      <c r="C293" s="142"/>
      <c r="D293" s="142"/>
      <c r="E293" s="142"/>
      <c r="F293" s="142"/>
      <c r="G293" s="142"/>
      <c r="H293" s="142"/>
      <c r="I293" s="142"/>
      <c r="J293" s="142"/>
      <c r="K293" s="142"/>
      <c r="L293" s="142"/>
      <c r="M293" s="142"/>
      <c r="N293" s="142"/>
      <c r="O293" s="142"/>
      <c r="P293" s="237"/>
      <c r="Q293" s="237"/>
      <c r="R293" s="237"/>
      <c r="S293" s="237"/>
      <c r="T293" s="237"/>
      <c r="U293" s="237"/>
      <c r="V293" s="237"/>
      <c r="W293" s="237"/>
      <c r="X293" s="237"/>
      <c r="Y293" s="237"/>
      <c r="Z293" s="237"/>
    </row>
    <row r="294" ht="409.6" customHeight="1">
      <c r="A294" s="142"/>
      <c r="B294" s="142"/>
      <c r="C294" s="142"/>
      <c r="D294" s="142"/>
      <c r="E294" s="142"/>
      <c r="F294" s="142"/>
      <c r="G294" s="142"/>
      <c r="H294" s="142"/>
      <c r="I294" s="142"/>
      <c r="J294" s="142"/>
      <c r="K294" s="142"/>
      <c r="L294" s="142"/>
      <c r="M294" s="142"/>
      <c r="N294" s="142"/>
      <c r="O294" s="142"/>
      <c r="P294" s="237"/>
      <c r="Q294" s="237"/>
      <c r="R294" s="237"/>
      <c r="S294" s="237"/>
      <c r="T294" s="237"/>
      <c r="U294" s="237"/>
      <c r="V294" s="237"/>
      <c r="W294" s="237"/>
      <c r="X294" s="237"/>
      <c r="Y294" s="237"/>
      <c r="Z294" s="237"/>
    </row>
    <row r="295" ht="409.6" customHeight="1">
      <c r="A295" s="142"/>
      <c r="B295" s="142"/>
      <c r="C295" s="142"/>
      <c r="D295" s="142"/>
      <c r="E295" s="142"/>
      <c r="F295" s="142"/>
      <c r="G295" s="142"/>
      <c r="H295" s="142"/>
      <c r="I295" s="142"/>
      <c r="J295" s="142"/>
      <c r="K295" s="142"/>
      <c r="L295" s="142"/>
      <c r="M295" s="142"/>
      <c r="N295" s="142"/>
      <c r="O295" s="142"/>
      <c r="P295" s="237"/>
      <c r="Q295" s="237"/>
      <c r="R295" s="237"/>
      <c r="S295" s="237"/>
      <c r="T295" s="237"/>
      <c r="U295" s="237"/>
      <c r="V295" s="237"/>
      <c r="W295" s="237"/>
      <c r="X295" s="237"/>
      <c r="Y295" s="237"/>
      <c r="Z295" s="237"/>
    </row>
    <row r="296" ht="409.6" customHeight="1">
      <c r="A296" s="142"/>
      <c r="B296" s="142"/>
      <c r="C296" s="142"/>
      <c r="D296" s="142"/>
      <c r="E296" s="142"/>
      <c r="F296" s="142"/>
      <c r="G296" s="142"/>
      <c r="H296" s="142"/>
      <c r="I296" s="142"/>
      <c r="J296" s="142"/>
      <c r="K296" s="142"/>
      <c r="L296" s="142"/>
      <c r="M296" s="142"/>
      <c r="N296" s="142"/>
      <c r="O296" s="142"/>
      <c r="P296" s="237"/>
      <c r="Q296" s="237"/>
      <c r="R296" s="237"/>
      <c r="S296" s="237"/>
      <c r="T296" s="237"/>
      <c r="U296" s="237"/>
      <c r="V296" s="237"/>
      <c r="W296" s="237"/>
      <c r="X296" s="237"/>
      <c r="Y296" s="237"/>
      <c r="Z296" s="237"/>
    </row>
    <row r="297" ht="409.6" customHeight="1">
      <c r="A297" s="142"/>
      <c r="B297" s="142"/>
      <c r="C297" s="142"/>
      <c r="D297" s="142"/>
      <c r="E297" s="142"/>
      <c r="F297" s="142"/>
      <c r="G297" s="142"/>
      <c r="H297" s="142"/>
      <c r="I297" s="142"/>
      <c r="J297" s="142"/>
      <c r="K297" s="142"/>
      <c r="L297" s="142"/>
      <c r="M297" s="142"/>
      <c r="N297" s="142"/>
      <c r="O297" s="142"/>
      <c r="P297" s="237"/>
      <c r="Q297" s="237"/>
      <c r="R297" s="237"/>
      <c r="S297" s="237"/>
      <c r="T297" s="237"/>
      <c r="U297" s="237"/>
      <c r="V297" s="237"/>
      <c r="W297" s="237"/>
      <c r="X297" s="237"/>
      <c r="Y297" s="237"/>
      <c r="Z297" s="237"/>
    </row>
    <row r="298" ht="409.6" customHeight="1">
      <c r="A298" s="142"/>
      <c r="B298" s="142"/>
      <c r="C298" s="142"/>
      <c r="D298" s="142"/>
      <c r="E298" s="142"/>
      <c r="F298" s="142"/>
      <c r="G298" s="142"/>
      <c r="H298" s="142"/>
      <c r="I298" s="142"/>
      <c r="J298" s="142"/>
      <c r="K298" s="142"/>
      <c r="L298" s="142"/>
      <c r="M298" s="142"/>
      <c r="N298" s="142"/>
      <c r="O298" s="142"/>
      <c r="P298" s="237"/>
      <c r="Q298" s="237"/>
      <c r="R298" s="237"/>
      <c r="S298" s="237"/>
      <c r="T298" s="237"/>
      <c r="U298" s="237"/>
      <c r="V298" s="237"/>
      <c r="W298" s="237"/>
      <c r="X298" s="237"/>
      <c r="Y298" s="237"/>
      <c r="Z298" s="237"/>
    </row>
    <row r="299" ht="409.6" customHeight="1">
      <c r="A299" s="142"/>
      <c r="B299" s="142"/>
      <c r="C299" s="142"/>
      <c r="D299" s="142"/>
      <c r="E299" s="142"/>
      <c r="F299" s="142"/>
      <c r="G299" s="142"/>
      <c r="H299" s="142"/>
      <c r="I299" s="142"/>
      <c r="J299" s="142"/>
      <c r="K299" s="142"/>
      <c r="L299" s="142"/>
      <c r="M299" s="142"/>
      <c r="N299" s="142"/>
      <c r="O299" s="142"/>
      <c r="P299" s="237"/>
      <c r="Q299" s="237"/>
      <c r="R299" s="237"/>
      <c r="S299" s="237"/>
      <c r="T299" s="237"/>
      <c r="U299" s="237"/>
      <c r="V299" s="237"/>
      <c r="W299" s="237"/>
      <c r="X299" s="237"/>
      <c r="Y299" s="237"/>
      <c r="Z299" s="237"/>
    </row>
    <row r="300" ht="409.6" customHeight="1">
      <c r="A300" s="142"/>
      <c r="B300" s="142"/>
      <c r="C300" s="142"/>
      <c r="D300" s="142"/>
      <c r="E300" s="142"/>
      <c r="F300" s="142"/>
      <c r="G300" s="142"/>
      <c r="H300" s="142"/>
      <c r="I300" s="142"/>
      <c r="J300" s="142"/>
      <c r="K300" s="142"/>
      <c r="L300" s="142"/>
      <c r="M300" s="142"/>
      <c r="N300" s="142"/>
      <c r="O300" s="142"/>
      <c r="P300" s="237"/>
      <c r="Q300" s="237"/>
      <c r="R300" s="237"/>
      <c r="S300" s="237"/>
      <c r="T300" s="237"/>
      <c r="U300" s="237"/>
      <c r="V300" s="237"/>
      <c r="W300" s="237"/>
      <c r="X300" s="237"/>
      <c r="Y300" s="237"/>
      <c r="Z300" s="237"/>
    </row>
    <row r="301" ht="409.6" customHeight="1">
      <c r="A301" s="142"/>
      <c r="B301" s="142"/>
      <c r="C301" s="142"/>
      <c r="D301" s="142"/>
      <c r="E301" s="142"/>
      <c r="F301" s="142"/>
      <c r="G301" s="142"/>
      <c r="H301" s="142"/>
      <c r="I301" s="142"/>
      <c r="J301" s="142"/>
      <c r="K301" s="142"/>
      <c r="L301" s="142"/>
      <c r="M301" s="142"/>
      <c r="N301" s="142"/>
      <c r="O301" s="142"/>
      <c r="P301" s="237"/>
      <c r="Q301" s="237"/>
      <c r="R301" s="237"/>
      <c r="S301" s="237"/>
      <c r="T301" s="237"/>
      <c r="U301" s="237"/>
      <c r="V301" s="237"/>
      <c r="W301" s="237"/>
      <c r="X301" s="237"/>
      <c r="Y301" s="237"/>
      <c r="Z301" s="237"/>
    </row>
    <row r="302" ht="409.6" customHeight="1">
      <c r="A302" s="142"/>
      <c r="B302" s="142"/>
      <c r="C302" s="142"/>
      <c r="D302" s="142"/>
      <c r="E302" s="142"/>
      <c r="F302" s="142"/>
      <c r="G302" s="142"/>
      <c r="H302" s="142"/>
      <c r="I302" s="142"/>
      <c r="J302" s="142"/>
      <c r="K302" s="142"/>
      <c r="L302" s="142"/>
      <c r="M302" s="142"/>
      <c r="N302" s="142"/>
      <c r="O302" s="142"/>
      <c r="P302" s="237"/>
      <c r="Q302" s="237"/>
      <c r="R302" s="237"/>
      <c r="S302" s="237"/>
      <c r="T302" s="237"/>
      <c r="U302" s="237"/>
      <c r="V302" s="237"/>
      <c r="W302" s="237"/>
      <c r="X302" s="237"/>
      <c r="Y302" s="237"/>
      <c r="Z302" s="237"/>
    </row>
    <row r="303" ht="409.6" customHeight="1">
      <c r="A303" s="142"/>
      <c r="B303" s="142"/>
      <c r="C303" s="142"/>
      <c r="D303" s="142"/>
      <c r="E303" s="142"/>
      <c r="F303" s="142"/>
      <c r="G303" s="142"/>
      <c r="H303" s="142"/>
      <c r="I303" s="142"/>
      <c r="J303" s="142"/>
      <c r="K303" s="142"/>
      <c r="L303" s="142"/>
      <c r="M303" s="142"/>
      <c r="N303" s="142"/>
      <c r="O303" s="142"/>
      <c r="P303" s="237"/>
      <c r="Q303" s="237"/>
      <c r="R303" s="237"/>
      <c r="S303" s="237"/>
      <c r="T303" s="237"/>
      <c r="U303" s="237"/>
      <c r="V303" s="237"/>
      <c r="W303" s="237"/>
      <c r="X303" s="237"/>
      <c r="Y303" s="237"/>
      <c r="Z303" s="237"/>
    </row>
    <row r="304" ht="409.6" customHeight="1">
      <c r="A304" s="142"/>
      <c r="B304" s="142"/>
      <c r="C304" s="142"/>
      <c r="D304" s="142"/>
      <c r="E304" s="142"/>
      <c r="F304" s="142"/>
      <c r="G304" s="142"/>
      <c r="H304" s="142"/>
      <c r="I304" s="142"/>
      <c r="J304" s="142"/>
      <c r="K304" s="142"/>
      <c r="L304" s="142"/>
      <c r="M304" s="142"/>
      <c r="N304" s="142"/>
      <c r="O304" s="142"/>
      <c r="P304" s="237"/>
      <c r="Q304" s="237"/>
      <c r="R304" s="237"/>
      <c r="S304" s="237"/>
      <c r="T304" s="237"/>
      <c r="U304" s="237"/>
      <c r="V304" s="237"/>
      <c r="W304" s="237"/>
      <c r="X304" s="237"/>
      <c r="Y304" s="237"/>
      <c r="Z304" s="237"/>
    </row>
    <row r="305" ht="409.6" customHeight="1">
      <c r="A305" s="142"/>
      <c r="B305" s="142"/>
      <c r="C305" s="142"/>
      <c r="D305" s="142"/>
      <c r="E305" s="142"/>
      <c r="F305" s="142"/>
      <c r="G305" s="142"/>
      <c r="H305" s="142"/>
      <c r="I305" s="142"/>
      <c r="J305" s="142"/>
      <c r="K305" s="142"/>
      <c r="L305" s="142"/>
      <c r="M305" s="142"/>
      <c r="N305" s="142"/>
      <c r="O305" s="142"/>
      <c r="P305" s="237"/>
      <c r="Q305" s="237"/>
      <c r="R305" s="237"/>
      <c r="S305" s="237"/>
      <c r="T305" s="237"/>
      <c r="U305" s="237"/>
      <c r="V305" s="237"/>
      <c r="W305" s="237"/>
      <c r="X305" s="237"/>
      <c r="Y305" s="237"/>
      <c r="Z305" s="237"/>
    </row>
    <row r="306" ht="409.6" customHeight="1">
      <c r="A306" s="142"/>
      <c r="B306" s="142"/>
      <c r="C306" s="142"/>
      <c r="D306" s="142"/>
      <c r="E306" s="142"/>
      <c r="F306" s="142"/>
      <c r="G306" s="142"/>
      <c r="H306" s="142"/>
      <c r="I306" s="142"/>
      <c r="J306" s="142"/>
      <c r="K306" s="142"/>
      <c r="L306" s="142"/>
      <c r="M306" s="142"/>
      <c r="N306" s="142"/>
      <c r="O306" s="142"/>
      <c r="P306" s="237"/>
      <c r="Q306" s="237"/>
      <c r="R306" s="237"/>
      <c r="S306" s="237"/>
      <c r="T306" s="237"/>
      <c r="U306" s="237"/>
      <c r="V306" s="237"/>
      <c r="W306" s="237"/>
      <c r="X306" s="237"/>
      <c r="Y306" s="237"/>
      <c r="Z306" s="237"/>
    </row>
    <row r="307" ht="409.6" customHeight="1">
      <c r="A307" s="142"/>
      <c r="B307" s="142"/>
      <c r="C307" s="142"/>
      <c r="D307" s="142"/>
      <c r="E307" s="142"/>
      <c r="F307" s="142"/>
      <c r="G307" s="142"/>
      <c r="H307" s="142"/>
      <c r="I307" s="142"/>
      <c r="J307" s="142"/>
      <c r="K307" s="142"/>
      <c r="L307" s="142"/>
      <c r="M307" s="142"/>
      <c r="N307" s="142"/>
      <c r="O307" s="142"/>
      <c r="P307" s="237"/>
      <c r="Q307" s="237"/>
      <c r="R307" s="237"/>
      <c r="S307" s="237"/>
      <c r="T307" s="237"/>
      <c r="U307" s="237"/>
      <c r="V307" s="237"/>
      <c r="W307" s="237"/>
      <c r="X307" s="237"/>
      <c r="Y307" s="237"/>
      <c r="Z307" s="237"/>
    </row>
    <row r="308" ht="409.6" customHeight="1">
      <c r="A308" s="142"/>
      <c r="B308" s="142"/>
      <c r="C308" s="142"/>
      <c r="D308" s="142"/>
      <c r="E308" s="142"/>
      <c r="F308" s="142"/>
      <c r="G308" s="142"/>
      <c r="H308" s="142"/>
      <c r="I308" s="142"/>
      <c r="J308" s="142"/>
      <c r="K308" s="142"/>
      <c r="L308" s="142"/>
      <c r="M308" s="142"/>
      <c r="N308" s="142"/>
      <c r="O308" s="142"/>
      <c r="P308" s="237"/>
      <c r="Q308" s="237"/>
      <c r="R308" s="237"/>
      <c r="S308" s="237"/>
      <c r="T308" s="237"/>
      <c r="U308" s="237"/>
      <c r="V308" s="237"/>
      <c r="W308" s="237"/>
      <c r="X308" s="237"/>
      <c r="Y308" s="237"/>
      <c r="Z308" s="237"/>
    </row>
    <row r="309" ht="409.6" customHeight="1">
      <c r="A309" s="142"/>
      <c r="B309" s="142"/>
      <c r="C309" s="142"/>
      <c r="D309" s="142"/>
      <c r="E309" s="142"/>
      <c r="F309" s="142"/>
      <c r="G309" s="142"/>
      <c r="H309" s="142"/>
      <c r="I309" s="142"/>
      <c r="J309" s="142"/>
      <c r="K309" s="142"/>
      <c r="L309" s="142"/>
      <c r="M309" s="142"/>
      <c r="N309" s="142"/>
      <c r="O309" s="142"/>
      <c r="P309" s="237"/>
      <c r="Q309" s="237"/>
      <c r="R309" s="237"/>
      <c r="S309" s="237"/>
      <c r="T309" s="237"/>
      <c r="U309" s="237"/>
      <c r="V309" s="237"/>
      <c r="W309" s="237"/>
      <c r="X309" s="237"/>
      <c r="Y309" s="237"/>
      <c r="Z309" s="237"/>
    </row>
    <row r="310" ht="409.6" customHeight="1">
      <c r="A310" s="142"/>
      <c r="B310" s="142"/>
      <c r="C310" s="142"/>
      <c r="D310" s="142"/>
      <c r="E310" s="142"/>
      <c r="F310" s="142"/>
      <c r="G310" s="142"/>
      <c r="H310" s="142"/>
      <c r="I310" s="142"/>
      <c r="J310" s="142"/>
      <c r="K310" s="142"/>
      <c r="L310" s="142"/>
      <c r="M310" s="142"/>
      <c r="N310" s="142"/>
      <c r="O310" s="142"/>
      <c r="P310" s="237"/>
      <c r="Q310" s="237"/>
      <c r="R310" s="237"/>
      <c r="S310" s="237"/>
      <c r="T310" s="237"/>
      <c r="U310" s="237"/>
      <c r="V310" s="237"/>
      <c r="W310" s="237"/>
      <c r="X310" s="237"/>
      <c r="Y310" s="237"/>
      <c r="Z310" s="237"/>
    </row>
    <row r="311" ht="409.6" customHeight="1">
      <c r="A311" s="142"/>
      <c r="B311" s="142"/>
      <c r="C311" s="142"/>
      <c r="D311" s="142"/>
      <c r="E311" s="142"/>
      <c r="F311" s="142"/>
      <c r="G311" s="142"/>
      <c r="H311" s="142"/>
      <c r="I311" s="142"/>
      <c r="J311" s="142"/>
      <c r="K311" s="142"/>
      <c r="L311" s="142"/>
      <c r="M311" s="142"/>
      <c r="N311" s="142"/>
      <c r="O311" s="142"/>
      <c r="P311" s="237"/>
      <c r="Q311" s="237"/>
      <c r="R311" s="237"/>
      <c r="S311" s="237"/>
      <c r="T311" s="237"/>
      <c r="U311" s="237"/>
      <c r="V311" s="237"/>
      <c r="W311" s="237"/>
      <c r="X311" s="237"/>
      <c r="Y311" s="237"/>
      <c r="Z311" s="237"/>
    </row>
    <row r="312" ht="409.6" customHeight="1">
      <c r="A312" s="142"/>
      <c r="B312" s="142"/>
      <c r="C312" s="142"/>
      <c r="D312" s="142"/>
      <c r="E312" s="142"/>
      <c r="F312" s="142"/>
      <c r="G312" s="142"/>
      <c r="H312" s="142"/>
      <c r="I312" s="142"/>
      <c r="J312" s="142"/>
      <c r="K312" s="142"/>
      <c r="L312" s="142"/>
      <c r="M312" s="142"/>
      <c r="N312" s="142"/>
      <c r="O312" s="142"/>
      <c r="P312" s="237"/>
      <c r="Q312" s="237"/>
      <c r="R312" s="237"/>
      <c r="S312" s="237"/>
      <c r="T312" s="237"/>
      <c r="U312" s="237"/>
      <c r="V312" s="237"/>
      <c r="W312" s="237"/>
      <c r="X312" s="237"/>
      <c r="Y312" s="237"/>
      <c r="Z312" s="237"/>
    </row>
    <row r="313" ht="409.6" customHeight="1">
      <c r="A313" s="142"/>
      <c r="B313" s="142"/>
      <c r="C313" s="142"/>
      <c r="D313" s="142"/>
      <c r="E313" s="142"/>
      <c r="F313" s="142"/>
      <c r="G313" s="142"/>
      <c r="H313" s="142"/>
      <c r="I313" s="142"/>
      <c r="J313" s="142"/>
      <c r="K313" s="142"/>
      <c r="L313" s="142"/>
      <c r="M313" s="142"/>
      <c r="N313" s="142"/>
      <c r="O313" s="142"/>
      <c r="P313" s="237"/>
      <c r="Q313" s="237"/>
      <c r="R313" s="237"/>
      <c r="S313" s="237"/>
      <c r="T313" s="237"/>
      <c r="U313" s="237"/>
      <c r="V313" s="237"/>
      <c r="W313" s="237"/>
      <c r="X313" s="237"/>
      <c r="Y313" s="237"/>
      <c r="Z313" s="237"/>
    </row>
    <row r="314" ht="409.6" customHeight="1">
      <c r="A314" s="142"/>
      <c r="B314" s="142"/>
      <c r="C314" s="142"/>
      <c r="D314" s="142"/>
      <c r="E314" s="142"/>
      <c r="F314" s="142"/>
      <c r="G314" s="142"/>
      <c r="H314" s="142"/>
      <c r="I314" s="142"/>
      <c r="J314" s="142"/>
      <c r="K314" s="142"/>
      <c r="L314" s="142"/>
      <c r="M314" s="142"/>
      <c r="N314" s="142"/>
      <c r="O314" s="142"/>
      <c r="P314" s="237"/>
      <c r="Q314" s="237"/>
      <c r="R314" s="237"/>
      <c r="S314" s="237"/>
      <c r="T314" s="237"/>
      <c r="U314" s="237"/>
      <c r="V314" s="237"/>
      <c r="W314" s="237"/>
      <c r="X314" s="237"/>
      <c r="Y314" s="237"/>
      <c r="Z314" s="237"/>
    </row>
    <row r="315" ht="409.6" customHeight="1">
      <c r="A315" s="142"/>
      <c r="B315" s="142"/>
      <c r="C315" s="142"/>
      <c r="D315" s="142"/>
      <c r="E315" s="142"/>
      <c r="F315" s="142"/>
      <c r="G315" s="142"/>
      <c r="H315" s="142"/>
      <c r="I315" s="142"/>
      <c r="J315" s="142"/>
      <c r="K315" s="142"/>
      <c r="L315" s="142"/>
      <c r="M315" s="142"/>
      <c r="N315" s="142"/>
      <c r="O315" s="142"/>
      <c r="P315" s="237"/>
      <c r="Q315" s="237"/>
      <c r="R315" s="237"/>
      <c r="S315" s="237"/>
      <c r="T315" s="237"/>
      <c r="U315" s="237"/>
      <c r="V315" s="237"/>
      <c r="W315" s="237"/>
      <c r="X315" s="237"/>
      <c r="Y315" s="237"/>
      <c r="Z315" s="237"/>
    </row>
    <row r="316" ht="409.6" customHeight="1">
      <c r="A316" s="142"/>
      <c r="B316" s="142"/>
      <c r="C316" s="142"/>
      <c r="D316" s="142"/>
      <c r="E316" s="142"/>
      <c r="F316" s="142"/>
      <c r="G316" s="142"/>
      <c r="H316" s="142"/>
      <c r="I316" s="142"/>
      <c r="J316" s="142"/>
      <c r="K316" s="142"/>
      <c r="L316" s="142"/>
      <c r="M316" s="142"/>
      <c r="N316" s="142"/>
      <c r="O316" s="142"/>
      <c r="P316" s="237"/>
      <c r="Q316" s="237"/>
      <c r="R316" s="237"/>
      <c r="S316" s="237"/>
      <c r="T316" s="237"/>
      <c r="U316" s="237"/>
      <c r="V316" s="237"/>
      <c r="W316" s="237"/>
      <c r="X316" s="237"/>
      <c r="Y316" s="237"/>
      <c r="Z316" s="237"/>
    </row>
    <row r="317" ht="409.6" customHeight="1">
      <c r="A317" s="142"/>
      <c r="B317" s="142"/>
      <c r="C317" s="142"/>
      <c r="D317" s="142"/>
      <c r="E317" s="142"/>
      <c r="F317" s="142"/>
      <c r="G317" s="142"/>
      <c r="H317" s="142"/>
      <c r="I317" s="142"/>
      <c r="J317" s="142"/>
      <c r="K317" s="142"/>
      <c r="L317" s="142"/>
      <c r="M317" s="142"/>
      <c r="N317" s="142"/>
      <c r="O317" s="142"/>
      <c r="P317" s="237"/>
      <c r="Q317" s="237"/>
      <c r="R317" s="237"/>
      <c r="S317" s="237"/>
      <c r="T317" s="237"/>
      <c r="U317" s="237"/>
      <c r="V317" s="237"/>
      <c r="W317" s="237"/>
      <c r="X317" s="237"/>
      <c r="Y317" s="237"/>
      <c r="Z317" s="237"/>
    </row>
    <row r="318" ht="409.6" customHeight="1">
      <c r="A318" s="142"/>
      <c r="B318" s="142"/>
      <c r="C318" s="142"/>
      <c r="D318" s="142"/>
      <c r="E318" s="142"/>
      <c r="F318" s="142"/>
      <c r="G318" s="142"/>
      <c r="H318" s="142"/>
      <c r="I318" s="142"/>
      <c r="J318" s="142"/>
      <c r="K318" s="142"/>
      <c r="L318" s="142"/>
      <c r="M318" s="142"/>
      <c r="N318" s="142"/>
      <c r="O318" s="142"/>
      <c r="P318" s="237"/>
      <c r="Q318" s="237"/>
      <c r="R318" s="237"/>
      <c r="S318" s="237"/>
      <c r="T318" s="237"/>
      <c r="U318" s="237"/>
      <c r="V318" s="237"/>
      <c r="W318" s="237"/>
      <c r="X318" s="237"/>
      <c r="Y318" s="237"/>
      <c r="Z318" s="237"/>
    </row>
    <row r="319" ht="409.6" customHeight="1">
      <c r="A319" s="142"/>
      <c r="B319" s="142"/>
      <c r="C319" s="142"/>
      <c r="D319" s="142"/>
      <c r="E319" s="142"/>
      <c r="F319" s="142"/>
      <c r="G319" s="142"/>
      <c r="H319" s="142"/>
      <c r="I319" s="142"/>
      <c r="J319" s="142"/>
      <c r="K319" s="142"/>
      <c r="L319" s="142"/>
      <c r="M319" s="142"/>
      <c r="N319" s="142"/>
      <c r="O319" s="142"/>
      <c r="P319" s="237"/>
      <c r="Q319" s="237"/>
      <c r="R319" s="237"/>
      <c r="S319" s="237"/>
      <c r="T319" s="237"/>
      <c r="U319" s="237"/>
      <c r="V319" s="237"/>
      <c r="W319" s="237"/>
      <c r="X319" s="237"/>
      <c r="Y319" s="237"/>
      <c r="Z319" s="237"/>
    </row>
    <row r="320" ht="409.6" customHeight="1">
      <c r="A320" s="142"/>
      <c r="B320" s="142"/>
      <c r="C320" s="142"/>
      <c r="D320" s="142"/>
      <c r="E320" s="142"/>
      <c r="F320" s="142"/>
      <c r="G320" s="142"/>
      <c r="H320" s="142"/>
      <c r="I320" s="142"/>
      <c r="J320" s="142"/>
      <c r="K320" s="142"/>
      <c r="L320" s="142"/>
      <c r="M320" s="142"/>
      <c r="N320" s="142"/>
      <c r="O320" s="142"/>
      <c r="P320" s="237"/>
      <c r="Q320" s="237"/>
      <c r="R320" s="237"/>
      <c r="S320" s="237"/>
      <c r="T320" s="237"/>
      <c r="U320" s="237"/>
      <c r="V320" s="237"/>
      <c r="W320" s="237"/>
      <c r="X320" s="237"/>
      <c r="Y320" s="237"/>
      <c r="Z320" s="237"/>
    </row>
    <row r="321" ht="409.6" customHeight="1">
      <c r="A321" s="142"/>
      <c r="B321" s="142"/>
      <c r="C321" s="142"/>
      <c r="D321" s="142"/>
      <c r="E321" s="142"/>
      <c r="F321" s="142"/>
      <c r="G321" s="142"/>
      <c r="H321" s="142"/>
      <c r="I321" s="142"/>
      <c r="J321" s="142"/>
      <c r="K321" s="142"/>
      <c r="L321" s="142"/>
      <c r="M321" s="142"/>
      <c r="N321" s="142"/>
      <c r="O321" s="142"/>
      <c r="P321" s="237"/>
      <c r="Q321" s="237"/>
      <c r="R321" s="237"/>
      <c r="S321" s="237"/>
      <c r="T321" s="237"/>
      <c r="U321" s="237"/>
      <c r="V321" s="237"/>
      <c r="W321" s="237"/>
      <c r="X321" s="237"/>
      <c r="Y321" s="237"/>
      <c r="Z321" s="237"/>
    </row>
    <row r="322" ht="409.6" customHeight="1">
      <c r="A322" s="142"/>
      <c r="B322" s="142"/>
      <c r="C322" s="142"/>
      <c r="D322" s="142"/>
      <c r="E322" s="142"/>
      <c r="F322" s="142"/>
      <c r="G322" s="142"/>
      <c r="H322" s="142"/>
      <c r="I322" s="142"/>
      <c r="J322" s="142"/>
      <c r="K322" s="142"/>
      <c r="L322" s="142"/>
      <c r="M322" s="142"/>
      <c r="N322" s="142"/>
      <c r="O322" s="142"/>
      <c r="P322" s="237"/>
      <c r="Q322" s="237"/>
      <c r="R322" s="237"/>
      <c r="S322" s="237"/>
      <c r="T322" s="237"/>
      <c r="U322" s="237"/>
      <c r="V322" s="237"/>
      <c r="W322" s="237"/>
      <c r="X322" s="237"/>
      <c r="Y322" s="237"/>
      <c r="Z322" s="237"/>
    </row>
    <row r="323" ht="409.6" customHeight="1">
      <c r="A323" s="142"/>
      <c r="B323" s="142"/>
      <c r="C323" s="142"/>
      <c r="D323" s="142"/>
      <c r="E323" s="142"/>
      <c r="F323" s="142"/>
      <c r="G323" s="142"/>
      <c r="H323" s="142"/>
      <c r="I323" s="142"/>
      <c r="J323" s="142"/>
      <c r="K323" s="142"/>
      <c r="L323" s="142"/>
      <c r="M323" s="142"/>
      <c r="N323" s="142"/>
      <c r="O323" s="142"/>
      <c r="P323" s="237"/>
      <c r="Q323" s="237"/>
      <c r="R323" s="237"/>
      <c r="S323" s="237"/>
      <c r="T323" s="237"/>
      <c r="U323" s="237"/>
      <c r="V323" s="237"/>
      <c r="W323" s="237"/>
      <c r="X323" s="237"/>
      <c r="Y323" s="237"/>
      <c r="Z323" s="237"/>
    </row>
    <row r="324" ht="409.6" customHeight="1">
      <c r="A324" s="142"/>
      <c r="B324" s="142"/>
      <c r="C324" s="142"/>
      <c r="D324" s="142"/>
      <c r="E324" s="142"/>
      <c r="F324" s="142"/>
      <c r="G324" s="142"/>
      <c r="H324" s="142"/>
      <c r="I324" s="142"/>
      <c r="J324" s="142"/>
      <c r="K324" s="142"/>
      <c r="L324" s="142"/>
      <c r="M324" s="142"/>
      <c r="N324" s="142"/>
      <c r="O324" s="142"/>
      <c r="P324" s="237"/>
      <c r="Q324" s="237"/>
      <c r="R324" s="237"/>
      <c r="S324" s="237"/>
      <c r="T324" s="237"/>
      <c r="U324" s="237"/>
      <c r="V324" s="237"/>
      <c r="W324" s="237"/>
      <c r="X324" s="237"/>
      <c r="Y324" s="237"/>
      <c r="Z324" s="237"/>
    </row>
    <row r="325" ht="409.6" customHeight="1">
      <c r="A325" s="142"/>
      <c r="B325" s="142"/>
      <c r="C325" s="142"/>
      <c r="D325" s="142"/>
      <c r="E325" s="142"/>
      <c r="F325" s="142"/>
      <c r="G325" s="142"/>
      <c r="H325" s="142"/>
      <c r="I325" s="142"/>
      <c r="J325" s="142"/>
      <c r="K325" s="142"/>
      <c r="L325" s="142"/>
      <c r="M325" s="142"/>
      <c r="N325" s="142"/>
      <c r="O325" s="142"/>
      <c r="P325" s="237"/>
      <c r="Q325" s="237"/>
      <c r="R325" s="237"/>
      <c r="S325" s="237"/>
      <c r="T325" s="237"/>
      <c r="U325" s="237"/>
      <c r="V325" s="237"/>
      <c r="W325" s="237"/>
      <c r="X325" s="237"/>
      <c r="Y325" s="237"/>
      <c r="Z325" s="237"/>
    </row>
    <row r="326" ht="409.6" customHeight="1">
      <c r="A326" s="142"/>
      <c r="B326" s="142"/>
      <c r="C326" s="142"/>
      <c r="D326" s="142"/>
      <c r="E326" s="142"/>
      <c r="F326" s="142"/>
      <c r="G326" s="142"/>
      <c r="H326" s="142"/>
      <c r="I326" s="142"/>
      <c r="J326" s="142"/>
      <c r="K326" s="142"/>
      <c r="L326" s="142"/>
      <c r="M326" s="142"/>
      <c r="N326" s="142"/>
      <c r="O326" s="142"/>
      <c r="P326" s="237"/>
      <c r="Q326" s="237"/>
      <c r="R326" s="237"/>
      <c r="S326" s="237"/>
      <c r="T326" s="237"/>
      <c r="U326" s="237"/>
      <c r="V326" s="237"/>
      <c r="W326" s="237"/>
      <c r="X326" s="237"/>
      <c r="Y326" s="237"/>
      <c r="Z326" s="237"/>
    </row>
    <row r="327" ht="409.6" customHeight="1">
      <c r="A327" s="142"/>
      <c r="B327" s="142"/>
      <c r="C327" s="142"/>
      <c r="D327" s="142"/>
      <c r="E327" s="142"/>
      <c r="F327" s="142"/>
      <c r="G327" s="142"/>
      <c r="H327" s="142"/>
      <c r="I327" s="142"/>
      <c r="J327" s="142"/>
      <c r="K327" s="142"/>
      <c r="L327" s="142"/>
      <c r="M327" s="142"/>
      <c r="N327" s="142"/>
      <c r="O327" s="142"/>
      <c r="P327" s="237"/>
      <c r="Q327" s="237"/>
      <c r="R327" s="237"/>
      <c r="S327" s="237"/>
      <c r="T327" s="237"/>
      <c r="U327" s="237"/>
      <c r="V327" s="237"/>
      <c r="W327" s="237"/>
      <c r="X327" s="237"/>
      <c r="Y327" s="237"/>
      <c r="Z327" s="237"/>
    </row>
    <row r="328" ht="409.6" customHeight="1">
      <c r="A328" s="142"/>
      <c r="B328" s="142"/>
      <c r="C328" s="142"/>
      <c r="D328" s="142"/>
      <c r="E328" s="142"/>
      <c r="F328" s="142"/>
      <c r="G328" s="142"/>
      <c r="H328" s="142"/>
      <c r="I328" s="142"/>
      <c r="J328" s="142"/>
      <c r="K328" s="142"/>
      <c r="L328" s="142"/>
      <c r="M328" s="142"/>
      <c r="N328" s="142"/>
      <c r="O328" s="142"/>
      <c r="P328" s="237"/>
      <c r="Q328" s="237"/>
      <c r="R328" s="237"/>
      <c r="S328" s="237"/>
      <c r="T328" s="237"/>
      <c r="U328" s="237"/>
      <c r="V328" s="237"/>
      <c r="W328" s="237"/>
      <c r="X328" s="237"/>
      <c r="Y328" s="237"/>
      <c r="Z328" s="237"/>
    </row>
    <row r="329" ht="409.6" customHeight="1">
      <c r="A329" s="142"/>
      <c r="B329" s="142"/>
      <c r="C329" s="142"/>
      <c r="D329" s="142"/>
      <c r="E329" s="142"/>
      <c r="F329" s="142"/>
      <c r="G329" s="142"/>
      <c r="H329" s="142"/>
      <c r="I329" s="142"/>
      <c r="J329" s="142"/>
      <c r="K329" s="142"/>
      <c r="L329" s="142"/>
      <c r="M329" s="142"/>
      <c r="N329" s="142"/>
      <c r="O329" s="142"/>
      <c r="P329" s="237"/>
      <c r="Q329" s="237"/>
      <c r="R329" s="237"/>
      <c r="S329" s="237"/>
      <c r="T329" s="237"/>
      <c r="U329" s="237"/>
      <c r="V329" s="237"/>
      <c r="W329" s="237"/>
      <c r="X329" s="237"/>
      <c r="Y329" s="237"/>
      <c r="Z329" s="237"/>
    </row>
    <row r="330" ht="409.6" customHeight="1">
      <c r="A330" s="142"/>
      <c r="B330" s="142"/>
      <c r="C330" s="142"/>
      <c r="D330" s="142"/>
      <c r="E330" s="142"/>
      <c r="F330" s="142"/>
      <c r="G330" s="142"/>
      <c r="H330" s="142"/>
      <c r="I330" s="142"/>
      <c r="J330" s="142"/>
      <c r="K330" s="142"/>
      <c r="L330" s="142"/>
      <c r="M330" s="142"/>
      <c r="N330" s="142"/>
      <c r="O330" s="142"/>
      <c r="P330" s="237"/>
      <c r="Q330" s="237"/>
      <c r="R330" s="237"/>
      <c r="S330" s="237"/>
      <c r="T330" s="237"/>
      <c r="U330" s="237"/>
      <c r="V330" s="237"/>
      <c r="W330" s="237"/>
      <c r="X330" s="237"/>
      <c r="Y330" s="237"/>
      <c r="Z330" s="237"/>
    </row>
    <row r="331" ht="409.6" customHeight="1">
      <c r="A331" s="142"/>
      <c r="B331" s="142"/>
      <c r="C331" s="142"/>
      <c r="D331" s="142"/>
      <c r="E331" s="142"/>
      <c r="F331" s="142"/>
      <c r="G331" s="142"/>
      <c r="H331" s="142"/>
      <c r="I331" s="142"/>
      <c r="J331" s="142"/>
      <c r="K331" s="142"/>
      <c r="L331" s="142"/>
      <c r="M331" s="142"/>
      <c r="N331" s="142"/>
      <c r="O331" s="142"/>
      <c r="P331" s="237"/>
      <c r="Q331" s="237"/>
      <c r="R331" s="237"/>
      <c r="S331" s="237"/>
      <c r="T331" s="237"/>
      <c r="U331" s="237"/>
      <c r="V331" s="237"/>
      <c r="W331" s="237"/>
      <c r="X331" s="237"/>
      <c r="Y331" s="237"/>
      <c r="Z331" s="237"/>
    </row>
    <row r="332" ht="409.6" customHeight="1">
      <c r="A332" s="142"/>
      <c r="B332" s="142"/>
      <c r="C332" s="142"/>
      <c r="D332" s="142"/>
      <c r="E332" s="142"/>
      <c r="F332" s="142"/>
      <c r="G332" s="142"/>
      <c r="H332" s="142"/>
      <c r="I332" s="142"/>
      <c r="J332" s="142"/>
      <c r="K332" s="142"/>
      <c r="L332" s="142"/>
      <c r="M332" s="142"/>
      <c r="N332" s="142"/>
      <c r="O332" s="142"/>
      <c r="P332" s="237"/>
      <c r="Q332" s="237"/>
      <c r="R332" s="237"/>
      <c r="S332" s="237"/>
      <c r="T332" s="237"/>
      <c r="U332" s="237"/>
      <c r="V332" s="237"/>
      <c r="W332" s="237"/>
      <c r="X332" s="237"/>
      <c r="Y332" s="237"/>
      <c r="Z332" s="237"/>
    </row>
    <row r="333" ht="409.6" customHeight="1">
      <c r="A333" s="142"/>
      <c r="B333" s="142"/>
      <c r="C333" s="142"/>
      <c r="D333" s="142"/>
      <c r="E333" s="142"/>
      <c r="F333" s="142"/>
      <c r="G333" s="142"/>
      <c r="H333" s="142"/>
      <c r="I333" s="142"/>
      <c r="J333" s="142"/>
      <c r="K333" s="142"/>
      <c r="L333" s="142"/>
      <c r="M333" s="142"/>
      <c r="N333" s="142"/>
      <c r="O333" s="142"/>
      <c r="P333" s="237"/>
      <c r="Q333" s="237"/>
      <c r="R333" s="237"/>
      <c r="S333" s="237"/>
      <c r="T333" s="237"/>
      <c r="U333" s="237"/>
      <c r="V333" s="237"/>
      <c r="W333" s="237"/>
      <c r="X333" s="237"/>
      <c r="Y333" s="237"/>
      <c r="Z333" s="237"/>
    </row>
    <row r="334" ht="409.6" customHeight="1">
      <c r="A334" s="142"/>
      <c r="B334" s="142"/>
      <c r="C334" s="142"/>
      <c r="D334" s="142"/>
      <c r="E334" s="142"/>
      <c r="F334" s="142"/>
      <c r="G334" s="142"/>
      <c r="H334" s="142"/>
      <c r="I334" s="142"/>
      <c r="J334" s="142"/>
      <c r="K334" s="142"/>
      <c r="L334" s="142"/>
      <c r="M334" s="142"/>
      <c r="N334" s="142"/>
      <c r="O334" s="142"/>
      <c r="P334" s="237"/>
      <c r="Q334" s="237"/>
      <c r="R334" s="237"/>
      <c r="S334" s="237"/>
      <c r="T334" s="237"/>
      <c r="U334" s="237"/>
      <c r="V334" s="237"/>
      <c r="W334" s="237"/>
      <c r="X334" s="237"/>
      <c r="Y334" s="237"/>
      <c r="Z334" s="237"/>
    </row>
    <row r="335" ht="409.6" customHeight="1">
      <c r="A335" s="142"/>
      <c r="B335" s="142"/>
      <c r="C335" s="142"/>
      <c r="D335" s="142"/>
      <c r="E335" s="142"/>
      <c r="F335" s="142"/>
      <c r="G335" s="142"/>
      <c r="H335" s="142"/>
      <c r="I335" s="142"/>
      <c r="J335" s="142"/>
      <c r="K335" s="142"/>
      <c r="L335" s="142"/>
      <c r="M335" s="142"/>
      <c r="N335" s="142"/>
      <c r="O335" s="142"/>
      <c r="P335" s="237"/>
      <c r="Q335" s="237"/>
      <c r="R335" s="237"/>
      <c r="S335" s="237"/>
      <c r="T335" s="237"/>
      <c r="U335" s="237"/>
      <c r="V335" s="237"/>
      <c r="W335" s="237"/>
      <c r="X335" s="237"/>
      <c r="Y335" s="237"/>
      <c r="Z335" s="237"/>
    </row>
    <row r="336" ht="409.6" customHeight="1">
      <c r="A336" s="142"/>
      <c r="B336" s="142"/>
      <c r="C336" s="142"/>
      <c r="D336" s="142"/>
      <c r="E336" s="142"/>
      <c r="F336" s="142"/>
      <c r="G336" s="142"/>
      <c r="H336" s="142"/>
      <c r="I336" s="142"/>
      <c r="J336" s="142"/>
      <c r="K336" s="142"/>
      <c r="L336" s="142"/>
      <c r="M336" s="142"/>
      <c r="N336" s="142"/>
      <c r="O336" s="142"/>
      <c r="P336" s="237"/>
      <c r="Q336" s="237"/>
      <c r="R336" s="237"/>
      <c r="S336" s="237"/>
      <c r="T336" s="237"/>
      <c r="U336" s="237"/>
      <c r="V336" s="237"/>
      <c r="W336" s="237"/>
      <c r="X336" s="237"/>
      <c r="Y336" s="237"/>
      <c r="Z336" s="237"/>
    </row>
    <row r="337" ht="409.6" customHeight="1">
      <c r="A337" s="142"/>
      <c r="B337" s="142"/>
      <c r="C337" s="142"/>
      <c r="D337" s="142"/>
      <c r="E337" s="142"/>
      <c r="F337" s="142"/>
      <c r="G337" s="142"/>
      <c r="H337" s="142"/>
      <c r="I337" s="142"/>
      <c r="J337" s="142"/>
      <c r="K337" s="142"/>
      <c r="L337" s="142"/>
      <c r="M337" s="142"/>
      <c r="N337" s="142"/>
      <c r="O337" s="142"/>
      <c r="P337" s="237"/>
      <c r="Q337" s="237"/>
      <c r="R337" s="237"/>
      <c r="S337" s="237"/>
      <c r="T337" s="237"/>
      <c r="U337" s="237"/>
      <c r="V337" s="237"/>
      <c r="W337" s="237"/>
      <c r="X337" s="237"/>
      <c r="Y337" s="237"/>
      <c r="Z337" s="237"/>
    </row>
    <row r="338" ht="409.6" customHeight="1">
      <c r="A338" s="142"/>
      <c r="B338" s="142"/>
      <c r="C338" s="142"/>
      <c r="D338" s="142"/>
      <c r="E338" s="142"/>
      <c r="F338" s="142"/>
      <c r="G338" s="142"/>
      <c r="H338" s="142"/>
      <c r="I338" s="142"/>
      <c r="J338" s="142"/>
      <c r="K338" s="142"/>
      <c r="L338" s="142"/>
      <c r="M338" s="142"/>
      <c r="N338" s="142"/>
      <c r="O338" s="142"/>
      <c r="P338" s="237"/>
      <c r="Q338" s="237"/>
      <c r="R338" s="237"/>
      <c r="S338" s="237"/>
      <c r="T338" s="237"/>
      <c r="U338" s="237"/>
      <c r="V338" s="237"/>
      <c r="W338" s="237"/>
      <c r="X338" s="237"/>
      <c r="Y338" s="237"/>
      <c r="Z338" s="237"/>
    </row>
    <row r="339" ht="409.6" customHeight="1">
      <c r="A339" s="142"/>
      <c r="B339" s="142"/>
      <c r="C339" s="142"/>
      <c r="D339" s="142"/>
      <c r="E339" s="142"/>
      <c r="F339" s="142"/>
      <c r="G339" s="142"/>
      <c r="H339" s="142"/>
      <c r="I339" s="142"/>
      <c r="J339" s="142"/>
      <c r="K339" s="142"/>
      <c r="L339" s="142"/>
      <c r="M339" s="142"/>
      <c r="N339" s="142"/>
      <c r="O339" s="142"/>
      <c r="P339" s="237"/>
      <c r="Q339" s="237"/>
      <c r="R339" s="237"/>
      <c r="S339" s="237"/>
      <c r="T339" s="237"/>
      <c r="U339" s="237"/>
      <c r="V339" s="237"/>
      <c r="W339" s="237"/>
      <c r="X339" s="237"/>
      <c r="Y339" s="237"/>
      <c r="Z339" s="237"/>
    </row>
    <row r="340" ht="409.6" customHeight="1">
      <c r="A340" s="142"/>
      <c r="B340" s="142"/>
      <c r="C340" s="142"/>
      <c r="D340" s="142"/>
      <c r="E340" s="142"/>
      <c r="F340" s="142"/>
      <c r="G340" s="142"/>
      <c r="H340" s="142"/>
      <c r="I340" s="142"/>
      <c r="J340" s="142"/>
      <c r="K340" s="142"/>
      <c r="L340" s="142"/>
      <c r="M340" s="142"/>
      <c r="N340" s="142"/>
      <c r="O340" s="142"/>
      <c r="P340" s="237"/>
      <c r="Q340" s="237"/>
      <c r="R340" s="237"/>
      <c r="S340" s="237"/>
      <c r="T340" s="237"/>
      <c r="U340" s="237"/>
      <c r="V340" s="237"/>
      <c r="W340" s="237"/>
      <c r="X340" s="237"/>
      <c r="Y340" s="237"/>
      <c r="Z340" s="237"/>
    </row>
    <row r="341" ht="409.6" customHeight="1">
      <c r="A341" s="142"/>
      <c r="B341" s="142"/>
      <c r="C341" s="142"/>
      <c r="D341" s="142"/>
      <c r="E341" s="142"/>
      <c r="F341" s="142"/>
      <c r="G341" s="142"/>
      <c r="H341" s="142"/>
      <c r="I341" s="142"/>
      <c r="J341" s="142"/>
      <c r="K341" s="142"/>
      <c r="L341" s="142"/>
      <c r="M341" s="142"/>
      <c r="N341" s="142"/>
      <c r="O341" s="142"/>
      <c r="P341" s="237"/>
      <c r="Q341" s="237"/>
      <c r="R341" s="237"/>
      <c r="S341" s="237"/>
      <c r="T341" s="237"/>
      <c r="U341" s="237"/>
      <c r="V341" s="237"/>
      <c r="W341" s="237"/>
      <c r="X341" s="237"/>
      <c r="Y341" s="237"/>
      <c r="Z341" s="237"/>
    </row>
    <row r="342" ht="409.6" customHeight="1">
      <c r="A342" s="142"/>
      <c r="B342" s="142"/>
      <c r="C342" s="142"/>
      <c r="D342" s="142"/>
      <c r="E342" s="142"/>
      <c r="F342" s="142"/>
      <c r="G342" s="142"/>
      <c r="H342" s="142"/>
      <c r="I342" s="142"/>
      <c r="J342" s="142"/>
      <c r="K342" s="142"/>
      <c r="L342" s="142"/>
      <c r="M342" s="142"/>
      <c r="N342" s="142"/>
      <c r="O342" s="142"/>
      <c r="P342" s="237"/>
      <c r="Q342" s="237"/>
      <c r="R342" s="237"/>
      <c r="S342" s="237"/>
      <c r="T342" s="237"/>
      <c r="U342" s="237"/>
      <c r="V342" s="237"/>
      <c r="W342" s="237"/>
      <c r="X342" s="237"/>
      <c r="Y342" s="237"/>
      <c r="Z342" s="237"/>
    </row>
    <row r="343" ht="409.6" customHeight="1">
      <c r="A343" s="142"/>
      <c r="B343" s="142"/>
      <c r="C343" s="142"/>
      <c r="D343" s="142"/>
      <c r="E343" s="142"/>
      <c r="F343" s="142"/>
      <c r="G343" s="142"/>
      <c r="H343" s="142"/>
      <c r="I343" s="142"/>
      <c r="J343" s="142"/>
      <c r="K343" s="142"/>
      <c r="L343" s="142"/>
      <c r="M343" s="142"/>
      <c r="N343" s="142"/>
      <c r="O343" s="142"/>
      <c r="P343" s="237"/>
      <c r="Q343" s="237"/>
      <c r="R343" s="237"/>
      <c r="S343" s="237"/>
      <c r="T343" s="237"/>
      <c r="U343" s="237"/>
      <c r="V343" s="237"/>
      <c r="W343" s="237"/>
      <c r="X343" s="237"/>
      <c r="Y343" s="237"/>
      <c r="Z343" s="237"/>
    </row>
    <row r="344" ht="409.6" customHeight="1">
      <c r="A344" s="142"/>
      <c r="B344" s="142"/>
      <c r="C344" s="142"/>
      <c r="D344" s="142"/>
      <c r="E344" s="142"/>
      <c r="F344" s="142"/>
      <c r="G344" s="142"/>
      <c r="H344" s="142"/>
      <c r="I344" s="142"/>
      <c r="J344" s="142"/>
      <c r="K344" s="142"/>
      <c r="L344" s="142"/>
      <c r="M344" s="142"/>
      <c r="N344" s="142"/>
      <c r="O344" s="142"/>
      <c r="P344" s="237"/>
      <c r="Q344" s="237"/>
      <c r="R344" s="237"/>
      <c r="S344" s="237"/>
      <c r="T344" s="237"/>
      <c r="U344" s="237"/>
      <c r="V344" s="237"/>
      <c r="W344" s="237"/>
      <c r="X344" s="237"/>
      <c r="Y344" s="237"/>
      <c r="Z344" s="237"/>
    </row>
    <row r="345" ht="409.6" customHeight="1">
      <c r="A345" s="142"/>
      <c r="B345" s="142"/>
      <c r="C345" s="142"/>
      <c r="D345" s="142"/>
      <c r="E345" s="142"/>
      <c r="F345" s="142"/>
      <c r="G345" s="142"/>
      <c r="H345" s="142"/>
      <c r="I345" s="142"/>
      <c r="J345" s="142"/>
      <c r="K345" s="142"/>
      <c r="L345" s="142"/>
      <c r="M345" s="142"/>
      <c r="N345" s="142"/>
      <c r="O345" s="142"/>
      <c r="P345" s="237"/>
      <c r="Q345" s="237"/>
      <c r="R345" s="237"/>
      <c r="S345" s="237"/>
      <c r="T345" s="237"/>
      <c r="U345" s="237"/>
      <c r="V345" s="237"/>
      <c r="W345" s="237"/>
      <c r="X345" s="237"/>
      <c r="Y345" s="237"/>
      <c r="Z345" s="237"/>
    </row>
    <row r="346" ht="409.6" customHeight="1">
      <c r="A346" s="142"/>
      <c r="B346" s="142"/>
      <c r="C346" s="142"/>
      <c r="D346" s="142"/>
      <c r="E346" s="142"/>
      <c r="F346" s="142"/>
      <c r="G346" s="142"/>
      <c r="H346" s="142"/>
      <c r="I346" s="142"/>
      <c r="J346" s="142"/>
      <c r="K346" s="142"/>
      <c r="L346" s="142"/>
      <c r="M346" s="142"/>
      <c r="N346" s="142"/>
      <c r="O346" s="142"/>
      <c r="P346" s="237"/>
      <c r="Q346" s="237"/>
      <c r="R346" s="237"/>
      <c r="S346" s="237"/>
      <c r="T346" s="237"/>
      <c r="U346" s="237"/>
      <c r="V346" s="237"/>
      <c r="W346" s="237"/>
      <c r="X346" s="237"/>
      <c r="Y346" s="237"/>
      <c r="Z346" s="237"/>
    </row>
    <row r="347" ht="409.6" customHeight="1">
      <c r="A347" s="142"/>
      <c r="B347" s="142"/>
      <c r="C347" s="142"/>
      <c r="D347" s="142"/>
      <c r="E347" s="142"/>
      <c r="F347" s="142"/>
      <c r="G347" s="142"/>
      <c r="H347" s="142"/>
      <c r="I347" s="142"/>
      <c r="J347" s="142"/>
      <c r="K347" s="142"/>
      <c r="L347" s="142"/>
      <c r="M347" s="142"/>
      <c r="N347" s="142"/>
      <c r="O347" s="142"/>
      <c r="P347" s="237"/>
      <c r="Q347" s="237"/>
      <c r="R347" s="237"/>
      <c r="S347" s="237"/>
      <c r="T347" s="237"/>
      <c r="U347" s="237"/>
      <c r="V347" s="237"/>
      <c r="W347" s="237"/>
      <c r="X347" s="237"/>
      <c r="Y347" s="237"/>
      <c r="Z347" s="237"/>
    </row>
    <row r="348" ht="409.6" customHeight="1">
      <c r="A348" s="142"/>
      <c r="B348" s="142"/>
      <c r="C348" s="142"/>
      <c r="D348" s="142"/>
      <c r="E348" s="142"/>
      <c r="F348" s="142"/>
      <c r="G348" s="142"/>
      <c r="H348" s="142"/>
      <c r="I348" s="142"/>
      <c r="J348" s="142"/>
      <c r="K348" s="142"/>
      <c r="L348" s="142"/>
      <c r="M348" s="142"/>
      <c r="N348" s="142"/>
      <c r="O348" s="142"/>
      <c r="P348" s="237"/>
      <c r="Q348" s="237"/>
      <c r="R348" s="237"/>
      <c r="S348" s="237"/>
      <c r="T348" s="237"/>
      <c r="U348" s="237"/>
      <c r="V348" s="237"/>
      <c r="W348" s="237"/>
      <c r="X348" s="237"/>
      <c r="Y348" s="237"/>
      <c r="Z348" s="237"/>
    </row>
    <row r="349" ht="409.6" customHeight="1">
      <c r="A349" s="142"/>
      <c r="B349" s="142"/>
      <c r="C349" s="142"/>
      <c r="D349" s="142"/>
      <c r="E349" s="142"/>
      <c r="F349" s="142"/>
      <c r="G349" s="142"/>
      <c r="H349" s="142"/>
      <c r="I349" s="142"/>
      <c r="J349" s="142"/>
      <c r="K349" s="142"/>
      <c r="L349" s="142"/>
      <c r="M349" s="142"/>
      <c r="N349" s="142"/>
      <c r="O349" s="142"/>
      <c r="P349" s="237"/>
      <c r="Q349" s="237"/>
      <c r="R349" s="237"/>
      <c r="S349" s="237"/>
      <c r="T349" s="237"/>
      <c r="U349" s="237"/>
      <c r="V349" s="237"/>
      <c r="W349" s="237"/>
      <c r="X349" s="237"/>
      <c r="Y349" s="237"/>
      <c r="Z349" s="237"/>
    </row>
    <row r="350" ht="409.6" customHeight="1">
      <c r="A350" s="142"/>
      <c r="B350" s="142"/>
      <c r="C350" s="142"/>
      <c r="D350" s="142"/>
      <c r="E350" s="142"/>
      <c r="F350" s="142"/>
      <c r="G350" s="142"/>
      <c r="H350" s="142"/>
      <c r="I350" s="142"/>
      <c r="J350" s="142"/>
      <c r="K350" s="142"/>
      <c r="L350" s="142"/>
      <c r="M350" s="142"/>
      <c r="N350" s="142"/>
      <c r="O350" s="142"/>
      <c r="P350" s="237"/>
      <c r="Q350" s="237"/>
      <c r="R350" s="237"/>
      <c r="S350" s="237"/>
      <c r="T350" s="237"/>
      <c r="U350" s="237"/>
      <c r="V350" s="237"/>
      <c r="W350" s="237"/>
      <c r="X350" s="237"/>
      <c r="Y350" s="237"/>
      <c r="Z350" s="237"/>
    </row>
    <row r="351" ht="409.6" customHeight="1">
      <c r="A351" s="142"/>
      <c r="B351" s="142"/>
      <c r="C351" s="142"/>
      <c r="D351" s="142"/>
      <c r="E351" s="142"/>
      <c r="F351" s="142"/>
      <c r="G351" s="142"/>
      <c r="H351" s="142"/>
      <c r="I351" s="142"/>
      <c r="J351" s="142"/>
      <c r="K351" s="142"/>
      <c r="L351" s="142"/>
      <c r="M351" s="142"/>
      <c r="N351" s="142"/>
      <c r="O351" s="142"/>
      <c r="P351" s="237"/>
      <c r="Q351" s="237"/>
      <c r="R351" s="237"/>
      <c r="S351" s="237"/>
      <c r="T351" s="237"/>
      <c r="U351" s="237"/>
      <c r="V351" s="237"/>
      <c r="W351" s="237"/>
      <c r="X351" s="237"/>
      <c r="Y351" s="237"/>
      <c r="Z351" s="237"/>
    </row>
    <row r="352" ht="409.6" customHeight="1">
      <c r="A352" s="142"/>
      <c r="B352" s="142"/>
      <c r="C352" s="142"/>
      <c r="D352" s="142"/>
      <c r="E352" s="142"/>
      <c r="F352" s="142"/>
      <c r="G352" s="142"/>
      <c r="H352" s="142"/>
      <c r="I352" s="142"/>
      <c r="J352" s="142"/>
      <c r="K352" s="142"/>
      <c r="L352" s="142"/>
      <c r="M352" s="142"/>
      <c r="N352" s="142"/>
      <c r="O352" s="142"/>
      <c r="P352" s="237"/>
      <c r="Q352" s="237"/>
      <c r="R352" s="237"/>
      <c r="S352" s="237"/>
      <c r="T352" s="237"/>
      <c r="U352" s="237"/>
      <c r="V352" s="237"/>
      <c r="W352" s="237"/>
      <c r="X352" s="237"/>
      <c r="Y352" s="237"/>
      <c r="Z352" s="237"/>
    </row>
    <row r="353" ht="409.6" customHeight="1">
      <c r="A353" s="142"/>
      <c r="B353" s="142"/>
      <c r="C353" s="142"/>
      <c r="D353" s="142"/>
      <c r="E353" s="142"/>
      <c r="F353" s="142"/>
      <c r="G353" s="142"/>
      <c r="H353" s="142"/>
      <c r="I353" s="142"/>
      <c r="J353" s="142"/>
      <c r="K353" s="142"/>
      <c r="L353" s="142"/>
      <c r="M353" s="142"/>
      <c r="N353" s="142"/>
      <c r="O353" s="142"/>
      <c r="P353" s="237"/>
      <c r="Q353" s="237"/>
      <c r="R353" s="237"/>
      <c r="S353" s="237"/>
      <c r="T353" s="237"/>
      <c r="U353" s="237"/>
      <c r="V353" s="237"/>
      <c r="W353" s="237"/>
      <c r="X353" s="237"/>
      <c r="Y353" s="237"/>
      <c r="Z353" s="237"/>
    </row>
    <row r="354" ht="409.6" customHeight="1">
      <c r="A354" s="142"/>
      <c r="B354" s="142"/>
      <c r="C354" s="142"/>
      <c r="D354" s="142"/>
      <c r="E354" s="142"/>
      <c r="F354" s="142"/>
      <c r="G354" s="142"/>
      <c r="H354" s="142"/>
      <c r="I354" s="142"/>
      <c r="J354" s="142"/>
      <c r="K354" s="142"/>
      <c r="L354" s="142"/>
      <c r="M354" s="142"/>
      <c r="N354" s="142"/>
      <c r="O354" s="142"/>
      <c r="P354" s="237"/>
      <c r="Q354" s="237"/>
      <c r="R354" s="237"/>
      <c r="S354" s="237"/>
      <c r="T354" s="237"/>
      <c r="U354" s="237"/>
      <c r="V354" s="237"/>
      <c r="W354" s="237"/>
      <c r="X354" s="237"/>
      <c r="Y354" s="237"/>
      <c r="Z354" s="237"/>
    </row>
    <row r="355" ht="409.6" customHeight="1">
      <c r="A355" s="142"/>
      <c r="B355" s="142"/>
      <c r="C355" s="142"/>
      <c r="D355" s="142"/>
      <c r="E355" s="142"/>
      <c r="F355" s="142"/>
      <c r="G355" s="142"/>
      <c r="H355" s="142"/>
      <c r="I355" s="142"/>
      <c r="J355" s="142"/>
      <c r="K355" s="142"/>
      <c r="L355" s="142"/>
      <c r="M355" s="142"/>
      <c r="N355" s="142"/>
      <c r="O355" s="142"/>
      <c r="P355" s="237"/>
      <c r="Q355" s="237"/>
      <c r="R355" s="237"/>
      <c r="S355" s="237"/>
      <c r="T355" s="237"/>
      <c r="U355" s="237"/>
      <c r="V355" s="237"/>
      <c r="W355" s="237"/>
      <c r="X355" s="237"/>
      <c r="Y355" s="237"/>
      <c r="Z355" s="237"/>
    </row>
    <row r="356" ht="409.6" customHeight="1">
      <c r="A356" s="142"/>
      <c r="B356" s="142"/>
      <c r="C356" s="142"/>
      <c r="D356" s="142"/>
      <c r="E356" s="142"/>
      <c r="F356" s="142"/>
      <c r="G356" s="142"/>
      <c r="H356" s="142"/>
      <c r="I356" s="142"/>
      <c r="J356" s="142"/>
      <c r="K356" s="142"/>
      <c r="L356" s="142"/>
      <c r="M356" s="142"/>
      <c r="N356" s="142"/>
      <c r="O356" s="142"/>
      <c r="P356" s="237"/>
      <c r="Q356" s="237"/>
      <c r="R356" s="237"/>
      <c r="S356" s="237"/>
      <c r="T356" s="237"/>
      <c r="U356" s="237"/>
      <c r="V356" s="237"/>
      <c r="W356" s="237"/>
      <c r="X356" s="237"/>
      <c r="Y356" s="237"/>
      <c r="Z356" s="237"/>
    </row>
    <row r="357" ht="409.6" customHeight="1">
      <c r="A357" s="142"/>
      <c r="B357" s="142"/>
      <c r="C357" s="142"/>
      <c r="D357" s="142"/>
      <c r="E357" s="142"/>
      <c r="F357" s="142"/>
      <c r="G357" s="142"/>
      <c r="H357" s="142"/>
      <c r="I357" s="142"/>
      <c r="J357" s="142"/>
      <c r="K357" s="142"/>
      <c r="L357" s="142"/>
      <c r="M357" s="142"/>
      <c r="N357" s="142"/>
      <c r="O357" s="142"/>
      <c r="P357" s="237"/>
      <c r="Q357" s="237"/>
      <c r="R357" s="237"/>
      <c r="S357" s="237"/>
      <c r="T357" s="237"/>
      <c r="U357" s="237"/>
      <c r="V357" s="237"/>
      <c r="W357" s="237"/>
      <c r="X357" s="237"/>
      <c r="Y357" s="237"/>
      <c r="Z357" s="237"/>
    </row>
    <row r="358" ht="409.6" customHeight="1">
      <c r="A358" s="142"/>
      <c r="B358" s="142"/>
      <c r="C358" s="142"/>
      <c r="D358" s="142"/>
      <c r="E358" s="142"/>
      <c r="F358" s="142"/>
      <c r="G358" s="142"/>
      <c r="H358" s="142"/>
      <c r="I358" s="142"/>
      <c r="J358" s="142"/>
      <c r="K358" s="142"/>
      <c r="L358" s="142"/>
      <c r="M358" s="142"/>
      <c r="N358" s="142"/>
      <c r="O358" s="142"/>
      <c r="P358" s="237"/>
      <c r="Q358" s="237"/>
      <c r="R358" s="237"/>
      <c r="S358" s="237"/>
      <c r="T358" s="237"/>
      <c r="U358" s="237"/>
      <c r="V358" s="237"/>
      <c r="W358" s="237"/>
      <c r="X358" s="237"/>
      <c r="Y358" s="237"/>
      <c r="Z358" s="237"/>
    </row>
    <row r="359" ht="409.6" customHeight="1">
      <c r="A359" s="142"/>
      <c r="B359" s="142"/>
      <c r="C359" s="142"/>
      <c r="D359" s="142"/>
      <c r="E359" s="142"/>
      <c r="F359" s="142"/>
      <c r="G359" s="142"/>
      <c r="H359" s="142"/>
      <c r="I359" s="142"/>
      <c r="J359" s="142"/>
      <c r="K359" s="142"/>
      <c r="L359" s="142"/>
      <c r="M359" s="142"/>
      <c r="N359" s="142"/>
      <c r="O359" s="142"/>
      <c r="P359" s="237"/>
      <c r="Q359" s="237"/>
      <c r="R359" s="237"/>
      <c r="S359" s="237"/>
      <c r="T359" s="237"/>
      <c r="U359" s="237"/>
      <c r="V359" s="237"/>
      <c r="W359" s="237"/>
      <c r="X359" s="237"/>
      <c r="Y359" s="237"/>
      <c r="Z359" s="237"/>
    </row>
    <row r="360" ht="409.6" customHeight="1">
      <c r="A360" s="142"/>
      <c r="B360" s="142"/>
      <c r="C360" s="142"/>
      <c r="D360" s="142"/>
      <c r="E360" s="142"/>
      <c r="F360" s="142"/>
      <c r="G360" s="142"/>
      <c r="H360" s="142"/>
      <c r="I360" s="142"/>
      <c r="J360" s="142"/>
      <c r="K360" s="142"/>
      <c r="L360" s="142"/>
      <c r="M360" s="142"/>
      <c r="N360" s="142"/>
      <c r="O360" s="142"/>
      <c r="P360" s="237"/>
      <c r="Q360" s="237"/>
      <c r="R360" s="237"/>
      <c r="S360" s="237"/>
      <c r="T360" s="237"/>
      <c r="U360" s="237"/>
      <c r="V360" s="237"/>
      <c r="W360" s="237"/>
      <c r="X360" s="237"/>
      <c r="Y360" s="237"/>
      <c r="Z360" s="237"/>
    </row>
    <row r="361" ht="409.6" customHeight="1">
      <c r="A361" s="142"/>
      <c r="B361" s="142"/>
      <c r="C361" s="142"/>
      <c r="D361" s="142"/>
      <c r="E361" s="142"/>
      <c r="F361" s="142"/>
      <c r="G361" s="142"/>
      <c r="H361" s="142"/>
      <c r="I361" s="142"/>
      <c r="J361" s="142"/>
      <c r="K361" s="142"/>
      <c r="L361" s="142"/>
      <c r="M361" s="142"/>
      <c r="N361" s="142"/>
      <c r="O361" s="142"/>
      <c r="P361" s="237"/>
      <c r="Q361" s="237"/>
      <c r="R361" s="237"/>
      <c r="S361" s="237"/>
      <c r="T361" s="237"/>
      <c r="U361" s="237"/>
      <c r="V361" s="237"/>
      <c r="W361" s="237"/>
      <c r="X361" s="237"/>
      <c r="Y361" s="237"/>
      <c r="Z361" s="237"/>
    </row>
    <row r="362" ht="409.6" customHeight="1">
      <c r="A362" s="142"/>
      <c r="B362" s="142"/>
      <c r="C362" s="142"/>
      <c r="D362" s="142"/>
      <c r="E362" s="142"/>
      <c r="F362" s="142"/>
      <c r="G362" s="142"/>
      <c r="H362" s="142"/>
      <c r="I362" s="142"/>
      <c r="J362" s="142"/>
      <c r="K362" s="142"/>
      <c r="L362" s="142"/>
      <c r="M362" s="142"/>
      <c r="N362" s="142"/>
      <c r="O362" s="142"/>
      <c r="P362" s="237"/>
      <c r="Q362" s="237"/>
      <c r="R362" s="237"/>
      <c r="S362" s="237"/>
      <c r="T362" s="237"/>
      <c r="U362" s="237"/>
      <c r="V362" s="237"/>
      <c r="W362" s="237"/>
      <c r="X362" s="237"/>
      <c r="Y362" s="237"/>
      <c r="Z362" s="237"/>
    </row>
    <row r="363" ht="409.6" customHeight="1">
      <c r="A363" s="142"/>
      <c r="B363" s="142"/>
      <c r="C363" s="142"/>
      <c r="D363" s="142"/>
      <c r="E363" s="142"/>
      <c r="F363" s="142"/>
      <c r="G363" s="142"/>
      <c r="H363" s="142"/>
      <c r="I363" s="142"/>
      <c r="J363" s="142"/>
      <c r="K363" s="142"/>
      <c r="L363" s="142"/>
      <c r="M363" s="142"/>
      <c r="N363" s="142"/>
      <c r="O363" s="142"/>
      <c r="P363" s="237"/>
      <c r="Q363" s="237"/>
      <c r="R363" s="237"/>
      <c r="S363" s="237"/>
      <c r="T363" s="237"/>
      <c r="U363" s="237"/>
      <c r="V363" s="237"/>
      <c r="W363" s="237"/>
      <c r="X363" s="237"/>
      <c r="Y363" s="237"/>
      <c r="Z363" s="237"/>
    </row>
    <row r="364" ht="409.6" customHeight="1">
      <c r="A364" s="142"/>
      <c r="B364" s="142"/>
      <c r="C364" s="142"/>
      <c r="D364" s="142"/>
      <c r="E364" s="142"/>
      <c r="F364" s="142"/>
      <c r="G364" s="142"/>
      <c r="H364" s="142"/>
      <c r="I364" s="142"/>
      <c r="J364" s="142"/>
      <c r="K364" s="142"/>
      <c r="L364" s="142"/>
      <c r="M364" s="142"/>
      <c r="N364" s="142"/>
      <c r="O364" s="142"/>
      <c r="P364" s="237"/>
      <c r="Q364" s="237"/>
      <c r="R364" s="237"/>
      <c r="S364" s="237"/>
      <c r="T364" s="237"/>
      <c r="U364" s="237"/>
      <c r="V364" s="237"/>
      <c r="W364" s="237"/>
      <c r="X364" s="237"/>
      <c r="Y364" s="237"/>
      <c r="Z364" s="237"/>
    </row>
    <row r="365" ht="409.6" customHeight="1">
      <c r="A365" s="142"/>
      <c r="B365" s="142"/>
      <c r="C365" s="142"/>
      <c r="D365" s="142"/>
      <c r="E365" s="142"/>
      <c r="F365" s="142"/>
      <c r="G365" s="142"/>
      <c r="H365" s="142"/>
      <c r="I365" s="142"/>
      <c r="J365" s="142"/>
      <c r="K365" s="142"/>
      <c r="L365" s="142"/>
      <c r="M365" s="142"/>
      <c r="N365" s="142"/>
      <c r="O365" s="142"/>
      <c r="P365" s="237"/>
      <c r="Q365" s="237"/>
      <c r="R365" s="237"/>
      <c r="S365" s="237"/>
      <c r="T365" s="237"/>
      <c r="U365" s="237"/>
      <c r="V365" s="237"/>
      <c r="W365" s="237"/>
      <c r="X365" s="237"/>
      <c r="Y365" s="237"/>
      <c r="Z365" s="237"/>
    </row>
    <row r="366" ht="409.6" customHeight="1">
      <c r="A366" s="142"/>
      <c r="B366" s="142"/>
      <c r="C366" s="142"/>
      <c r="D366" s="142"/>
      <c r="E366" s="142"/>
      <c r="F366" s="142"/>
      <c r="G366" s="142"/>
      <c r="H366" s="142"/>
      <c r="I366" s="142"/>
      <c r="J366" s="142"/>
      <c r="K366" s="142"/>
      <c r="L366" s="142"/>
      <c r="M366" s="142"/>
      <c r="N366" s="142"/>
      <c r="O366" s="142"/>
      <c r="P366" s="237"/>
      <c r="Q366" s="237"/>
      <c r="R366" s="237"/>
      <c r="S366" s="237"/>
      <c r="T366" s="237"/>
      <c r="U366" s="237"/>
      <c r="V366" s="237"/>
      <c r="W366" s="237"/>
      <c r="X366" s="237"/>
      <c r="Y366" s="237"/>
      <c r="Z366" s="237"/>
    </row>
    <row r="367" ht="409.6" customHeight="1">
      <c r="A367" s="142"/>
      <c r="B367" s="142"/>
      <c r="C367" s="142"/>
      <c r="D367" s="142"/>
      <c r="E367" s="142"/>
      <c r="F367" s="142"/>
      <c r="G367" s="142"/>
      <c r="H367" s="142"/>
      <c r="I367" s="142"/>
      <c r="J367" s="142"/>
      <c r="K367" s="142"/>
      <c r="L367" s="142"/>
      <c r="M367" s="142"/>
      <c r="N367" s="142"/>
      <c r="O367" s="142"/>
      <c r="P367" s="237"/>
      <c r="Q367" s="237"/>
      <c r="R367" s="237"/>
      <c r="S367" s="237"/>
      <c r="T367" s="237"/>
      <c r="U367" s="237"/>
      <c r="V367" s="237"/>
      <c r="W367" s="237"/>
      <c r="X367" s="237"/>
      <c r="Y367" s="237"/>
      <c r="Z367" s="237"/>
    </row>
    <row r="368" ht="409.6" customHeight="1">
      <c r="A368" s="142"/>
      <c r="B368" s="142"/>
      <c r="C368" s="142"/>
      <c r="D368" s="142"/>
      <c r="E368" s="142"/>
      <c r="F368" s="142"/>
      <c r="G368" s="142"/>
      <c r="H368" s="142"/>
      <c r="I368" s="142"/>
      <c r="J368" s="142"/>
      <c r="K368" s="142"/>
      <c r="L368" s="142"/>
      <c r="M368" s="142"/>
      <c r="N368" s="142"/>
      <c r="O368" s="142"/>
      <c r="P368" s="237"/>
      <c r="Q368" s="237"/>
      <c r="R368" s="237"/>
      <c r="S368" s="237"/>
      <c r="T368" s="237"/>
      <c r="U368" s="237"/>
      <c r="V368" s="237"/>
      <c r="W368" s="237"/>
      <c r="X368" s="237"/>
      <c r="Y368" s="237"/>
      <c r="Z368" s="237"/>
    </row>
    <row r="369" ht="409.6" customHeight="1">
      <c r="A369" s="142"/>
      <c r="B369" s="142"/>
      <c r="C369" s="142"/>
      <c r="D369" s="142"/>
      <c r="E369" s="142"/>
      <c r="F369" s="142"/>
      <c r="G369" s="142"/>
      <c r="H369" s="142"/>
      <c r="I369" s="142"/>
      <c r="J369" s="142"/>
      <c r="K369" s="142"/>
      <c r="L369" s="142"/>
      <c r="M369" s="142"/>
      <c r="N369" s="142"/>
      <c r="O369" s="142"/>
      <c r="P369" s="237"/>
      <c r="Q369" s="237"/>
      <c r="R369" s="237"/>
      <c r="S369" s="237"/>
      <c r="T369" s="237"/>
      <c r="U369" s="237"/>
      <c r="V369" s="237"/>
      <c r="W369" s="237"/>
      <c r="X369" s="237"/>
      <c r="Y369" s="237"/>
      <c r="Z369" s="237"/>
    </row>
    <row r="370" ht="409.6" customHeight="1">
      <c r="A370" s="142"/>
      <c r="B370" s="142"/>
      <c r="C370" s="142"/>
      <c r="D370" s="142"/>
      <c r="E370" s="142"/>
      <c r="F370" s="142"/>
      <c r="G370" s="142"/>
      <c r="H370" s="142"/>
      <c r="I370" s="142"/>
      <c r="J370" s="142"/>
      <c r="K370" s="142"/>
      <c r="L370" s="142"/>
      <c r="M370" s="142"/>
      <c r="N370" s="142"/>
      <c r="O370" s="142"/>
      <c r="P370" s="237"/>
      <c r="Q370" s="237"/>
      <c r="R370" s="237"/>
      <c r="S370" s="237"/>
      <c r="T370" s="237"/>
      <c r="U370" s="237"/>
      <c r="V370" s="237"/>
      <c r="W370" s="237"/>
      <c r="X370" s="237"/>
      <c r="Y370" s="237"/>
      <c r="Z370" s="237"/>
    </row>
    <row r="371" ht="409.6" customHeight="1">
      <c r="A371" s="142"/>
      <c r="B371" s="142"/>
      <c r="C371" s="142"/>
      <c r="D371" s="142"/>
      <c r="E371" s="142"/>
      <c r="F371" s="142"/>
      <c r="G371" s="142"/>
      <c r="H371" s="142"/>
      <c r="I371" s="142"/>
      <c r="J371" s="142"/>
      <c r="K371" s="142"/>
      <c r="L371" s="142"/>
      <c r="M371" s="142"/>
      <c r="N371" s="142"/>
      <c r="O371" s="142"/>
      <c r="P371" s="237"/>
      <c r="Q371" s="237"/>
      <c r="R371" s="237"/>
      <c r="S371" s="237"/>
      <c r="T371" s="237"/>
      <c r="U371" s="237"/>
      <c r="V371" s="237"/>
      <c r="W371" s="237"/>
      <c r="X371" s="237"/>
      <c r="Y371" s="237"/>
      <c r="Z371" s="237"/>
    </row>
    <row r="372" ht="409.6" customHeight="1">
      <c r="A372" s="142"/>
      <c r="B372" s="142"/>
      <c r="C372" s="142"/>
      <c r="D372" s="142"/>
      <c r="E372" s="142"/>
      <c r="F372" s="142"/>
      <c r="G372" s="142"/>
      <c r="H372" s="142"/>
      <c r="I372" s="142"/>
      <c r="J372" s="142"/>
      <c r="K372" s="142"/>
      <c r="L372" s="142"/>
      <c r="M372" s="142"/>
      <c r="N372" s="142"/>
      <c r="O372" s="142"/>
      <c r="P372" s="237"/>
      <c r="Q372" s="237"/>
      <c r="R372" s="237"/>
      <c r="S372" s="237"/>
      <c r="T372" s="237"/>
      <c r="U372" s="237"/>
      <c r="V372" s="237"/>
      <c r="W372" s="237"/>
      <c r="X372" s="237"/>
      <c r="Y372" s="237"/>
      <c r="Z372" s="237"/>
    </row>
    <row r="373" ht="409.6" customHeight="1">
      <c r="A373" s="142"/>
      <c r="B373" s="142"/>
      <c r="C373" s="142"/>
      <c r="D373" s="142"/>
      <c r="E373" s="142"/>
      <c r="F373" s="142"/>
      <c r="G373" s="142"/>
      <c r="H373" s="142"/>
      <c r="I373" s="142"/>
      <c r="J373" s="142"/>
      <c r="K373" s="142"/>
      <c r="L373" s="142"/>
      <c r="M373" s="142"/>
      <c r="N373" s="142"/>
      <c r="O373" s="142"/>
      <c r="P373" s="237"/>
      <c r="Q373" s="237"/>
      <c r="R373" s="237"/>
      <c r="S373" s="237"/>
      <c r="T373" s="237"/>
      <c r="U373" s="237"/>
      <c r="V373" s="237"/>
      <c r="W373" s="237"/>
      <c r="X373" s="237"/>
      <c r="Y373" s="237"/>
      <c r="Z373" s="237"/>
    </row>
    <row r="374" ht="12.75" customHeight="1">
      <c r="A374" s="142"/>
      <c r="B374" s="142"/>
      <c r="C374" s="142"/>
      <c r="D374" s="142"/>
      <c r="E374" s="142"/>
      <c r="F374" s="142"/>
      <c r="G374" s="142"/>
      <c r="H374" s="142"/>
      <c r="I374" s="142"/>
      <c r="J374" s="142"/>
      <c r="K374" s="142"/>
      <c r="L374" s="142"/>
      <c r="M374" s="142"/>
      <c r="N374" s="142"/>
      <c r="O374" s="142"/>
      <c r="P374" s="237"/>
      <c r="Q374" s="237"/>
      <c r="R374" s="237"/>
      <c r="S374" s="237"/>
      <c r="T374" s="237"/>
      <c r="U374" s="237"/>
      <c r="V374" s="237"/>
      <c r="W374" s="237"/>
      <c r="X374" s="237"/>
      <c r="Y374" s="237"/>
      <c r="Z374" s="237"/>
    </row>
    <row r="375" ht="12.75" customHeight="1">
      <c r="A375" s="142"/>
      <c r="B375" s="142"/>
      <c r="C375" s="142"/>
      <c r="D375" s="142"/>
      <c r="E375" s="142"/>
      <c r="F375" s="142"/>
      <c r="G375" s="142"/>
      <c r="H375" s="142"/>
      <c r="I375" s="142"/>
      <c r="J375" s="142"/>
      <c r="K375" s="142"/>
      <c r="L375" s="142"/>
      <c r="M375" s="142"/>
      <c r="N375" s="142"/>
      <c r="O375" s="142"/>
      <c r="P375" s="237"/>
      <c r="Q375" s="237"/>
      <c r="R375" s="237"/>
      <c r="S375" s="237"/>
      <c r="T375" s="237"/>
      <c r="U375" s="237"/>
      <c r="V375" s="237"/>
      <c r="W375" s="237"/>
      <c r="X375" s="237"/>
      <c r="Y375" s="237"/>
      <c r="Z375" s="237"/>
    </row>
    <row r="376" ht="12.75" customHeight="1">
      <c r="A376" s="142"/>
      <c r="B376" s="142"/>
      <c r="C376" s="142"/>
      <c r="D376" s="142"/>
      <c r="E376" s="142"/>
      <c r="F376" s="142"/>
      <c r="G376" s="142"/>
      <c r="H376" s="142"/>
      <c r="I376" s="142"/>
      <c r="J376" s="142"/>
      <c r="K376" s="142"/>
      <c r="L376" s="142"/>
      <c r="M376" s="142"/>
      <c r="N376" s="142"/>
      <c r="O376" s="142"/>
      <c r="P376" s="237"/>
      <c r="Q376" s="237"/>
      <c r="R376" s="237"/>
      <c r="S376" s="237"/>
      <c r="T376" s="237"/>
      <c r="U376" s="237"/>
      <c r="V376" s="237"/>
      <c r="W376" s="237"/>
      <c r="X376" s="237"/>
      <c r="Y376" s="237"/>
      <c r="Z376" s="237"/>
    </row>
    <row r="377" ht="12.75" customHeight="1">
      <c r="A377" s="142"/>
      <c r="B377" s="142"/>
      <c r="C377" s="142"/>
      <c r="D377" s="142"/>
      <c r="E377" s="142"/>
      <c r="F377" s="142"/>
      <c r="G377" s="142"/>
      <c r="H377" s="142"/>
      <c r="I377" s="142"/>
      <c r="J377" s="142"/>
      <c r="K377" s="142"/>
      <c r="L377" s="142"/>
      <c r="M377" s="142"/>
      <c r="N377" s="142"/>
      <c r="O377" s="142"/>
      <c r="P377" s="237"/>
      <c r="Q377" s="237"/>
      <c r="R377" s="237"/>
      <c r="S377" s="237"/>
      <c r="T377" s="237"/>
      <c r="U377" s="237"/>
      <c r="V377" s="237"/>
      <c r="W377" s="237"/>
      <c r="X377" s="237"/>
      <c r="Y377" s="237"/>
      <c r="Z377" s="237"/>
    </row>
    <row r="378" ht="12.75" customHeight="1">
      <c r="A378" s="142"/>
      <c r="B378" s="142"/>
      <c r="C378" s="142"/>
      <c r="D378" s="142"/>
      <c r="E378" s="142"/>
      <c r="F378" s="142"/>
      <c r="G378" s="142"/>
      <c r="H378" s="142"/>
      <c r="I378" s="142"/>
      <c r="J378" s="142"/>
      <c r="K378" s="142"/>
      <c r="L378" s="142"/>
      <c r="M378" s="142"/>
      <c r="N378" s="142"/>
      <c r="O378" s="142"/>
      <c r="P378" s="237"/>
      <c r="Q378" s="237"/>
      <c r="R378" s="237"/>
      <c r="S378" s="237"/>
      <c r="T378" s="237"/>
      <c r="U378" s="237"/>
      <c r="V378" s="237"/>
      <c r="W378" s="237"/>
      <c r="X378" s="237"/>
      <c r="Y378" s="237"/>
      <c r="Z378" s="237"/>
    </row>
    <row r="379" ht="12.75" customHeight="1">
      <c r="A379" s="142"/>
      <c r="B379" s="142"/>
      <c r="C379" s="142"/>
      <c r="D379" s="142"/>
      <c r="E379" s="142"/>
      <c r="F379" s="142"/>
      <c r="G379" s="142"/>
      <c r="H379" s="142"/>
      <c r="I379" s="142"/>
      <c r="J379" s="142"/>
      <c r="K379" s="142"/>
      <c r="L379" s="142"/>
      <c r="M379" s="142"/>
      <c r="N379" s="142"/>
      <c r="O379" s="142"/>
      <c r="P379" s="237"/>
      <c r="Q379" s="237"/>
      <c r="R379" s="237"/>
      <c r="S379" s="237"/>
      <c r="T379" s="237"/>
      <c r="U379" s="237"/>
      <c r="V379" s="237"/>
      <c r="W379" s="237"/>
      <c r="X379" s="237"/>
      <c r="Y379" s="237"/>
      <c r="Z379" s="237"/>
    </row>
    <row r="380" ht="12.75" customHeight="1">
      <c r="A380" s="142"/>
      <c r="B380" s="142"/>
      <c r="C380" s="142"/>
      <c r="D380" s="142"/>
      <c r="E380" s="142"/>
      <c r="F380" s="142"/>
      <c r="G380" s="142"/>
      <c r="H380" s="142"/>
      <c r="I380" s="142"/>
      <c r="J380" s="142"/>
      <c r="K380" s="142"/>
      <c r="L380" s="142"/>
      <c r="M380" s="142"/>
      <c r="N380" s="142"/>
      <c r="O380" s="142"/>
      <c r="P380" s="237"/>
      <c r="Q380" s="237"/>
      <c r="R380" s="237"/>
      <c r="S380" s="237"/>
      <c r="T380" s="237"/>
      <c r="U380" s="237"/>
      <c r="V380" s="237"/>
      <c r="W380" s="237"/>
      <c r="X380" s="237"/>
      <c r="Y380" s="237"/>
      <c r="Z380" s="237"/>
    </row>
    <row r="381" ht="12.75" customHeight="1">
      <c r="A381" s="142"/>
      <c r="B381" s="142"/>
      <c r="C381" s="142"/>
      <c r="D381" s="142"/>
      <c r="E381" s="142"/>
      <c r="F381" s="142"/>
      <c r="G381" s="142"/>
      <c r="H381" s="142"/>
      <c r="I381" s="142"/>
      <c r="J381" s="142"/>
      <c r="K381" s="142"/>
      <c r="L381" s="142"/>
      <c r="M381" s="142"/>
      <c r="N381" s="142"/>
      <c r="O381" s="142"/>
      <c r="P381" s="237"/>
      <c r="Q381" s="237"/>
      <c r="R381" s="237"/>
      <c r="S381" s="237"/>
      <c r="T381" s="237"/>
      <c r="U381" s="237"/>
      <c r="V381" s="237"/>
      <c r="W381" s="237"/>
      <c r="X381" s="237"/>
      <c r="Y381" s="237"/>
      <c r="Z381" s="237"/>
    </row>
    <row r="382" ht="12.75" customHeight="1">
      <c r="A382" s="142"/>
      <c r="B382" s="142"/>
      <c r="C382" s="142"/>
      <c r="D382" s="142"/>
      <c r="E382" s="142"/>
      <c r="F382" s="142"/>
      <c r="G382" s="142"/>
      <c r="H382" s="142"/>
      <c r="I382" s="142"/>
      <c r="J382" s="142"/>
      <c r="K382" s="142"/>
      <c r="L382" s="142"/>
      <c r="M382" s="142"/>
      <c r="N382" s="142"/>
      <c r="O382" s="142"/>
      <c r="P382" s="237"/>
      <c r="Q382" s="237"/>
      <c r="R382" s="237"/>
      <c r="S382" s="237"/>
      <c r="T382" s="237"/>
      <c r="U382" s="237"/>
      <c r="V382" s="237"/>
      <c r="W382" s="237"/>
      <c r="X382" s="237"/>
      <c r="Y382" s="237"/>
      <c r="Z382" s="237"/>
    </row>
    <row r="383" ht="12.75" customHeight="1">
      <c r="A383" s="142"/>
      <c r="B383" s="142"/>
      <c r="C383" s="142"/>
      <c r="D383" s="142"/>
      <c r="E383" s="142"/>
      <c r="F383" s="142"/>
      <c r="G383" s="142"/>
      <c r="H383" s="142"/>
      <c r="I383" s="142"/>
      <c r="J383" s="142"/>
      <c r="K383" s="142"/>
      <c r="L383" s="142"/>
      <c r="M383" s="142"/>
      <c r="N383" s="142"/>
      <c r="O383" s="142"/>
      <c r="P383" s="237"/>
      <c r="Q383" s="237"/>
      <c r="R383" s="237"/>
      <c r="S383" s="237"/>
      <c r="T383" s="237"/>
      <c r="U383" s="237"/>
      <c r="V383" s="237"/>
      <c r="W383" s="237"/>
      <c r="X383" s="237"/>
      <c r="Y383" s="237"/>
      <c r="Z383" s="237"/>
    </row>
    <row r="384" ht="12.75" customHeight="1">
      <c r="A384" s="142"/>
      <c r="B384" s="142"/>
      <c r="C384" s="142"/>
      <c r="D384" s="142"/>
      <c r="E384" s="142"/>
      <c r="F384" s="142"/>
      <c r="G384" s="142"/>
      <c r="H384" s="142"/>
      <c r="I384" s="142"/>
      <c r="J384" s="142"/>
      <c r="K384" s="142"/>
      <c r="L384" s="142"/>
      <c r="M384" s="142"/>
      <c r="N384" s="142"/>
      <c r="O384" s="142"/>
      <c r="P384" s="237"/>
      <c r="Q384" s="237"/>
      <c r="R384" s="237"/>
      <c r="S384" s="237"/>
      <c r="T384" s="237"/>
      <c r="U384" s="237"/>
      <c r="V384" s="237"/>
      <c r="W384" s="237"/>
      <c r="X384" s="237"/>
      <c r="Y384" s="237"/>
      <c r="Z384" s="237"/>
    </row>
    <row r="385" ht="12.75" customHeight="1">
      <c r="A385" s="142"/>
      <c r="B385" s="142"/>
      <c r="C385" s="142"/>
      <c r="D385" s="142"/>
      <c r="E385" s="142"/>
      <c r="F385" s="142"/>
      <c r="G385" s="142"/>
      <c r="H385" s="142"/>
      <c r="I385" s="142"/>
      <c r="J385" s="142"/>
      <c r="K385" s="142"/>
      <c r="L385" s="142"/>
      <c r="M385" s="142"/>
      <c r="N385" s="142"/>
      <c r="O385" s="142"/>
      <c r="P385" s="237"/>
      <c r="Q385" s="237"/>
      <c r="R385" s="237"/>
      <c r="S385" s="237"/>
      <c r="T385" s="237"/>
      <c r="U385" s="237"/>
      <c r="V385" s="237"/>
      <c r="W385" s="237"/>
      <c r="X385" s="237"/>
      <c r="Y385" s="237"/>
      <c r="Z385" s="237"/>
    </row>
    <row r="386" ht="12.75" customHeight="1">
      <c r="A386" s="142"/>
      <c r="B386" s="142"/>
      <c r="C386" s="142"/>
      <c r="D386" s="142"/>
      <c r="E386" s="142"/>
      <c r="F386" s="142"/>
      <c r="G386" s="142"/>
      <c r="H386" s="142"/>
      <c r="I386" s="142"/>
      <c r="J386" s="142"/>
      <c r="K386" s="142"/>
      <c r="L386" s="142"/>
      <c r="M386" s="142"/>
      <c r="N386" s="142"/>
      <c r="O386" s="142"/>
      <c r="P386" s="237"/>
      <c r="Q386" s="237"/>
      <c r="R386" s="237"/>
      <c r="S386" s="237"/>
      <c r="T386" s="237"/>
      <c r="U386" s="237"/>
      <c r="V386" s="237"/>
      <c r="W386" s="237"/>
      <c r="X386" s="237"/>
      <c r="Y386" s="237"/>
      <c r="Z386" s="237"/>
    </row>
    <row r="387" ht="12.75" customHeight="1">
      <c r="A387" s="142"/>
      <c r="B387" s="142"/>
      <c r="C387" s="142"/>
      <c r="D387" s="142"/>
      <c r="E387" s="142"/>
      <c r="F387" s="142"/>
      <c r="G387" s="142"/>
      <c r="H387" s="142"/>
      <c r="I387" s="142"/>
      <c r="J387" s="142"/>
      <c r="K387" s="142"/>
      <c r="L387" s="142"/>
      <c r="M387" s="142"/>
      <c r="N387" s="142"/>
      <c r="O387" s="142"/>
      <c r="P387" s="237"/>
      <c r="Q387" s="237"/>
      <c r="R387" s="237"/>
      <c r="S387" s="237"/>
      <c r="T387" s="237"/>
      <c r="U387" s="237"/>
      <c r="V387" s="237"/>
      <c r="W387" s="237"/>
      <c r="X387" s="237"/>
      <c r="Y387" s="237"/>
      <c r="Z387" s="237"/>
    </row>
    <row r="388" ht="12.75" customHeight="1">
      <c r="A388" s="142"/>
      <c r="B388" s="142"/>
      <c r="C388" s="142"/>
      <c r="D388" s="142"/>
      <c r="E388" s="142"/>
      <c r="F388" s="142"/>
      <c r="G388" s="142"/>
      <c r="H388" s="142"/>
      <c r="I388" s="142"/>
      <c r="J388" s="142"/>
      <c r="K388" s="142"/>
      <c r="L388" s="142"/>
      <c r="M388" s="142"/>
      <c r="N388" s="142"/>
      <c r="O388" s="142"/>
      <c r="P388" s="237"/>
      <c r="Q388" s="237"/>
      <c r="R388" s="237"/>
      <c r="S388" s="237"/>
      <c r="T388" s="237"/>
      <c r="U388" s="237"/>
      <c r="V388" s="237"/>
      <c r="W388" s="237"/>
      <c r="X388" s="237"/>
      <c r="Y388" s="237"/>
      <c r="Z388" s="237"/>
    </row>
    <row r="389" ht="12.75" customHeight="1">
      <c r="A389" s="142"/>
      <c r="B389" s="142"/>
      <c r="C389" s="142"/>
      <c r="D389" s="142"/>
      <c r="E389" s="142"/>
      <c r="F389" s="142"/>
      <c r="G389" s="142"/>
      <c r="H389" s="142"/>
      <c r="I389" s="142"/>
      <c r="J389" s="142"/>
      <c r="K389" s="142"/>
      <c r="L389" s="142"/>
      <c r="M389" s="142"/>
      <c r="N389" s="142"/>
      <c r="O389" s="142"/>
      <c r="P389" s="237"/>
      <c r="Q389" s="237"/>
      <c r="R389" s="237"/>
      <c r="S389" s="237"/>
      <c r="T389" s="237"/>
      <c r="U389" s="237"/>
      <c r="V389" s="237"/>
      <c r="W389" s="237"/>
      <c r="X389" s="237"/>
      <c r="Y389" s="237"/>
      <c r="Z389" s="237"/>
    </row>
    <row r="390" ht="12.75" customHeight="1">
      <c r="A390" s="142"/>
      <c r="B390" s="142"/>
      <c r="C390" s="142"/>
      <c r="D390" s="142"/>
      <c r="E390" s="142"/>
      <c r="F390" s="142"/>
      <c r="G390" s="142"/>
      <c r="H390" s="142"/>
      <c r="I390" s="142"/>
      <c r="J390" s="142"/>
      <c r="K390" s="142"/>
      <c r="L390" s="142"/>
      <c r="M390" s="142"/>
      <c r="N390" s="142"/>
      <c r="O390" s="142"/>
      <c r="P390" s="237"/>
      <c r="Q390" s="237"/>
      <c r="R390" s="237"/>
      <c r="S390" s="237"/>
      <c r="T390" s="237"/>
      <c r="U390" s="237"/>
      <c r="V390" s="237"/>
      <c r="W390" s="237"/>
      <c r="X390" s="237"/>
      <c r="Y390" s="237"/>
      <c r="Z390" s="237"/>
    </row>
    <row r="391" ht="12.75" customHeight="1">
      <c r="A391" s="142"/>
      <c r="B391" s="142"/>
      <c r="C391" s="142"/>
      <c r="D391" s="142"/>
      <c r="E391" s="142"/>
      <c r="F391" s="142"/>
      <c r="G391" s="142"/>
      <c r="H391" s="142"/>
      <c r="I391" s="142"/>
      <c r="J391" s="142"/>
      <c r="K391" s="142"/>
      <c r="L391" s="142"/>
      <c r="M391" s="142"/>
      <c r="N391" s="142"/>
      <c r="O391" s="142"/>
      <c r="P391" s="237"/>
      <c r="Q391" s="237"/>
      <c r="R391" s="237"/>
      <c r="S391" s="237"/>
      <c r="T391" s="237"/>
      <c r="U391" s="237"/>
      <c r="V391" s="237"/>
      <c r="W391" s="237"/>
      <c r="X391" s="237"/>
      <c r="Y391" s="237"/>
      <c r="Z391" s="237"/>
    </row>
    <row r="392" ht="12.75" customHeight="1">
      <c r="A392" s="142"/>
      <c r="B392" s="142"/>
      <c r="C392" s="142"/>
      <c r="D392" s="142"/>
      <c r="E392" s="142"/>
      <c r="F392" s="142"/>
      <c r="G392" s="142"/>
      <c r="H392" s="142"/>
      <c r="I392" s="142"/>
      <c r="J392" s="142"/>
      <c r="K392" s="142"/>
      <c r="L392" s="142"/>
      <c r="M392" s="142"/>
      <c r="N392" s="142"/>
      <c r="O392" s="142"/>
      <c r="P392" s="237"/>
      <c r="Q392" s="237"/>
      <c r="R392" s="237"/>
      <c r="S392" s="237"/>
      <c r="T392" s="237"/>
      <c r="U392" s="237"/>
      <c r="V392" s="237"/>
      <c r="W392" s="237"/>
      <c r="X392" s="237"/>
      <c r="Y392" s="237"/>
      <c r="Z392" s="237"/>
    </row>
    <row r="393" ht="12.75" customHeight="1">
      <c r="A393" s="142"/>
      <c r="B393" s="142"/>
      <c r="C393" s="142"/>
      <c r="D393" s="142"/>
      <c r="E393" s="142"/>
      <c r="F393" s="142"/>
      <c r="G393" s="142"/>
      <c r="H393" s="142"/>
      <c r="I393" s="142"/>
      <c r="J393" s="142"/>
      <c r="K393" s="142"/>
      <c r="L393" s="142"/>
      <c r="M393" s="142"/>
      <c r="N393" s="142"/>
      <c r="O393" s="142"/>
      <c r="P393" s="237"/>
      <c r="Q393" s="237"/>
      <c r="R393" s="237"/>
      <c r="S393" s="237"/>
      <c r="T393" s="237"/>
      <c r="U393" s="237"/>
      <c r="V393" s="237"/>
      <c r="W393" s="237"/>
      <c r="X393" s="237"/>
      <c r="Y393" s="237"/>
      <c r="Z393" s="237"/>
    </row>
    <row r="394" ht="12.75" customHeight="1">
      <c r="A394" s="142"/>
      <c r="B394" s="142"/>
      <c r="C394" s="142"/>
      <c r="D394" s="142"/>
      <c r="E394" s="142"/>
      <c r="F394" s="142"/>
      <c r="G394" s="142"/>
      <c r="H394" s="142"/>
      <c r="I394" s="142"/>
      <c r="J394" s="142"/>
      <c r="K394" s="142"/>
      <c r="L394" s="142"/>
      <c r="M394" s="142"/>
      <c r="N394" s="142"/>
      <c r="O394" s="142"/>
      <c r="P394" s="237"/>
      <c r="Q394" s="237"/>
      <c r="R394" s="237"/>
      <c r="S394" s="237"/>
      <c r="T394" s="237"/>
      <c r="U394" s="237"/>
      <c r="V394" s="237"/>
      <c r="W394" s="237"/>
      <c r="X394" s="237"/>
      <c r="Y394" s="237"/>
      <c r="Z394" s="237"/>
    </row>
    <row r="395" ht="12.75" customHeight="1">
      <c r="A395" s="142"/>
      <c r="B395" s="142"/>
      <c r="C395" s="142"/>
      <c r="D395" s="142"/>
      <c r="E395" s="142"/>
      <c r="F395" s="142"/>
      <c r="G395" s="142"/>
      <c r="H395" s="142"/>
      <c r="I395" s="142"/>
      <c r="J395" s="142"/>
      <c r="K395" s="142"/>
      <c r="L395" s="142"/>
      <c r="M395" s="142"/>
      <c r="N395" s="142"/>
      <c r="O395" s="142"/>
      <c r="P395" s="237"/>
      <c r="Q395" s="237"/>
      <c r="R395" s="237"/>
      <c r="S395" s="237"/>
      <c r="T395" s="237"/>
      <c r="U395" s="237"/>
      <c r="V395" s="237"/>
      <c r="W395" s="237"/>
      <c r="X395" s="237"/>
      <c r="Y395" s="237"/>
      <c r="Z395" s="237"/>
    </row>
    <row r="396" ht="12.75" customHeight="1">
      <c r="A396" s="142"/>
      <c r="B396" s="142"/>
      <c r="C396" s="142"/>
      <c r="D396" s="142"/>
      <c r="E396" s="142"/>
      <c r="F396" s="142"/>
      <c r="G396" s="142"/>
      <c r="H396" s="142"/>
      <c r="I396" s="142"/>
      <c r="J396" s="142"/>
      <c r="K396" s="142"/>
      <c r="L396" s="142"/>
      <c r="M396" s="142"/>
      <c r="N396" s="142"/>
      <c r="O396" s="142"/>
      <c r="P396" s="237"/>
      <c r="Q396" s="237"/>
      <c r="R396" s="237"/>
      <c r="S396" s="237"/>
      <c r="T396" s="237"/>
      <c r="U396" s="237"/>
      <c r="V396" s="237"/>
      <c r="W396" s="237"/>
      <c r="X396" s="237"/>
      <c r="Y396" s="237"/>
      <c r="Z396" s="237"/>
    </row>
    <row r="397" ht="12.75" customHeight="1">
      <c r="A397" s="142"/>
      <c r="B397" s="142"/>
      <c r="C397" s="142"/>
      <c r="D397" s="142"/>
      <c r="E397" s="142"/>
      <c r="F397" s="142"/>
      <c r="G397" s="142"/>
      <c r="H397" s="142"/>
      <c r="I397" s="142"/>
      <c r="J397" s="142"/>
      <c r="K397" s="142"/>
      <c r="L397" s="142"/>
      <c r="M397" s="142"/>
      <c r="N397" s="142"/>
      <c r="O397" s="142"/>
      <c r="P397" s="237"/>
      <c r="Q397" s="237"/>
      <c r="R397" s="237"/>
      <c r="S397" s="237"/>
      <c r="T397" s="237"/>
      <c r="U397" s="237"/>
      <c r="V397" s="237"/>
      <c r="W397" s="237"/>
      <c r="X397" s="237"/>
      <c r="Y397" s="237"/>
      <c r="Z397" s="237"/>
    </row>
    <row r="398" ht="12.75" customHeight="1">
      <c r="A398" s="142"/>
      <c r="B398" s="142"/>
      <c r="C398" s="142"/>
      <c r="D398" s="142"/>
      <c r="E398" s="142"/>
      <c r="F398" s="142"/>
      <c r="G398" s="142"/>
      <c r="H398" s="142"/>
      <c r="I398" s="142"/>
      <c r="J398" s="142"/>
      <c r="K398" s="142"/>
      <c r="L398" s="142"/>
      <c r="M398" s="142"/>
      <c r="N398" s="142"/>
      <c r="O398" s="142"/>
      <c r="P398" s="237"/>
      <c r="Q398" s="237"/>
      <c r="R398" s="237"/>
      <c r="S398" s="237"/>
      <c r="T398" s="237"/>
      <c r="U398" s="237"/>
      <c r="V398" s="237"/>
      <c r="W398" s="237"/>
      <c r="X398" s="237"/>
      <c r="Y398" s="237"/>
      <c r="Z398" s="237"/>
    </row>
    <row r="399" ht="12.75" customHeight="1">
      <c r="A399" s="142"/>
      <c r="B399" s="142"/>
      <c r="C399" s="142"/>
      <c r="D399" s="142"/>
      <c r="E399" s="142"/>
      <c r="F399" s="142"/>
      <c r="G399" s="142"/>
      <c r="H399" s="142"/>
      <c r="I399" s="142"/>
      <c r="J399" s="142"/>
      <c r="K399" s="142"/>
      <c r="L399" s="142"/>
      <c r="M399" s="142"/>
      <c r="N399" s="142"/>
      <c r="O399" s="142"/>
      <c r="P399" s="237"/>
      <c r="Q399" s="237"/>
      <c r="R399" s="237"/>
      <c r="S399" s="237"/>
      <c r="T399" s="237"/>
      <c r="U399" s="237"/>
      <c r="V399" s="237"/>
      <c r="W399" s="237"/>
      <c r="X399" s="237"/>
      <c r="Y399" s="237"/>
      <c r="Z399" s="237"/>
    </row>
    <row r="400" ht="12.75" customHeight="1">
      <c r="A400" s="142"/>
      <c r="B400" s="142"/>
      <c r="C400" s="142"/>
      <c r="D400" s="142"/>
      <c r="E400" s="142"/>
      <c r="F400" s="142"/>
      <c r="G400" s="142"/>
      <c r="H400" s="142"/>
      <c r="I400" s="142"/>
      <c r="J400" s="142"/>
      <c r="K400" s="142"/>
      <c r="L400" s="142"/>
      <c r="M400" s="142"/>
      <c r="N400" s="142"/>
      <c r="O400" s="142"/>
      <c r="P400" s="237"/>
      <c r="Q400" s="237"/>
      <c r="R400" s="237"/>
      <c r="S400" s="237"/>
      <c r="T400" s="237"/>
      <c r="U400" s="237"/>
      <c r="V400" s="237"/>
      <c r="W400" s="237"/>
      <c r="X400" s="237"/>
      <c r="Y400" s="237"/>
      <c r="Z400" s="237"/>
    </row>
    <row r="401" ht="12.75" customHeight="1">
      <c r="A401" s="142"/>
      <c r="B401" s="142"/>
      <c r="C401" s="142"/>
      <c r="D401" s="142"/>
      <c r="E401" s="142"/>
      <c r="F401" s="142"/>
      <c r="G401" s="142"/>
      <c r="H401" s="142"/>
      <c r="I401" s="142"/>
      <c r="J401" s="142"/>
      <c r="K401" s="142"/>
      <c r="L401" s="142"/>
      <c r="M401" s="142"/>
      <c r="N401" s="142"/>
      <c r="O401" s="142"/>
      <c r="P401" s="237"/>
      <c r="Q401" s="237"/>
      <c r="R401" s="237"/>
      <c r="S401" s="237"/>
      <c r="T401" s="237"/>
      <c r="U401" s="237"/>
      <c r="V401" s="237"/>
      <c r="W401" s="237"/>
      <c r="X401" s="237"/>
      <c r="Y401" s="237"/>
      <c r="Z401" s="237"/>
    </row>
    <row r="402" ht="12.75" customHeight="1">
      <c r="A402" s="142"/>
      <c r="B402" s="142"/>
      <c r="C402" s="142"/>
      <c r="D402" s="142"/>
      <c r="E402" s="142"/>
      <c r="F402" s="142"/>
      <c r="G402" s="142"/>
      <c r="H402" s="142"/>
      <c r="I402" s="142"/>
      <c r="J402" s="142"/>
      <c r="K402" s="142"/>
      <c r="L402" s="142"/>
      <c r="M402" s="142"/>
      <c r="N402" s="142"/>
      <c r="O402" s="142"/>
      <c r="P402" s="237"/>
      <c r="Q402" s="237"/>
      <c r="R402" s="237"/>
      <c r="S402" s="237"/>
      <c r="T402" s="237"/>
      <c r="U402" s="237"/>
      <c r="V402" s="237"/>
      <c r="W402" s="237"/>
      <c r="X402" s="237"/>
      <c r="Y402" s="237"/>
      <c r="Z402" s="237"/>
    </row>
    <row r="403" ht="12.75" customHeight="1">
      <c r="A403" s="142"/>
      <c r="B403" s="142"/>
      <c r="C403" s="142"/>
      <c r="D403" s="142"/>
      <c r="E403" s="142"/>
      <c r="F403" s="142"/>
      <c r="G403" s="142"/>
      <c r="H403" s="142"/>
      <c r="I403" s="142"/>
      <c r="J403" s="142"/>
      <c r="K403" s="142"/>
      <c r="L403" s="142"/>
      <c r="M403" s="142"/>
      <c r="N403" s="142"/>
      <c r="O403" s="142"/>
      <c r="P403" s="237"/>
      <c r="Q403" s="237"/>
      <c r="R403" s="237"/>
      <c r="S403" s="237"/>
      <c r="T403" s="237"/>
      <c r="U403" s="237"/>
      <c r="V403" s="237"/>
      <c r="W403" s="237"/>
      <c r="X403" s="237"/>
      <c r="Y403" s="237"/>
      <c r="Z403" s="237"/>
    </row>
    <row r="404" ht="12.75" customHeight="1">
      <c r="A404" s="142"/>
      <c r="B404" s="142"/>
      <c r="C404" s="142"/>
      <c r="D404" s="142"/>
      <c r="E404" s="142"/>
      <c r="F404" s="142"/>
      <c r="G404" s="142"/>
      <c r="H404" s="142"/>
      <c r="I404" s="142"/>
      <c r="J404" s="142"/>
      <c r="K404" s="142"/>
      <c r="L404" s="142"/>
      <c r="M404" s="142"/>
      <c r="N404" s="142"/>
      <c r="O404" s="142"/>
      <c r="P404" s="237"/>
      <c r="Q404" s="237"/>
      <c r="R404" s="237"/>
      <c r="S404" s="237"/>
      <c r="T404" s="237"/>
      <c r="U404" s="237"/>
      <c r="V404" s="237"/>
      <c r="W404" s="237"/>
      <c r="X404" s="237"/>
      <c r="Y404" s="237"/>
      <c r="Z404" s="237"/>
    </row>
    <row r="405" ht="12.75" customHeight="1">
      <c r="A405" s="142"/>
      <c r="B405" s="142"/>
      <c r="C405" s="142"/>
      <c r="D405" s="142"/>
      <c r="E405" s="142"/>
      <c r="F405" s="142"/>
      <c r="G405" s="142"/>
      <c r="H405" s="142"/>
      <c r="I405" s="142"/>
      <c r="J405" s="142"/>
      <c r="K405" s="142"/>
      <c r="L405" s="142"/>
      <c r="M405" s="142"/>
      <c r="N405" s="142"/>
      <c r="O405" s="142"/>
      <c r="P405" s="237"/>
      <c r="Q405" s="237"/>
      <c r="R405" s="237"/>
      <c r="S405" s="237"/>
      <c r="T405" s="237"/>
      <c r="U405" s="237"/>
      <c r="V405" s="237"/>
      <c r="W405" s="237"/>
      <c r="X405" s="237"/>
      <c r="Y405" s="237"/>
      <c r="Z405" s="237"/>
    </row>
    <row r="406" ht="12.75" customHeight="1">
      <c r="A406" s="142"/>
      <c r="B406" s="142"/>
      <c r="C406" s="142"/>
      <c r="D406" s="142"/>
      <c r="E406" s="142"/>
      <c r="F406" s="142"/>
      <c r="G406" s="142"/>
      <c r="H406" s="142"/>
      <c r="I406" s="142"/>
      <c r="J406" s="142"/>
      <c r="K406" s="142"/>
      <c r="L406" s="142"/>
      <c r="M406" s="142"/>
      <c r="N406" s="142"/>
      <c r="O406" s="142"/>
      <c r="P406" s="237"/>
      <c r="Q406" s="237"/>
      <c r="R406" s="237"/>
      <c r="S406" s="237"/>
      <c r="T406" s="237"/>
      <c r="U406" s="237"/>
      <c r="V406" s="237"/>
      <c r="W406" s="237"/>
      <c r="X406" s="237"/>
      <c r="Y406" s="237"/>
      <c r="Z406" s="237"/>
    </row>
    <row r="407" ht="12.75" customHeight="1">
      <c r="A407" s="142"/>
      <c r="B407" s="142"/>
      <c r="C407" s="142"/>
      <c r="D407" s="142"/>
      <c r="E407" s="142"/>
      <c r="F407" s="142"/>
      <c r="G407" s="142"/>
      <c r="H407" s="142"/>
      <c r="I407" s="142"/>
      <c r="J407" s="142"/>
      <c r="K407" s="142"/>
      <c r="L407" s="142"/>
      <c r="M407" s="142"/>
      <c r="N407" s="142"/>
      <c r="O407" s="142"/>
      <c r="P407" s="237"/>
      <c r="Q407" s="237"/>
      <c r="R407" s="237"/>
      <c r="S407" s="237"/>
      <c r="T407" s="237"/>
      <c r="U407" s="237"/>
      <c r="V407" s="237"/>
      <c r="W407" s="237"/>
      <c r="X407" s="237"/>
      <c r="Y407" s="237"/>
      <c r="Z407" s="237"/>
    </row>
    <row r="408" ht="12.75" customHeight="1">
      <c r="A408" s="142"/>
      <c r="B408" s="142"/>
      <c r="C408" s="142"/>
      <c r="D408" s="142"/>
      <c r="E408" s="142"/>
      <c r="F408" s="142"/>
      <c r="G408" s="142"/>
      <c r="H408" s="142"/>
      <c r="I408" s="142"/>
      <c r="J408" s="142"/>
      <c r="K408" s="142"/>
      <c r="L408" s="142"/>
      <c r="M408" s="142"/>
      <c r="N408" s="142"/>
      <c r="O408" s="142"/>
      <c r="P408" s="237"/>
      <c r="Q408" s="237"/>
      <c r="R408" s="237"/>
      <c r="S408" s="237"/>
      <c r="T408" s="237"/>
      <c r="U408" s="237"/>
      <c r="V408" s="237"/>
      <c r="W408" s="237"/>
      <c r="X408" s="237"/>
      <c r="Y408" s="237"/>
      <c r="Z408" s="237"/>
    </row>
    <row r="409" ht="12.75" customHeight="1">
      <c r="A409" s="142"/>
      <c r="B409" s="142"/>
      <c r="C409" s="142"/>
      <c r="D409" s="142"/>
      <c r="E409" s="142"/>
      <c r="F409" s="142"/>
      <c r="G409" s="142"/>
      <c r="H409" s="142"/>
      <c r="I409" s="142"/>
      <c r="J409" s="142"/>
      <c r="K409" s="142"/>
      <c r="L409" s="142"/>
      <c r="M409" s="142"/>
      <c r="N409" s="142"/>
      <c r="O409" s="142"/>
      <c r="P409" s="237"/>
      <c r="Q409" s="237"/>
      <c r="R409" s="237"/>
      <c r="S409" s="237"/>
      <c r="T409" s="237"/>
      <c r="U409" s="237"/>
      <c r="V409" s="237"/>
      <c r="W409" s="237"/>
      <c r="X409" s="237"/>
      <c r="Y409" s="237"/>
      <c r="Z409" s="237"/>
    </row>
    <row r="410" ht="12.75" customHeight="1">
      <c r="A410" s="142"/>
      <c r="B410" s="142"/>
      <c r="C410" s="142"/>
      <c r="D410" s="142"/>
      <c r="E410" s="142"/>
      <c r="F410" s="142"/>
      <c r="G410" s="142"/>
      <c r="H410" s="142"/>
      <c r="I410" s="142"/>
      <c r="J410" s="142"/>
      <c r="K410" s="142"/>
      <c r="L410" s="142"/>
      <c r="M410" s="142"/>
      <c r="N410" s="142"/>
      <c r="O410" s="142"/>
      <c r="P410" s="237"/>
      <c r="Q410" s="237"/>
      <c r="R410" s="237"/>
      <c r="S410" s="237"/>
      <c r="T410" s="237"/>
      <c r="U410" s="237"/>
      <c r="V410" s="237"/>
      <c r="W410" s="237"/>
      <c r="X410" s="237"/>
      <c r="Y410" s="237"/>
      <c r="Z410" s="237"/>
    </row>
    <row r="411" ht="12.75" customHeight="1">
      <c r="A411" s="142"/>
      <c r="B411" s="142"/>
      <c r="C411" s="142"/>
      <c r="D411" s="142"/>
      <c r="E411" s="142"/>
      <c r="F411" s="142"/>
      <c r="G411" s="142"/>
      <c r="H411" s="142"/>
      <c r="I411" s="142"/>
      <c r="J411" s="142"/>
      <c r="K411" s="142"/>
      <c r="L411" s="142"/>
      <c r="M411" s="142"/>
      <c r="N411" s="142"/>
      <c r="O411" s="142"/>
      <c r="P411" s="237"/>
      <c r="Q411" s="237"/>
      <c r="R411" s="237"/>
      <c r="S411" s="237"/>
      <c r="T411" s="237"/>
      <c r="U411" s="237"/>
      <c r="V411" s="237"/>
      <c r="W411" s="237"/>
      <c r="X411" s="237"/>
      <c r="Y411" s="237"/>
      <c r="Z411" s="237"/>
    </row>
    <row r="412" ht="12.75" customHeight="1">
      <c r="A412" s="142"/>
      <c r="B412" s="142"/>
      <c r="C412" s="142"/>
      <c r="D412" s="142"/>
      <c r="E412" s="142"/>
      <c r="F412" s="142"/>
      <c r="G412" s="142"/>
      <c r="H412" s="142"/>
      <c r="I412" s="142"/>
      <c r="J412" s="142"/>
      <c r="K412" s="142"/>
      <c r="L412" s="142"/>
      <c r="M412" s="142"/>
      <c r="N412" s="142"/>
      <c r="O412" s="142"/>
      <c r="P412" s="237"/>
      <c r="Q412" s="237"/>
      <c r="R412" s="237"/>
      <c r="S412" s="237"/>
      <c r="T412" s="237"/>
      <c r="U412" s="237"/>
      <c r="V412" s="237"/>
      <c r="W412" s="237"/>
      <c r="X412" s="237"/>
      <c r="Y412" s="237"/>
      <c r="Z412" s="237"/>
    </row>
    <row r="413" ht="12.75" customHeight="1">
      <c r="A413" s="142"/>
      <c r="B413" s="142"/>
      <c r="C413" s="142"/>
      <c r="D413" s="142"/>
      <c r="E413" s="142"/>
      <c r="F413" s="142"/>
      <c r="G413" s="142"/>
      <c r="H413" s="142"/>
      <c r="I413" s="142"/>
      <c r="J413" s="142"/>
      <c r="K413" s="142"/>
      <c r="L413" s="142"/>
      <c r="M413" s="142"/>
      <c r="N413" s="142"/>
      <c r="O413" s="142"/>
      <c r="P413" s="237"/>
      <c r="Q413" s="237"/>
      <c r="R413" s="237"/>
      <c r="S413" s="237"/>
      <c r="T413" s="237"/>
      <c r="U413" s="237"/>
      <c r="V413" s="237"/>
      <c r="W413" s="237"/>
      <c r="X413" s="237"/>
      <c r="Y413" s="237"/>
      <c r="Z413" s="237"/>
    </row>
    <row r="414" ht="12.75" customHeight="1">
      <c r="A414" s="142"/>
      <c r="B414" s="142"/>
      <c r="C414" s="142"/>
      <c r="D414" s="142"/>
      <c r="E414" s="142"/>
      <c r="F414" s="142"/>
      <c r="G414" s="142"/>
      <c r="H414" s="142"/>
      <c r="I414" s="142"/>
      <c r="J414" s="142"/>
      <c r="K414" s="142"/>
      <c r="L414" s="142"/>
      <c r="M414" s="142"/>
      <c r="N414" s="142"/>
      <c r="O414" s="142"/>
      <c r="P414" s="237"/>
      <c r="Q414" s="237"/>
      <c r="R414" s="237"/>
      <c r="S414" s="237"/>
      <c r="T414" s="237"/>
      <c r="U414" s="237"/>
      <c r="V414" s="237"/>
      <c r="W414" s="237"/>
      <c r="X414" s="237"/>
      <c r="Y414" s="237"/>
      <c r="Z414" s="237"/>
    </row>
    <row r="415" ht="12.75" customHeight="1">
      <c r="A415" s="142"/>
      <c r="B415" s="142"/>
      <c r="C415" s="142"/>
      <c r="D415" s="142"/>
      <c r="E415" s="142"/>
      <c r="F415" s="142"/>
      <c r="G415" s="142"/>
      <c r="H415" s="142"/>
      <c r="I415" s="142"/>
      <c r="J415" s="142"/>
      <c r="K415" s="142"/>
      <c r="L415" s="142"/>
      <c r="M415" s="142"/>
      <c r="N415" s="142"/>
      <c r="O415" s="142"/>
      <c r="P415" s="237"/>
      <c r="Q415" s="237"/>
      <c r="R415" s="237"/>
      <c r="S415" s="237"/>
      <c r="T415" s="237"/>
      <c r="U415" s="237"/>
      <c r="V415" s="237"/>
      <c r="W415" s="237"/>
      <c r="X415" s="237"/>
      <c r="Y415" s="237"/>
      <c r="Z415" s="237"/>
    </row>
    <row r="416" ht="12.75" customHeight="1">
      <c r="A416" s="142"/>
      <c r="B416" s="142"/>
      <c r="C416" s="142"/>
      <c r="D416" s="142"/>
      <c r="E416" s="142"/>
      <c r="F416" s="142"/>
      <c r="G416" s="142"/>
      <c r="H416" s="142"/>
      <c r="I416" s="142"/>
      <c r="J416" s="142"/>
      <c r="K416" s="142"/>
      <c r="L416" s="142"/>
      <c r="M416" s="142"/>
      <c r="N416" s="142"/>
      <c r="O416" s="142"/>
      <c r="P416" s="237"/>
      <c r="Q416" s="237"/>
      <c r="R416" s="237"/>
      <c r="S416" s="237"/>
      <c r="T416" s="237"/>
      <c r="U416" s="237"/>
      <c r="V416" s="237"/>
      <c r="W416" s="237"/>
      <c r="X416" s="237"/>
      <c r="Y416" s="237"/>
      <c r="Z416" s="237"/>
    </row>
    <row r="417" ht="12.75" customHeight="1">
      <c r="A417" s="142"/>
      <c r="B417" s="142"/>
      <c r="C417" s="142"/>
      <c r="D417" s="142"/>
      <c r="E417" s="142"/>
      <c r="F417" s="142"/>
      <c r="G417" s="142"/>
      <c r="H417" s="142"/>
      <c r="I417" s="142"/>
      <c r="J417" s="142"/>
      <c r="K417" s="142"/>
      <c r="L417" s="142"/>
      <c r="M417" s="142"/>
      <c r="N417" s="142"/>
      <c r="O417" s="142"/>
      <c r="P417" s="237"/>
      <c r="Q417" s="237"/>
      <c r="R417" s="237"/>
      <c r="S417" s="237"/>
      <c r="T417" s="237"/>
      <c r="U417" s="237"/>
      <c r="V417" s="237"/>
      <c r="W417" s="237"/>
      <c r="X417" s="237"/>
      <c r="Y417" s="237"/>
      <c r="Z417" s="237"/>
    </row>
    <row r="418" ht="12.75" customHeight="1">
      <c r="A418" s="142"/>
      <c r="B418" s="142"/>
      <c r="C418" s="142"/>
      <c r="D418" s="142"/>
      <c r="E418" s="142"/>
      <c r="F418" s="142"/>
      <c r="G418" s="142"/>
      <c r="H418" s="142"/>
      <c r="I418" s="142"/>
      <c r="J418" s="142"/>
      <c r="K418" s="142"/>
      <c r="L418" s="142"/>
      <c r="M418" s="142"/>
      <c r="N418" s="142"/>
      <c r="O418" s="142"/>
      <c r="P418" s="237"/>
      <c r="Q418" s="237"/>
      <c r="R418" s="237"/>
      <c r="S418" s="237"/>
      <c r="T418" s="237"/>
      <c r="U418" s="237"/>
      <c r="V418" s="237"/>
      <c r="W418" s="237"/>
      <c r="X418" s="237"/>
      <c r="Y418" s="237"/>
      <c r="Z418" s="237"/>
    </row>
    <row r="419" ht="12.75" customHeight="1">
      <c r="A419" s="142"/>
      <c r="B419" s="142"/>
      <c r="C419" s="142"/>
      <c r="D419" s="142"/>
      <c r="E419" s="142"/>
      <c r="F419" s="142"/>
      <c r="G419" s="142"/>
      <c r="H419" s="142"/>
      <c r="I419" s="142"/>
      <c r="J419" s="142"/>
      <c r="K419" s="142"/>
      <c r="L419" s="142"/>
      <c r="M419" s="142"/>
      <c r="N419" s="142"/>
      <c r="O419" s="142"/>
      <c r="P419" s="237"/>
      <c r="Q419" s="237"/>
      <c r="R419" s="237"/>
      <c r="S419" s="237"/>
      <c r="T419" s="237"/>
      <c r="U419" s="237"/>
      <c r="V419" s="237"/>
      <c r="W419" s="237"/>
      <c r="X419" s="237"/>
      <c r="Y419" s="237"/>
      <c r="Z419" s="237"/>
    </row>
    <row r="420" ht="12.75" customHeight="1">
      <c r="A420" s="142"/>
      <c r="B420" s="142"/>
      <c r="C420" s="142"/>
      <c r="D420" s="142"/>
      <c r="E420" s="142"/>
      <c r="F420" s="142"/>
      <c r="G420" s="142"/>
      <c r="H420" s="142"/>
      <c r="I420" s="142"/>
      <c r="J420" s="142"/>
      <c r="K420" s="142"/>
      <c r="L420" s="142"/>
      <c r="M420" s="142"/>
      <c r="N420" s="142"/>
      <c r="O420" s="142"/>
      <c r="P420" s="237"/>
      <c r="Q420" s="237"/>
      <c r="R420" s="237"/>
      <c r="S420" s="237"/>
      <c r="T420" s="237"/>
      <c r="U420" s="237"/>
      <c r="V420" s="237"/>
      <c r="W420" s="237"/>
      <c r="X420" s="237"/>
      <c r="Y420" s="237"/>
      <c r="Z420" s="237"/>
    </row>
    <row r="421" ht="12.75" customHeight="1">
      <c r="A421" s="142"/>
      <c r="B421" s="142"/>
      <c r="C421" s="142"/>
      <c r="D421" s="142"/>
      <c r="E421" s="142"/>
      <c r="F421" s="142"/>
      <c r="G421" s="142"/>
      <c r="H421" s="142"/>
      <c r="I421" s="142"/>
      <c r="J421" s="142"/>
      <c r="K421" s="142"/>
      <c r="L421" s="142"/>
      <c r="M421" s="142"/>
      <c r="N421" s="142"/>
      <c r="O421" s="142"/>
      <c r="P421" s="237"/>
      <c r="Q421" s="237"/>
      <c r="R421" s="237"/>
      <c r="S421" s="237"/>
      <c r="T421" s="237"/>
      <c r="U421" s="237"/>
      <c r="V421" s="237"/>
      <c r="W421" s="237"/>
      <c r="X421" s="237"/>
      <c r="Y421" s="237"/>
      <c r="Z421" s="237"/>
    </row>
    <row r="422" ht="12.75" customHeight="1">
      <c r="A422" s="142"/>
      <c r="B422" s="142"/>
      <c r="C422" s="142"/>
      <c r="D422" s="142"/>
      <c r="E422" s="142"/>
      <c r="F422" s="142"/>
      <c r="G422" s="142"/>
      <c r="H422" s="142"/>
      <c r="I422" s="142"/>
      <c r="J422" s="142"/>
      <c r="K422" s="142"/>
      <c r="L422" s="142"/>
      <c r="M422" s="142"/>
      <c r="N422" s="142"/>
      <c r="O422" s="142"/>
      <c r="P422" s="237"/>
      <c r="Q422" s="237"/>
      <c r="R422" s="237"/>
      <c r="S422" s="237"/>
      <c r="T422" s="237"/>
      <c r="U422" s="237"/>
      <c r="V422" s="237"/>
      <c r="W422" s="237"/>
      <c r="X422" s="237"/>
      <c r="Y422" s="237"/>
      <c r="Z422" s="237"/>
    </row>
    <row r="423" ht="12.75" customHeight="1">
      <c r="A423" s="142"/>
      <c r="B423" s="142"/>
      <c r="C423" s="142"/>
      <c r="D423" s="142"/>
      <c r="E423" s="142"/>
      <c r="F423" s="142"/>
      <c r="G423" s="142"/>
      <c r="H423" s="142"/>
      <c r="I423" s="142"/>
      <c r="J423" s="142"/>
      <c r="K423" s="142"/>
      <c r="L423" s="142"/>
      <c r="M423" s="142"/>
      <c r="N423" s="142"/>
      <c r="O423" s="142"/>
      <c r="P423" s="237"/>
      <c r="Q423" s="237"/>
      <c r="R423" s="237"/>
      <c r="S423" s="237"/>
      <c r="T423" s="237"/>
      <c r="U423" s="237"/>
      <c r="V423" s="237"/>
      <c r="W423" s="237"/>
      <c r="X423" s="237"/>
      <c r="Y423" s="237"/>
      <c r="Z423" s="237"/>
    </row>
    <row r="424" ht="12.75" customHeight="1">
      <c r="A424" s="142"/>
      <c r="B424" s="142"/>
      <c r="C424" s="142"/>
      <c r="D424" s="142"/>
      <c r="E424" s="142"/>
      <c r="F424" s="142"/>
      <c r="G424" s="142"/>
      <c r="H424" s="142"/>
      <c r="I424" s="142"/>
      <c r="J424" s="142"/>
      <c r="K424" s="142"/>
      <c r="L424" s="142"/>
      <c r="M424" s="142"/>
      <c r="N424" s="142"/>
      <c r="O424" s="142"/>
      <c r="P424" s="237"/>
      <c r="Q424" s="237"/>
      <c r="R424" s="237"/>
      <c r="S424" s="237"/>
      <c r="T424" s="237"/>
      <c r="U424" s="237"/>
      <c r="V424" s="237"/>
      <c r="W424" s="237"/>
      <c r="X424" s="237"/>
      <c r="Y424" s="237"/>
      <c r="Z424" s="237"/>
    </row>
    <row r="425" ht="12.75" customHeight="1">
      <c r="A425" s="142"/>
      <c r="B425" s="142"/>
      <c r="C425" s="142"/>
      <c r="D425" s="142"/>
      <c r="E425" s="142"/>
      <c r="F425" s="142"/>
      <c r="G425" s="142"/>
      <c r="H425" s="142"/>
      <c r="I425" s="142"/>
      <c r="J425" s="142"/>
      <c r="K425" s="142"/>
      <c r="L425" s="142"/>
      <c r="M425" s="142"/>
      <c r="N425" s="142"/>
      <c r="O425" s="142"/>
      <c r="P425" s="237"/>
      <c r="Q425" s="237"/>
      <c r="R425" s="237"/>
      <c r="S425" s="237"/>
      <c r="T425" s="237"/>
      <c r="U425" s="237"/>
      <c r="V425" s="237"/>
      <c r="W425" s="237"/>
      <c r="X425" s="237"/>
      <c r="Y425" s="237"/>
      <c r="Z425" s="237"/>
    </row>
    <row r="426" ht="12.75" customHeight="1">
      <c r="A426" s="142"/>
      <c r="B426" s="142"/>
      <c r="C426" s="142"/>
      <c r="D426" s="142"/>
      <c r="E426" s="142"/>
      <c r="F426" s="142"/>
      <c r="G426" s="142"/>
      <c r="H426" s="142"/>
      <c r="I426" s="142"/>
      <c r="J426" s="142"/>
      <c r="K426" s="142"/>
      <c r="L426" s="142"/>
      <c r="M426" s="142"/>
      <c r="N426" s="142"/>
      <c r="O426" s="142"/>
      <c r="P426" s="237"/>
      <c r="Q426" s="237"/>
      <c r="R426" s="237"/>
      <c r="S426" s="237"/>
      <c r="T426" s="237"/>
      <c r="U426" s="237"/>
      <c r="V426" s="237"/>
      <c r="W426" s="237"/>
      <c r="X426" s="237"/>
      <c r="Y426" s="237"/>
      <c r="Z426" s="237"/>
    </row>
    <row r="427" ht="12.75" customHeight="1">
      <c r="A427" s="142"/>
      <c r="B427" s="142"/>
      <c r="C427" s="142"/>
      <c r="D427" s="142"/>
      <c r="E427" s="142"/>
      <c r="F427" s="142"/>
      <c r="G427" s="142"/>
      <c r="H427" s="142"/>
      <c r="I427" s="142"/>
      <c r="J427" s="142"/>
      <c r="K427" s="142"/>
      <c r="L427" s="142"/>
      <c r="M427" s="142"/>
      <c r="N427" s="142"/>
      <c r="O427" s="142"/>
      <c r="P427" s="237"/>
      <c r="Q427" s="237"/>
      <c r="R427" s="237"/>
      <c r="S427" s="237"/>
      <c r="T427" s="237"/>
      <c r="U427" s="237"/>
      <c r="V427" s="237"/>
      <c r="W427" s="237"/>
      <c r="X427" s="237"/>
      <c r="Y427" s="237"/>
      <c r="Z427" s="237"/>
    </row>
    <row r="428" ht="12.75" customHeight="1">
      <c r="A428" s="142"/>
      <c r="B428" s="142"/>
      <c r="C428" s="142"/>
      <c r="D428" s="142"/>
      <c r="E428" s="142"/>
      <c r="F428" s="142"/>
      <c r="G428" s="142"/>
      <c r="H428" s="142"/>
      <c r="I428" s="142"/>
      <c r="J428" s="142"/>
      <c r="K428" s="142"/>
      <c r="L428" s="142"/>
      <c r="M428" s="142"/>
      <c r="N428" s="142"/>
      <c r="O428" s="142"/>
      <c r="P428" s="237"/>
      <c r="Q428" s="237"/>
      <c r="R428" s="237"/>
      <c r="S428" s="237"/>
      <c r="T428" s="237"/>
      <c r="U428" s="237"/>
      <c r="V428" s="237"/>
      <c r="W428" s="237"/>
      <c r="X428" s="237"/>
      <c r="Y428" s="237"/>
      <c r="Z428" s="237"/>
    </row>
    <row r="429" ht="12.75" customHeight="1">
      <c r="A429" s="142"/>
      <c r="B429" s="142"/>
      <c r="C429" s="142"/>
      <c r="D429" s="142"/>
      <c r="E429" s="142"/>
      <c r="F429" s="142"/>
      <c r="G429" s="142"/>
      <c r="H429" s="142"/>
      <c r="I429" s="142"/>
      <c r="J429" s="142"/>
      <c r="K429" s="142"/>
      <c r="L429" s="142"/>
      <c r="M429" s="142"/>
      <c r="N429" s="142"/>
      <c r="O429" s="142"/>
      <c r="P429" s="237"/>
      <c r="Q429" s="237"/>
      <c r="R429" s="237"/>
      <c r="S429" s="237"/>
      <c r="T429" s="237"/>
      <c r="U429" s="237"/>
      <c r="V429" s="237"/>
      <c r="W429" s="237"/>
      <c r="X429" s="237"/>
      <c r="Y429" s="237"/>
      <c r="Z429" s="237"/>
    </row>
    <row r="430" ht="12.75" customHeight="1">
      <c r="A430" s="142"/>
      <c r="B430" s="142"/>
      <c r="C430" s="142"/>
      <c r="D430" s="142"/>
      <c r="E430" s="142"/>
      <c r="F430" s="142"/>
      <c r="G430" s="142"/>
      <c r="H430" s="142"/>
      <c r="I430" s="142"/>
      <c r="J430" s="142"/>
      <c r="K430" s="142"/>
      <c r="L430" s="142"/>
      <c r="M430" s="142"/>
      <c r="N430" s="142"/>
      <c r="O430" s="142"/>
      <c r="P430" s="237"/>
      <c r="Q430" s="237"/>
      <c r="R430" s="237"/>
      <c r="S430" s="237"/>
      <c r="T430" s="237"/>
      <c r="U430" s="237"/>
      <c r="V430" s="237"/>
      <c r="W430" s="237"/>
      <c r="X430" s="237"/>
      <c r="Y430" s="237"/>
      <c r="Z430" s="237"/>
    </row>
    <row r="431" ht="12.75" customHeight="1">
      <c r="A431" s="142"/>
      <c r="B431" s="142"/>
      <c r="C431" s="142"/>
      <c r="D431" s="142"/>
      <c r="E431" s="142"/>
      <c r="F431" s="142"/>
      <c r="G431" s="142"/>
      <c r="H431" s="142"/>
      <c r="I431" s="142"/>
      <c r="J431" s="142"/>
      <c r="K431" s="142"/>
      <c r="L431" s="142"/>
      <c r="M431" s="142"/>
      <c r="N431" s="142"/>
      <c r="O431" s="142"/>
      <c r="P431" s="237"/>
      <c r="Q431" s="237"/>
      <c r="R431" s="237"/>
      <c r="S431" s="237"/>
      <c r="T431" s="237"/>
      <c r="U431" s="237"/>
      <c r="V431" s="237"/>
      <c r="W431" s="237"/>
      <c r="X431" s="237"/>
      <c r="Y431" s="237"/>
      <c r="Z431" s="237"/>
    </row>
    <row r="432" ht="12.75" customHeight="1">
      <c r="A432" s="142"/>
      <c r="B432" s="142"/>
      <c r="C432" s="142"/>
      <c r="D432" s="142"/>
      <c r="E432" s="142"/>
      <c r="F432" s="142"/>
      <c r="G432" s="142"/>
      <c r="H432" s="142"/>
      <c r="I432" s="142"/>
      <c r="J432" s="142"/>
      <c r="K432" s="142"/>
      <c r="L432" s="142"/>
      <c r="M432" s="142"/>
      <c r="N432" s="142"/>
      <c r="O432" s="142"/>
      <c r="P432" s="237"/>
      <c r="Q432" s="237"/>
      <c r="R432" s="237"/>
      <c r="S432" s="237"/>
      <c r="T432" s="237"/>
      <c r="U432" s="237"/>
      <c r="V432" s="237"/>
      <c r="W432" s="237"/>
      <c r="X432" s="237"/>
      <c r="Y432" s="237"/>
      <c r="Z432" s="237"/>
    </row>
    <row r="433" ht="12.75" customHeight="1">
      <c r="A433" s="142"/>
      <c r="B433" s="142"/>
      <c r="C433" s="142"/>
      <c r="D433" s="142"/>
      <c r="E433" s="142"/>
      <c r="F433" s="142"/>
      <c r="G433" s="142"/>
      <c r="H433" s="142"/>
      <c r="I433" s="142"/>
      <c r="J433" s="142"/>
      <c r="K433" s="142"/>
      <c r="L433" s="142"/>
      <c r="M433" s="142"/>
      <c r="N433" s="142"/>
      <c r="O433" s="142"/>
      <c r="P433" s="237"/>
      <c r="Q433" s="237"/>
      <c r="R433" s="237"/>
      <c r="S433" s="237"/>
      <c r="T433" s="237"/>
      <c r="U433" s="237"/>
      <c r="V433" s="237"/>
      <c r="W433" s="237"/>
      <c r="X433" s="237"/>
      <c r="Y433" s="237"/>
      <c r="Z433" s="237"/>
    </row>
    <row r="434" ht="12.75" customHeight="1">
      <c r="A434" s="142"/>
      <c r="B434" s="142"/>
      <c r="C434" s="142"/>
      <c r="D434" s="142"/>
      <c r="E434" s="142"/>
      <c r="F434" s="142"/>
      <c r="G434" s="142"/>
      <c r="H434" s="142"/>
      <c r="I434" s="142"/>
      <c r="J434" s="142"/>
      <c r="K434" s="142"/>
      <c r="L434" s="142"/>
      <c r="M434" s="142"/>
      <c r="N434" s="142"/>
      <c r="O434" s="142"/>
      <c r="P434" s="237"/>
      <c r="Q434" s="237"/>
      <c r="R434" s="237"/>
      <c r="S434" s="237"/>
      <c r="T434" s="237"/>
      <c r="U434" s="237"/>
      <c r="V434" s="237"/>
      <c r="W434" s="237"/>
      <c r="X434" s="237"/>
      <c r="Y434" s="237"/>
      <c r="Z434" s="237"/>
    </row>
    <row r="435" ht="12.75" customHeight="1">
      <c r="A435" s="142"/>
      <c r="B435" s="142"/>
      <c r="C435" s="142"/>
      <c r="D435" s="142"/>
      <c r="E435" s="142"/>
      <c r="F435" s="142"/>
      <c r="G435" s="142"/>
      <c r="H435" s="142"/>
      <c r="I435" s="142"/>
      <c r="J435" s="142"/>
      <c r="K435" s="142"/>
      <c r="L435" s="142"/>
      <c r="M435" s="142"/>
      <c r="N435" s="142"/>
      <c r="O435" s="142"/>
      <c r="P435" s="237"/>
      <c r="Q435" s="237"/>
      <c r="R435" s="237"/>
      <c r="S435" s="237"/>
      <c r="T435" s="237"/>
      <c r="U435" s="237"/>
      <c r="V435" s="237"/>
      <c r="W435" s="237"/>
      <c r="X435" s="237"/>
      <c r="Y435" s="237"/>
      <c r="Z435" s="237"/>
    </row>
    <row r="436" ht="12.75" customHeight="1">
      <c r="A436" s="142"/>
      <c r="B436" s="142"/>
      <c r="C436" s="142"/>
      <c r="D436" s="142"/>
      <c r="E436" s="142"/>
      <c r="F436" s="142"/>
      <c r="G436" s="142"/>
      <c r="H436" s="142"/>
      <c r="I436" s="142"/>
      <c r="J436" s="142"/>
      <c r="K436" s="142"/>
      <c r="L436" s="142"/>
      <c r="M436" s="142"/>
      <c r="N436" s="142"/>
      <c r="O436" s="142"/>
      <c r="P436" s="237"/>
      <c r="Q436" s="237"/>
      <c r="R436" s="237"/>
      <c r="S436" s="237"/>
      <c r="T436" s="237"/>
      <c r="U436" s="237"/>
      <c r="V436" s="237"/>
      <c r="W436" s="237"/>
      <c r="X436" s="237"/>
      <c r="Y436" s="237"/>
      <c r="Z436" s="237"/>
    </row>
    <row r="437" ht="12.75" customHeight="1">
      <c r="A437" s="142"/>
      <c r="B437" s="142"/>
      <c r="C437" s="142"/>
      <c r="D437" s="142"/>
      <c r="E437" s="142"/>
      <c r="F437" s="142"/>
      <c r="G437" s="142"/>
      <c r="H437" s="142"/>
      <c r="I437" s="142"/>
      <c r="J437" s="142"/>
      <c r="K437" s="142"/>
      <c r="L437" s="142"/>
      <c r="M437" s="142"/>
      <c r="N437" s="142"/>
      <c r="O437" s="142"/>
      <c r="P437" s="237"/>
      <c r="Q437" s="237"/>
      <c r="R437" s="237"/>
      <c r="S437" s="237"/>
      <c r="T437" s="237"/>
      <c r="U437" s="237"/>
      <c r="V437" s="237"/>
      <c r="W437" s="237"/>
      <c r="X437" s="237"/>
      <c r="Y437" s="237"/>
      <c r="Z437" s="237"/>
    </row>
    <row r="438" ht="12.75" customHeight="1">
      <c r="A438" s="142"/>
      <c r="B438" s="142"/>
      <c r="C438" s="142"/>
      <c r="D438" s="142"/>
      <c r="E438" s="142"/>
      <c r="F438" s="142"/>
      <c r="G438" s="142"/>
      <c r="H438" s="142"/>
      <c r="I438" s="142"/>
      <c r="J438" s="142"/>
      <c r="K438" s="142"/>
      <c r="L438" s="142"/>
      <c r="M438" s="142"/>
      <c r="N438" s="142"/>
      <c r="O438" s="142"/>
      <c r="P438" s="237"/>
      <c r="Q438" s="237"/>
      <c r="R438" s="237"/>
      <c r="S438" s="237"/>
      <c r="T438" s="237"/>
      <c r="U438" s="237"/>
      <c r="V438" s="237"/>
      <c r="W438" s="237"/>
      <c r="X438" s="237"/>
      <c r="Y438" s="237"/>
      <c r="Z438" s="237"/>
    </row>
    <row r="439" ht="12.75" customHeight="1">
      <c r="A439" s="142"/>
      <c r="B439" s="142"/>
      <c r="C439" s="142"/>
      <c r="D439" s="142"/>
      <c r="E439" s="142"/>
      <c r="F439" s="142"/>
      <c r="G439" s="142"/>
      <c r="H439" s="142"/>
      <c r="I439" s="142"/>
      <c r="J439" s="142"/>
      <c r="K439" s="142"/>
      <c r="L439" s="142"/>
      <c r="M439" s="142"/>
      <c r="N439" s="142"/>
      <c r="O439" s="142"/>
      <c r="P439" s="237"/>
      <c r="Q439" s="237"/>
      <c r="R439" s="237"/>
      <c r="S439" s="237"/>
      <c r="T439" s="237"/>
      <c r="U439" s="237"/>
      <c r="V439" s="237"/>
      <c r="W439" s="237"/>
      <c r="X439" s="237"/>
      <c r="Y439" s="237"/>
      <c r="Z439" s="237"/>
    </row>
    <row r="440" ht="12.75" customHeight="1">
      <c r="A440" s="142"/>
      <c r="B440" s="142"/>
      <c r="C440" s="142"/>
      <c r="D440" s="142"/>
      <c r="E440" s="142"/>
      <c r="F440" s="142"/>
      <c r="G440" s="142"/>
      <c r="H440" s="142"/>
      <c r="I440" s="142"/>
      <c r="J440" s="142"/>
      <c r="K440" s="142"/>
      <c r="L440" s="142"/>
      <c r="M440" s="142"/>
      <c r="N440" s="142"/>
      <c r="O440" s="142"/>
      <c r="P440" s="237"/>
      <c r="Q440" s="237"/>
      <c r="R440" s="237"/>
      <c r="S440" s="237"/>
      <c r="T440" s="237"/>
      <c r="U440" s="237"/>
      <c r="V440" s="237"/>
      <c r="W440" s="237"/>
      <c r="X440" s="237"/>
      <c r="Y440" s="237"/>
      <c r="Z440" s="237"/>
    </row>
    <row r="441" ht="12.75" customHeight="1">
      <c r="A441" s="142"/>
      <c r="B441" s="142"/>
      <c r="C441" s="142"/>
      <c r="D441" s="142"/>
      <c r="E441" s="142"/>
      <c r="F441" s="142"/>
      <c r="G441" s="142"/>
      <c r="H441" s="142"/>
      <c r="I441" s="142"/>
      <c r="J441" s="142"/>
      <c r="K441" s="142"/>
      <c r="L441" s="142"/>
      <c r="M441" s="142"/>
      <c r="N441" s="142"/>
      <c r="O441" s="142"/>
      <c r="P441" s="237"/>
      <c r="Q441" s="237"/>
      <c r="R441" s="237"/>
      <c r="S441" s="237"/>
      <c r="T441" s="237"/>
      <c r="U441" s="237"/>
      <c r="V441" s="237"/>
      <c r="W441" s="237"/>
      <c r="X441" s="237"/>
      <c r="Y441" s="237"/>
      <c r="Z441" s="237"/>
    </row>
    <row r="442" ht="12.75" customHeight="1">
      <c r="A442" s="142"/>
      <c r="B442" s="142"/>
      <c r="C442" s="142"/>
      <c r="D442" s="142"/>
      <c r="E442" s="142"/>
      <c r="F442" s="142"/>
      <c r="G442" s="142"/>
      <c r="H442" s="142"/>
      <c r="I442" s="142"/>
      <c r="J442" s="142"/>
      <c r="K442" s="142"/>
      <c r="L442" s="142"/>
      <c r="M442" s="142"/>
      <c r="N442" s="142"/>
      <c r="O442" s="142"/>
      <c r="P442" s="237"/>
      <c r="Q442" s="237"/>
      <c r="R442" s="237"/>
      <c r="S442" s="237"/>
      <c r="T442" s="237"/>
      <c r="U442" s="237"/>
      <c r="V442" s="237"/>
      <c r="W442" s="237"/>
      <c r="X442" s="237"/>
      <c r="Y442" s="237"/>
      <c r="Z442" s="237"/>
    </row>
    <row r="443" ht="12.75" customHeight="1">
      <c r="A443" s="142"/>
      <c r="B443" s="142"/>
      <c r="C443" s="142"/>
      <c r="D443" s="142"/>
      <c r="E443" s="142"/>
      <c r="F443" s="142"/>
      <c r="G443" s="142"/>
      <c r="H443" s="142"/>
      <c r="I443" s="142"/>
      <c r="J443" s="142"/>
      <c r="K443" s="142"/>
      <c r="L443" s="142"/>
      <c r="M443" s="142"/>
      <c r="N443" s="142"/>
      <c r="O443" s="142"/>
      <c r="P443" s="237"/>
      <c r="Q443" s="237"/>
      <c r="R443" s="237"/>
      <c r="S443" s="237"/>
      <c r="T443" s="237"/>
      <c r="U443" s="237"/>
      <c r="V443" s="237"/>
      <c r="W443" s="237"/>
      <c r="X443" s="237"/>
      <c r="Y443" s="237"/>
      <c r="Z443" s="237"/>
    </row>
    <row r="444" ht="12.75" customHeight="1">
      <c r="A444" s="142"/>
      <c r="B444" s="142"/>
      <c r="C444" s="142"/>
      <c r="D444" s="142"/>
      <c r="E444" s="142"/>
      <c r="F444" s="142"/>
      <c r="G444" s="142"/>
      <c r="H444" s="142"/>
      <c r="I444" s="142"/>
      <c r="J444" s="142"/>
      <c r="K444" s="142"/>
      <c r="L444" s="142"/>
      <c r="M444" s="142"/>
      <c r="N444" s="142"/>
      <c r="O444" s="142"/>
      <c r="P444" s="237"/>
      <c r="Q444" s="237"/>
      <c r="R444" s="237"/>
      <c r="S444" s="237"/>
      <c r="T444" s="237"/>
      <c r="U444" s="237"/>
      <c r="V444" s="237"/>
      <c r="W444" s="237"/>
      <c r="X444" s="237"/>
      <c r="Y444" s="237"/>
      <c r="Z444" s="237"/>
    </row>
    <row r="445" ht="12.75" customHeight="1">
      <c r="A445" s="142"/>
      <c r="B445" s="142"/>
      <c r="C445" s="142"/>
      <c r="D445" s="142"/>
      <c r="E445" s="142"/>
      <c r="F445" s="142"/>
      <c r="G445" s="142"/>
      <c r="H445" s="142"/>
      <c r="I445" s="142"/>
      <c r="J445" s="142"/>
      <c r="K445" s="142"/>
      <c r="L445" s="142"/>
      <c r="M445" s="142"/>
      <c r="N445" s="142"/>
      <c r="O445" s="142"/>
      <c r="P445" s="237"/>
      <c r="Q445" s="237"/>
      <c r="R445" s="237"/>
      <c r="S445" s="237"/>
      <c r="T445" s="237"/>
      <c r="U445" s="237"/>
      <c r="V445" s="237"/>
      <c r="W445" s="237"/>
      <c r="X445" s="237"/>
      <c r="Y445" s="237"/>
      <c r="Z445" s="237"/>
    </row>
    <row r="446" ht="12.75" customHeight="1">
      <c r="A446" s="142"/>
      <c r="B446" s="142"/>
      <c r="C446" s="142"/>
      <c r="D446" s="142"/>
      <c r="E446" s="142"/>
      <c r="F446" s="142"/>
      <c r="G446" s="142"/>
      <c r="H446" s="142"/>
      <c r="I446" s="142"/>
      <c r="J446" s="142"/>
      <c r="K446" s="142"/>
      <c r="L446" s="142"/>
      <c r="M446" s="142"/>
      <c r="N446" s="142"/>
      <c r="O446" s="142"/>
      <c r="P446" s="237"/>
      <c r="Q446" s="237"/>
      <c r="R446" s="237"/>
      <c r="S446" s="237"/>
      <c r="T446" s="237"/>
      <c r="U446" s="237"/>
      <c r="V446" s="237"/>
      <c r="W446" s="237"/>
      <c r="X446" s="237"/>
      <c r="Y446" s="237"/>
      <c r="Z446" s="237"/>
    </row>
    <row r="447" ht="12.75" customHeight="1">
      <c r="A447" s="142"/>
      <c r="B447" s="142"/>
      <c r="C447" s="142"/>
      <c r="D447" s="142"/>
      <c r="E447" s="142"/>
      <c r="F447" s="142"/>
      <c r="G447" s="142"/>
      <c r="H447" s="142"/>
      <c r="I447" s="142"/>
      <c r="J447" s="142"/>
      <c r="K447" s="142"/>
      <c r="L447" s="142"/>
      <c r="M447" s="142"/>
      <c r="N447" s="142"/>
      <c r="O447" s="142"/>
      <c r="P447" s="237"/>
      <c r="Q447" s="237"/>
      <c r="R447" s="237"/>
      <c r="S447" s="237"/>
      <c r="T447" s="237"/>
      <c r="U447" s="237"/>
      <c r="V447" s="237"/>
      <c r="W447" s="237"/>
      <c r="X447" s="237"/>
      <c r="Y447" s="237"/>
      <c r="Z447" s="237"/>
    </row>
    <row r="448" ht="12.75" customHeight="1">
      <c r="A448" s="142"/>
      <c r="B448" s="142"/>
      <c r="C448" s="142"/>
      <c r="D448" s="142"/>
      <c r="E448" s="142"/>
      <c r="F448" s="142"/>
      <c r="G448" s="142"/>
      <c r="H448" s="142"/>
      <c r="I448" s="142"/>
      <c r="J448" s="142"/>
      <c r="K448" s="142"/>
      <c r="L448" s="142"/>
      <c r="M448" s="142"/>
      <c r="N448" s="142"/>
      <c r="O448" s="142"/>
      <c r="P448" s="237"/>
      <c r="Q448" s="237"/>
      <c r="R448" s="237"/>
      <c r="S448" s="237"/>
      <c r="T448" s="237"/>
      <c r="U448" s="237"/>
      <c r="V448" s="237"/>
      <c r="W448" s="237"/>
      <c r="X448" s="237"/>
      <c r="Y448" s="237"/>
      <c r="Z448" s="237"/>
    </row>
    <row r="449" ht="12.75" customHeight="1">
      <c r="A449" s="142"/>
      <c r="B449" s="142"/>
      <c r="C449" s="142"/>
      <c r="D449" s="142"/>
      <c r="E449" s="142"/>
      <c r="F449" s="142"/>
      <c r="G449" s="142"/>
      <c r="H449" s="142"/>
      <c r="I449" s="142"/>
      <c r="J449" s="142"/>
      <c r="K449" s="142"/>
      <c r="L449" s="142"/>
      <c r="M449" s="142"/>
      <c r="N449" s="142"/>
      <c r="O449" s="142"/>
      <c r="P449" s="237"/>
      <c r="Q449" s="237"/>
      <c r="R449" s="237"/>
      <c r="S449" s="237"/>
      <c r="T449" s="237"/>
      <c r="U449" s="237"/>
      <c r="V449" s="237"/>
      <c r="W449" s="237"/>
      <c r="X449" s="237"/>
      <c r="Y449" s="237"/>
      <c r="Z449" s="237"/>
    </row>
    <row r="450" ht="12.75" customHeight="1">
      <c r="A450" s="142"/>
      <c r="B450" s="142"/>
      <c r="C450" s="142"/>
      <c r="D450" s="142"/>
      <c r="E450" s="142"/>
      <c r="F450" s="142"/>
      <c r="G450" s="142"/>
      <c r="H450" s="142"/>
      <c r="I450" s="142"/>
      <c r="J450" s="142"/>
      <c r="K450" s="142"/>
      <c r="L450" s="142"/>
      <c r="M450" s="142"/>
      <c r="N450" s="142"/>
      <c r="O450" s="142"/>
      <c r="P450" s="237"/>
      <c r="Q450" s="237"/>
      <c r="R450" s="237"/>
      <c r="S450" s="237"/>
      <c r="T450" s="237"/>
      <c r="U450" s="237"/>
      <c r="V450" s="237"/>
      <c r="W450" s="237"/>
      <c r="X450" s="237"/>
      <c r="Y450" s="237"/>
      <c r="Z450" s="237"/>
    </row>
    <row r="451" ht="12.75" customHeight="1">
      <c r="A451" s="142"/>
      <c r="B451" s="142"/>
      <c r="C451" s="142"/>
      <c r="D451" s="142"/>
      <c r="E451" s="142"/>
      <c r="F451" s="142"/>
      <c r="G451" s="142"/>
      <c r="H451" s="142"/>
      <c r="I451" s="142"/>
      <c r="J451" s="142"/>
      <c r="K451" s="142"/>
      <c r="L451" s="142"/>
      <c r="M451" s="142"/>
      <c r="N451" s="142"/>
      <c r="O451" s="142"/>
      <c r="P451" s="237"/>
      <c r="Q451" s="237"/>
      <c r="R451" s="237"/>
      <c r="S451" s="237"/>
      <c r="T451" s="237"/>
      <c r="U451" s="237"/>
      <c r="V451" s="237"/>
      <c r="W451" s="237"/>
      <c r="X451" s="237"/>
      <c r="Y451" s="237"/>
      <c r="Z451" s="237"/>
    </row>
    <row r="452" ht="12.75" customHeight="1">
      <c r="A452" s="142"/>
      <c r="B452" s="142"/>
      <c r="C452" s="142"/>
      <c r="D452" s="142"/>
      <c r="E452" s="142"/>
      <c r="F452" s="142"/>
      <c r="G452" s="142"/>
      <c r="H452" s="142"/>
      <c r="I452" s="142"/>
      <c r="J452" s="142"/>
      <c r="K452" s="142"/>
      <c r="L452" s="142"/>
      <c r="M452" s="142"/>
      <c r="N452" s="142"/>
      <c r="O452" s="142"/>
      <c r="P452" s="237"/>
      <c r="Q452" s="237"/>
      <c r="R452" s="237"/>
      <c r="S452" s="237"/>
      <c r="T452" s="237"/>
      <c r="U452" s="237"/>
      <c r="V452" s="237"/>
      <c r="W452" s="237"/>
      <c r="X452" s="237"/>
      <c r="Y452" s="237"/>
      <c r="Z452" s="237"/>
    </row>
    <row r="453" ht="12.75" customHeight="1">
      <c r="A453" s="142"/>
      <c r="B453" s="142"/>
      <c r="C453" s="142"/>
      <c r="D453" s="142"/>
      <c r="E453" s="142"/>
      <c r="F453" s="142"/>
      <c r="G453" s="142"/>
      <c r="H453" s="142"/>
      <c r="I453" s="142"/>
      <c r="J453" s="142"/>
      <c r="K453" s="142"/>
      <c r="L453" s="142"/>
      <c r="M453" s="142"/>
      <c r="N453" s="142"/>
      <c r="O453" s="142"/>
      <c r="P453" s="237"/>
      <c r="Q453" s="237"/>
      <c r="R453" s="237"/>
      <c r="S453" s="237"/>
      <c r="T453" s="237"/>
      <c r="U453" s="237"/>
      <c r="V453" s="237"/>
      <c r="W453" s="237"/>
      <c r="X453" s="237"/>
      <c r="Y453" s="237"/>
      <c r="Z453" s="237"/>
    </row>
    <row r="454" ht="12.75" customHeight="1">
      <c r="A454" s="142"/>
      <c r="B454" s="142"/>
      <c r="C454" s="142"/>
      <c r="D454" s="142"/>
      <c r="E454" s="142"/>
      <c r="F454" s="142"/>
      <c r="G454" s="142"/>
      <c r="H454" s="142"/>
      <c r="I454" s="142"/>
      <c r="J454" s="142"/>
      <c r="K454" s="142"/>
      <c r="L454" s="142"/>
      <c r="M454" s="142"/>
      <c r="N454" s="142"/>
      <c r="O454" s="142"/>
      <c r="P454" s="237"/>
      <c r="Q454" s="237"/>
      <c r="R454" s="237"/>
      <c r="S454" s="237"/>
      <c r="T454" s="237"/>
      <c r="U454" s="237"/>
      <c r="V454" s="237"/>
      <c r="W454" s="237"/>
      <c r="X454" s="237"/>
      <c r="Y454" s="237"/>
      <c r="Z454" s="237"/>
    </row>
    <row r="455" ht="12.75" customHeight="1">
      <c r="A455" s="142"/>
      <c r="B455" s="142"/>
      <c r="C455" s="142"/>
      <c r="D455" s="142"/>
      <c r="E455" s="142"/>
      <c r="F455" s="142"/>
      <c r="G455" s="142"/>
      <c r="H455" s="142"/>
      <c r="I455" s="142"/>
      <c r="J455" s="142"/>
      <c r="K455" s="142"/>
      <c r="L455" s="142"/>
      <c r="M455" s="142"/>
      <c r="N455" s="142"/>
      <c r="O455" s="142"/>
      <c r="P455" s="237"/>
      <c r="Q455" s="237"/>
      <c r="R455" s="237"/>
      <c r="S455" s="237"/>
      <c r="T455" s="237"/>
      <c r="U455" s="237"/>
      <c r="V455" s="237"/>
      <c r="W455" s="237"/>
      <c r="X455" s="237"/>
      <c r="Y455" s="237"/>
      <c r="Z455" s="237"/>
    </row>
    <row r="456" ht="12.75" customHeight="1">
      <c r="A456" s="142"/>
      <c r="B456" s="142"/>
      <c r="C456" s="142"/>
      <c r="D456" s="142"/>
      <c r="E456" s="142"/>
      <c r="F456" s="142"/>
      <c r="G456" s="142"/>
      <c r="H456" s="142"/>
      <c r="I456" s="142"/>
      <c r="J456" s="142"/>
      <c r="K456" s="142"/>
      <c r="L456" s="142"/>
      <c r="M456" s="142"/>
      <c r="N456" s="142"/>
      <c r="O456" s="142"/>
      <c r="P456" s="237"/>
      <c r="Q456" s="237"/>
      <c r="R456" s="237"/>
      <c r="S456" s="237"/>
      <c r="T456" s="237"/>
      <c r="U456" s="237"/>
      <c r="V456" s="237"/>
      <c r="W456" s="237"/>
      <c r="X456" s="237"/>
      <c r="Y456" s="237"/>
      <c r="Z456" s="237"/>
    </row>
    <row r="457" ht="12.75" customHeight="1">
      <c r="A457" s="142"/>
      <c r="B457" s="142"/>
      <c r="C457" s="142"/>
      <c r="D457" s="142"/>
      <c r="E457" s="142"/>
      <c r="F457" s="142"/>
      <c r="G457" s="142"/>
      <c r="H457" s="142"/>
      <c r="I457" s="142"/>
      <c r="J457" s="142"/>
      <c r="K457" s="142"/>
      <c r="L457" s="142"/>
      <c r="M457" s="142"/>
      <c r="N457" s="142"/>
      <c r="O457" s="142"/>
      <c r="P457" s="237"/>
      <c r="Q457" s="237"/>
      <c r="R457" s="237"/>
      <c r="S457" s="237"/>
      <c r="T457" s="237"/>
      <c r="U457" s="237"/>
      <c r="V457" s="237"/>
      <c r="W457" s="237"/>
      <c r="X457" s="237"/>
      <c r="Y457" s="237"/>
      <c r="Z457" s="237"/>
    </row>
    <row r="458" ht="12.75" customHeight="1">
      <c r="A458" s="142"/>
      <c r="B458" s="142"/>
      <c r="C458" s="142"/>
      <c r="D458" s="142"/>
      <c r="E458" s="142"/>
      <c r="F458" s="142"/>
      <c r="G458" s="142"/>
      <c r="H458" s="142"/>
      <c r="I458" s="142"/>
      <c r="J458" s="142"/>
      <c r="K458" s="142"/>
      <c r="L458" s="142"/>
      <c r="M458" s="142"/>
      <c r="N458" s="142"/>
      <c r="O458" s="142"/>
      <c r="P458" s="237"/>
      <c r="Q458" s="237"/>
      <c r="R458" s="237"/>
      <c r="S458" s="237"/>
      <c r="T458" s="237"/>
      <c r="U458" s="237"/>
      <c r="V458" s="237"/>
      <c r="W458" s="237"/>
      <c r="X458" s="237"/>
      <c r="Y458" s="237"/>
      <c r="Z458" s="237"/>
    </row>
    <row r="459" ht="12.75" customHeight="1">
      <c r="A459" s="142"/>
      <c r="B459" s="142"/>
      <c r="C459" s="142"/>
      <c r="D459" s="142"/>
      <c r="E459" s="142"/>
      <c r="F459" s="142"/>
      <c r="G459" s="142"/>
      <c r="H459" s="142"/>
      <c r="I459" s="142"/>
      <c r="J459" s="142"/>
      <c r="K459" s="142"/>
      <c r="L459" s="142"/>
      <c r="M459" s="142"/>
      <c r="N459" s="142"/>
      <c r="O459" s="142"/>
      <c r="P459" s="237"/>
      <c r="Q459" s="237"/>
      <c r="R459" s="237"/>
      <c r="S459" s="237"/>
      <c r="T459" s="237"/>
      <c r="U459" s="237"/>
      <c r="V459" s="237"/>
      <c r="W459" s="237"/>
      <c r="X459" s="237"/>
      <c r="Y459" s="237"/>
      <c r="Z459" s="237"/>
    </row>
    <row r="460" ht="12.75" customHeight="1">
      <c r="A460" s="142"/>
      <c r="B460" s="142"/>
      <c r="C460" s="142"/>
      <c r="D460" s="142"/>
      <c r="E460" s="142"/>
      <c r="F460" s="142"/>
      <c r="G460" s="142"/>
      <c r="H460" s="142"/>
      <c r="I460" s="142"/>
      <c r="J460" s="142"/>
      <c r="K460" s="142"/>
      <c r="L460" s="142"/>
      <c r="M460" s="142"/>
      <c r="N460" s="142"/>
      <c r="O460" s="142"/>
      <c r="P460" s="237"/>
      <c r="Q460" s="237"/>
      <c r="R460" s="237"/>
      <c r="S460" s="237"/>
      <c r="T460" s="237"/>
      <c r="U460" s="237"/>
      <c r="V460" s="237"/>
      <c r="W460" s="237"/>
      <c r="X460" s="237"/>
      <c r="Y460" s="237"/>
      <c r="Z460" s="237"/>
    </row>
    <row r="461" ht="12.75" customHeight="1">
      <c r="A461" s="142"/>
      <c r="B461" s="142"/>
      <c r="C461" s="142"/>
      <c r="D461" s="142"/>
      <c r="E461" s="142"/>
      <c r="F461" s="142"/>
      <c r="G461" s="142"/>
      <c r="H461" s="142"/>
      <c r="I461" s="142"/>
      <c r="J461" s="142"/>
      <c r="K461" s="142"/>
      <c r="L461" s="142"/>
      <c r="M461" s="142"/>
      <c r="N461" s="142"/>
      <c r="O461" s="142"/>
      <c r="P461" s="237"/>
      <c r="Q461" s="237"/>
      <c r="R461" s="237"/>
      <c r="S461" s="237"/>
      <c r="T461" s="237"/>
      <c r="U461" s="237"/>
      <c r="V461" s="237"/>
      <c r="W461" s="237"/>
      <c r="X461" s="237"/>
      <c r="Y461" s="237"/>
      <c r="Z461" s="237"/>
    </row>
  </sheetData>
  <mergeCells count="3">
    <mergeCell ref="J5:L5"/>
    <mergeCell ref="D5:F5"/>
    <mergeCell ref="G5:I5"/>
  </mergeCells>
  <hyperlinks>
    <hyperlink ref="C152" r:id="rId1" location="" tooltip="" display="C1-C3 alcohols                "/>
  </hyperlinks>
  <pageMargins left="0.787402" right="0.787402" top="0.984252" bottom="0.984252" header="0.492126" footer="0.492126"/>
  <pageSetup firstPageNumber="1" fitToHeight="1" fitToWidth="1" scale="100" useFirstPageNumber="0" orientation="portrait" pageOrder="downThenOver"/>
  <headerFooter>
    <oddFooter>&amp;C&amp;"Helvetica Neue,Regular"&amp;12&amp;K000000&amp;P</oddFooter>
  </headerFooter>
  <drawing r:id="rId2"/>
</worksheet>
</file>

<file path=xl/worksheets/sheet18.xml><?xml version="1.0" encoding="utf-8"?>
<worksheet xmlns:r="http://schemas.openxmlformats.org/officeDocument/2006/relationships" xmlns="http://schemas.openxmlformats.org/spreadsheetml/2006/main">
  <sheetPr>
    <pageSetUpPr fitToPage="1"/>
  </sheetPr>
  <dimension ref="A1:N776"/>
  <sheetViews>
    <sheetView workbookViewId="0" showGridLines="0" defaultGridColor="1"/>
  </sheetViews>
  <sheetFormatPr defaultColWidth="11.5" defaultRowHeight="12.75" customHeight="1" outlineLevelRow="0" outlineLevelCol="0"/>
  <cols>
    <col min="1" max="1" width="40" style="1265" customWidth="1"/>
    <col min="2" max="2" width="71.5" style="1265" customWidth="1"/>
    <col min="3" max="3" width="80.5" style="1265" customWidth="1"/>
    <col min="4" max="14" width="11.5" style="1265" customWidth="1"/>
    <col min="15" max="16384" width="11.5" style="1265" customWidth="1"/>
  </cols>
  <sheetData>
    <row r="1" ht="13.65" customHeight="1">
      <c r="A1" s="1266"/>
      <c r="B1" s="811"/>
      <c r="C1" s="860"/>
      <c r="D1" s="1267"/>
      <c r="E1" s="142"/>
      <c r="F1" s="142"/>
      <c r="G1" s="142"/>
      <c r="H1" s="142"/>
      <c r="I1" s="142"/>
      <c r="J1" s="142"/>
      <c r="K1" s="142"/>
      <c r="L1" s="142"/>
      <c r="M1" s="142"/>
      <c r="N1" s="142"/>
    </row>
    <row r="2" ht="13.65" customHeight="1">
      <c r="A2" s="1268"/>
      <c r="B2" s="811"/>
      <c r="C2" s="860"/>
      <c r="D2" s="1267"/>
      <c r="E2" s="142"/>
      <c r="F2" s="142"/>
      <c r="G2" s="142"/>
      <c r="H2" s="142"/>
      <c r="I2" s="142"/>
      <c r="J2" s="142"/>
      <c r="K2" s="142"/>
      <c r="L2" s="142"/>
      <c r="M2" s="142"/>
      <c r="N2" s="142"/>
    </row>
    <row r="3" ht="13.65" customHeight="1">
      <c r="A3" t="s" s="1269">
        <v>1239</v>
      </c>
      <c r="B3" t="s" s="1269">
        <v>53</v>
      </c>
      <c r="C3" t="s" s="1270">
        <v>26</v>
      </c>
      <c r="D3" s="1267"/>
      <c r="E3" s="142"/>
      <c r="F3" s="142"/>
      <c r="G3" s="142"/>
      <c r="H3" s="142"/>
      <c r="I3" s="142"/>
      <c r="J3" s="142"/>
      <c r="K3" s="142"/>
      <c r="L3" s="142"/>
      <c r="M3" s="142"/>
      <c r="N3" s="142"/>
    </row>
    <row r="4" ht="13.65" customHeight="1">
      <c r="A4" t="s" s="338">
        <v>1257</v>
      </c>
      <c r="B4" t="s" s="338">
        <v>1258</v>
      </c>
      <c r="C4" t="s" s="1271">
        <v>128</v>
      </c>
      <c r="D4" s="1267"/>
      <c r="E4" s="142"/>
      <c r="F4" s="142"/>
      <c r="G4" s="142"/>
      <c r="H4" s="142"/>
      <c r="I4" s="142"/>
      <c r="J4" s="142"/>
      <c r="K4" s="142"/>
      <c r="L4" s="142"/>
      <c r="M4" s="142"/>
      <c r="N4" s="142"/>
    </row>
    <row r="5" ht="13.65" customHeight="1">
      <c r="A5" t="s" s="338">
        <v>1259</v>
      </c>
      <c r="B5" t="s" s="338">
        <v>1260</v>
      </c>
      <c r="C5" t="s" s="1271">
        <v>131</v>
      </c>
      <c r="D5" s="1267"/>
      <c r="E5" s="142"/>
      <c r="F5" s="142"/>
      <c r="G5" s="142"/>
      <c r="H5" s="142"/>
      <c r="I5" s="142"/>
      <c r="J5" s="142"/>
      <c r="K5" s="142"/>
      <c r="L5" s="142"/>
      <c r="M5" s="142"/>
      <c r="N5" s="142"/>
    </row>
    <row r="6" ht="13.65" customHeight="1">
      <c r="A6" t="s" s="338">
        <v>1261</v>
      </c>
      <c r="B6" t="s" s="338">
        <v>1262</v>
      </c>
      <c r="C6" t="s" s="1271">
        <v>127</v>
      </c>
      <c r="D6" s="1267"/>
      <c r="E6" s="142"/>
      <c r="F6" s="142"/>
      <c r="G6" s="142"/>
      <c r="H6" s="142"/>
      <c r="I6" s="142"/>
      <c r="J6" s="142"/>
      <c r="K6" s="142"/>
      <c r="L6" s="142"/>
      <c r="M6" s="142"/>
      <c r="N6" s="142"/>
    </row>
    <row r="7" ht="13.65" customHeight="1">
      <c r="A7" t="s" s="338">
        <v>1263</v>
      </c>
      <c r="B7" t="s" s="338">
        <v>1264</v>
      </c>
      <c r="C7" t="s" s="1271">
        <v>138</v>
      </c>
      <c r="D7" s="1267"/>
      <c r="E7" s="142"/>
      <c r="F7" s="142"/>
      <c r="G7" s="142"/>
      <c r="H7" s="142"/>
      <c r="I7" s="142"/>
      <c r="J7" s="142"/>
      <c r="K7" s="142"/>
      <c r="L7" s="142"/>
      <c r="M7" s="142"/>
      <c r="N7" s="142"/>
    </row>
    <row r="8" ht="13.65" customHeight="1">
      <c r="A8" t="s" s="338">
        <v>1265</v>
      </c>
      <c r="B8" t="s" s="338">
        <v>1266</v>
      </c>
      <c r="C8" t="s" s="1271">
        <v>125</v>
      </c>
      <c r="D8" s="1267"/>
      <c r="E8" s="142"/>
      <c r="F8" s="142"/>
      <c r="G8" s="142"/>
      <c r="H8" s="142"/>
      <c r="I8" s="142"/>
      <c r="J8" s="142"/>
      <c r="K8" s="142"/>
      <c r="L8" s="142"/>
      <c r="M8" s="142"/>
      <c r="N8" s="142"/>
    </row>
    <row r="9" ht="13.65" customHeight="1">
      <c r="A9" t="s" s="338">
        <v>1267</v>
      </c>
      <c r="B9" t="s" s="338">
        <v>1267</v>
      </c>
      <c r="C9" t="s" s="1271">
        <v>126</v>
      </c>
      <c r="D9" s="1267"/>
      <c r="E9" s="142"/>
      <c r="F9" s="142"/>
      <c r="G9" s="142"/>
      <c r="H9" s="142"/>
      <c r="I9" s="142"/>
      <c r="J9" s="142"/>
      <c r="K9" s="142"/>
      <c r="L9" s="142"/>
      <c r="M9" s="142"/>
      <c r="N9" s="142"/>
    </row>
    <row r="10" ht="13.65" customHeight="1">
      <c r="A10" t="s" s="338">
        <v>173</v>
      </c>
      <c r="B10" t="s" s="338">
        <v>1268</v>
      </c>
      <c r="C10" t="s" s="1272">
        <v>173</v>
      </c>
      <c r="D10" s="1267"/>
      <c r="E10" s="142"/>
      <c r="F10" s="142"/>
      <c r="G10" s="142"/>
      <c r="H10" s="142"/>
      <c r="I10" s="142"/>
      <c r="J10" s="142"/>
      <c r="K10" s="142"/>
      <c r="L10" s="142"/>
      <c r="M10" s="142"/>
      <c r="N10" s="142"/>
    </row>
    <row r="11" ht="13.65" customHeight="1">
      <c r="A11" t="s" s="338">
        <v>1269</v>
      </c>
      <c r="B11" t="s" s="338">
        <v>1270</v>
      </c>
      <c r="C11" t="s" s="1272">
        <v>182</v>
      </c>
      <c r="D11" s="1267"/>
      <c r="E11" s="142"/>
      <c r="F11" s="142"/>
      <c r="G11" s="142"/>
      <c r="H11" s="142"/>
      <c r="I11" s="142"/>
      <c r="J11" s="142"/>
      <c r="K11" s="142"/>
      <c r="L11" s="142"/>
      <c r="M11" s="142"/>
      <c r="N11" s="142"/>
    </row>
    <row r="12" ht="13.65" customHeight="1">
      <c r="A12" t="s" s="338">
        <v>1271</v>
      </c>
      <c r="B12" t="s" s="338">
        <v>1272</v>
      </c>
      <c r="C12" t="s" s="1271">
        <v>1273</v>
      </c>
      <c r="D12" s="1267"/>
      <c r="E12" s="142"/>
      <c r="F12" s="142"/>
      <c r="G12" s="142"/>
      <c r="H12" s="142"/>
      <c r="I12" s="142"/>
      <c r="J12" s="142"/>
      <c r="K12" s="142"/>
      <c r="L12" s="142"/>
      <c r="M12" s="142"/>
      <c r="N12" s="142"/>
    </row>
    <row r="13" ht="13.65" customHeight="1">
      <c r="A13" t="s" s="338">
        <v>1274</v>
      </c>
      <c r="B13" t="s" s="338">
        <v>1275</v>
      </c>
      <c r="C13" t="s" s="1271">
        <v>175</v>
      </c>
      <c r="D13" s="1267"/>
      <c r="E13" s="142"/>
      <c r="F13" s="142"/>
      <c r="G13" s="142"/>
      <c r="H13" s="142"/>
      <c r="I13" s="142"/>
      <c r="J13" s="142"/>
      <c r="K13" s="142"/>
      <c r="L13" s="142"/>
      <c r="M13" s="142"/>
      <c r="N13" s="142"/>
    </row>
    <row r="14" ht="13.65" customHeight="1">
      <c r="A14" t="s" s="338">
        <v>1276</v>
      </c>
      <c r="B14" t="s" s="338">
        <v>1277</v>
      </c>
      <c r="C14" t="s" s="1271">
        <v>176</v>
      </c>
      <c r="D14" s="1267"/>
      <c r="E14" s="142"/>
      <c r="F14" s="142"/>
      <c r="G14" s="142"/>
      <c r="H14" s="142"/>
      <c r="I14" s="142"/>
      <c r="J14" s="142"/>
      <c r="K14" s="142"/>
      <c r="L14" s="142"/>
      <c r="M14" s="142"/>
      <c r="N14" s="142"/>
    </row>
    <row r="15" ht="13.65" customHeight="1">
      <c r="A15" t="s" s="338">
        <v>1278</v>
      </c>
      <c r="B15" t="s" s="338">
        <v>1279</v>
      </c>
      <c r="C15" t="s" s="1271">
        <v>183</v>
      </c>
      <c r="D15" s="1267"/>
      <c r="E15" s="142"/>
      <c r="F15" s="142"/>
      <c r="G15" s="142"/>
      <c r="H15" s="142"/>
      <c r="I15" s="142"/>
      <c r="J15" s="142"/>
      <c r="K15" s="142"/>
      <c r="L15" s="142"/>
      <c r="M15" s="142"/>
      <c r="N15" s="142"/>
    </row>
    <row r="16" ht="25.5" customHeight="1">
      <c r="A16" t="s" s="1271">
        <v>1280</v>
      </c>
      <c r="B16" t="s" s="338">
        <v>1281</v>
      </c>
      <c r="C16" t="s" s="1273">
        <v>177</v>
      </c>
      <c r="D16" s="1267"/>
      <c r="E16" s="142"/>
      <c r="F16" s="142"/>
      <c r="G16" s="142"/>
      <c r="H16" s="142"/>
      <c r="I16" s="142"/>
      <c r="J16" s="142"/>
      <c r="K16" s="142"/>
      <c r="L16" s="142"/>
      <c r="M16" s="142"/>
      <c r="N16" s="142"/>
    </row>
    <row r="17" ht="25.5" customHeight="1">
      <c r="A17" t="s" s="1271">
        <v>1282</v>
      </c>
      <c r="B17" t="s" s="338">
        <v>1283</v>
      </c>
      <c r="C17" t="s" s="1271">
        <v>184</v>
      </c>
      <c r="D17" s="1267"/>
      <c r="E17" s="142"/>
      <c r="F17" s="142"/>
      <c r="G17" s="142"/>
      <c r="H17" s="142"/>
      <c r="I17" s="142"/>
      <c r="J17" s="142"/>
      <c r="K17" s="142"/>
      <c r="L17" s="142"/>
      <c r="M17" s="142"/>
      <c r="N17" s="142"/>
    </row>
    <row r="18" ht="13.65" customHeight="1">
      <c r="A18" t="s" s="338">
        <v>1284</v>
      </c>
      <c r="B18" t="s" s="338">
        <v>1285</v>
      </c>
      <c r="C18" t="s" s="1271">
        <v>178</v>
      </c>
      <c r="D18" s="1267"/>
      <c r="E18" s="142"/>
      <c r="F18" s="142"/>
      <c r="G18" s="142"/>
      <c r="H18" s="142"/>
      <c r="I18" s="142"/>
      <c r="J18" s="142"/>
      <c r="K18" s="142"/>
      <c r="L18" s="142"/>
      <c r="M18" s="142"/>
      <c r="N18" s="142"/>
    </row>
    <row r="19" ht="13.65" customHeight="1">
      <c r="A19" t="s" s="338">
        <v>1286</v>
      </c>
      <c r="B19" t="s" s="338">
        <v>1287</v>
      </c>
      <c r="C19" t="s" s="1271">
        <v>185</v>
      </c>
      <c r="D19" s="1267"/>
      <c r="E19" s="142"/>
      <c r="F19" s="142"/>
      <c r="G19" s="142"/>
      <c r="H19" s="142"/>
      <c r="I19" s="142"/>
      <c r="J19" s="142"/>
      <c r="K19" s="142"/>
      <c r="L19" s="142"/>
      <c r="M19" s="142"/>
      <c r="N19" s="142"/>
    </row>
    <row r="20" ht="13.65" customHeight="1">
      <c r="A20" t="s" s="338">
        <v>1288</v>
      </c>
      <c r="B20" t="s" s="338">
        <v>1288</v>
      </c>
      <c r="C20" t="s" s="1271">
        <v>179</v>
      </c>
      <c r="D20" s="1267"/>
      <c r="E20" s="142"/>
      <c r="F20" s="142"/>
      <c r="G20" s="142"/>
      <c r="H20" s="142"/>
      <c r="I20" s="142"/>
      <c r="J20" s="142"/>
      <c r="K20" s="142"/>
      <c r="L20" s="142"/>
      <c r="M20" s="142"/>
      <c r="N20" s="142"/>
    </row>
    <row r="21" ht="25.5" customHeight="1">
      <c r="A21" t="s" s="1271">
        <v>1289</v>
      </c>
      <c r="B21" t="s" s="338">
        <v>1290</v>
      </c>
      <c r="C21" t="s" s="1271">
        <v>141</v>
      </c>
      <c r="D21" s="1267"/>
      <c r="E21" s="142"/>
      <c r="F21" s="142"/>
      <c r="G21" s="142"/>
      <c r="H21" s="142"/>
      <c r="I21" s="142"/>
      <c r="J21" s="142"/>
      <c r="K21" s="142"/>
      <c r="L21" s="142"/>
      <c r="M21" s="142"/>
      <c r="N21" s="142"/>
    </row>
    <row r="22" ht="25.5" customHeight="1">
      <c r="A22" t="s" s="1271">
        <v>1291</v>
      </c>
      <c r="B22" t="s" s="338">
        <v>1292</v>
      </c>
      <c r="C22" t="s" s="1271">
        <v>1293</v>
      </c>
      <c r="D22" s="1267"/>
      <c r="E22" s="142"/>
      <c r="F22" s="142"/>
      <c r="G22" s="142"/>
      <c r="H22" s="142"/>
      <c r="I22" s="142"/>
      <c r="J22" s="142"/>
      <c r="K22" s="142"/>
      <c r="L22" s="142"/>
      <c r="M22" s="142"/>
      <c r="N22" s="142"/>
    </row>
    <row r="23" ht="13.65" customHeight="1">
      <c r="A23" t="s" s="338">
        <v>1294</v>
      </c>
      <c r="B23" t="s" s="338">
        <v>1295</v>
      </c>
      <c r="C23" t="s" s="1271">
        <v>189</v>
      </c>
      <c r="D23" s="1267"/>
      <c r="E23" s="142"/>
      <c r="F23" s="142"/>
      <c r="G23" s="142"/>
      <c r="H23" s="142"/>
      <c r="I23" s="142"/>
      <c r="J23" s="142"/>
      <c r="K23" s="142"/>
      <c r="L23" s="142"/>
      <c r="M23" s="142"/>
      <c r="N23" s="142"/>
    </row>
    <row r="24" ht="13.65" customHeight="1">
      <c r="A24" t="s" s="338">
        <v>1296</v>
      </c>
      <c r="B24" t="s" s="338">
        <v>1297</v>
      </c>
      <c r="C24" t="s" s="1271">
        <v>194</v>
      </c>
      <c r="D24" s="1267"/>
      <c r="E24" s="142"/>
      <c r="F24" s="142"/>
      <c r="G24" s="142"/>
      <c r="H24" s="142"/>
      <c r="I24" s="142"/>
      <c r="J24" s="142"/>
      <c r="K24" s="142"/>
      <c r="L24" s="142"/>
      <c r="M24" s="142"/>
      <c r="N24" s="142"/>
    </row>
    <row r="25" ht="13.65" customHeight="1">
      <c r="A25" t="s" s="338">
        <v>1298</v>
      </c>
      <c r="B25" t="s" s="338">
        <v>1299</v>
      </c>
      <c r="C25" t="s" s="1271">
        <v>196</v>
      </c>
      <c r="D25" s="1267"/>
      <c r="E25" s="142"/>
      <c r="F25" s="142"/>
      <c r="G25" s="142"/>
      <c r="H25" s="142"/>
      <c r="I25" s="142"/>
      <c r="J25" s="142"/>
      <c r="K25" s="142"/>
      <c r="L25" s="142"/>
      <c r="M25" s="142"/>
      <c r="N25" s="142"/>
    </row>
    <row r="26" ht="13.65" customHeight="1">
      <c r="A26" t="s" s="338">
        <v>1300</v>
      </c>
      <c r="B26" t="s" s="338">
        <v>1301</v>
      </c>
      <c r="C26" t="s" s="1271">
        <v>197</v>
      </c>
      <c r="D26" s="1267"/>
      <c r="E26" s="142"/>
      <c r="F26" s="142"/>
      <c r="G26" s="142"/>
      <c r="H26" s="142"/>
      <c r="I26" s="142"/>
      <c r="J26" s="142"/>
      <c r="K26" s="142"/>
      <c r="L26" s="142"/>
      <c r="M26" s="142"/>
      <c r="N26" s="142"/>
    </row>
    <row r="27" ht="25.5" customHeight="1">
      <c r="A27" t="s" s="1271">
        <v>1302</v>
      </c>
      <c r="B27" t="s" s="1271">
        <v>1303</v>
      </c>
      <c r="C27" t="s" s="1271">
        <v>210</v>
      </c>
      <c r="D27" s="1267"/>
      <c r="E27" s="142"/>
      <c r="F27" s="142"/>
      <c r="G27" s="142"/>
      <c r="H27" s="142"/>
      <c r="I27" s="142"/>
      <c r="J27" s="142"/>
      <c r="K27" s="142"/>
      <c r="L27" s="142"/>
      <c r="M27" s="142"/>
      <c r="N27" s="142"/>
    </row>
    <row r="28" ht="27" customHeight="1">
      <c r="A28" t="s" s="1271">
        <v>1304</v>
      </c>
      <c r="B28" t="s" s="1271">
        <v>1305</v>
      </c>
      <c r="C28" t="s" s="1271">
        <v>1306</v>
      </c>
      <c r="D28" s="1267"/>
      <c r="E28" s="142"/>
      <c r="F28" s="142"/>
      <c r="G28" s="142"/>
      <c r="H28" s="142"/>
      <c r="I28" s="142"/>
      <c r="J28" s="142"/>
      <c r="K28" s="142"/>
      <c r="L28" s="142"/>
      <c r="M28" s="142"/>
      <c r="N28" s="142"/>
    </row>
    <row r="29" ht="82.5" customHeight="1">
      <c r="A29" t="s" s="1274">
        <v>1307</v>
      </c>
      <c r="B29" t="s" s="1274">
        <v>1308</v>
      </c>
      <c r="C29" t="s" s="1274">
        <v>263</v>
      </c>
      <c r="D29" s="1267"/>
      <c r="E29" s="142"/>
      <c r="F29" s="142"/>
      <c r="G29" s="142"/>
      <c r="H29" s="142"/>
      <c r="I29" s="142"/>
      <c r="J29" s="142"/>
      <c r="K29" s="142"/>
      <c r="L29" s="142"/>
      <c r="M29" s="142"/>
      <c r="N29" s="142"/>
    </row>
    <row r="30" ht="13.65" customHeight="1">
      <c r="A30" t="s" s="338">
        <v>1309</v>
      </c>
      <c r="B30" t="s" s="338">
        <v>1310</v>
      </c>
      <c r="C30" t="s" s="1271">
        <v>1311</v>
      </c>
      <c r="D30" s="1267"/>
      <c r="E30" s="142"/>
      <c r="F30" s="142"/>
      <c r="G30" s="142"/>
      <c r="H30" s="142"/>
      <c r="I30" s="142"/>
      <c r="J30" s="142"/>
      <c r="K30" s="142"/>
      <c r="L30" s="142"/>
      <c r="M30" s="142"/>
      <c r="N30" s="142"/>
    </row>
    <row r="31" ht="13.65" customHeight="1">
      <c r="A31" t="s" s="338">
        <v>1312</v>
      </c>
      <c r="B31" t="s" s="338">
        <v>1313</v>
      </c>
      <c r="C31" t="s" s="1271">
        <v>124</v>
      </c>
      <c r="D31" s="1267"/>
      <c r="E31" s="142"/>
      <c r="F31" s="142"/>
      <c r="G31" s="142"/>
      <c r="H31" s="142"/>
      <c r="I31" s="142"/>
      <c r="J31" s="142"/>
      <c r="K31" s="142"/>
      <c r="L31" s="142"/>
      <c r="M31" s="142"/>
      <c r="N31" s="142"/>
    </row>
    <row r="32" ht="13.65" customHeight="1">
      <c r="A32" t="s" s="338">
        <v>1314</v>
      </c>
      <c r="B32" t="s" s="338">
        <v>1315</v>
      </c>
      <c r="C32" t="s" s="1271">
        <v>1316</v>
      </c>
      <c r="D32" s="1267"/>
      <c r="E32" s="142"/>
      <c r="F32" s="142"/>
      <c r="G32" s="142"/>
      <c r="H32" s="142"/>
      <c r="I32" s="142"/>
      <c r="J32" s="142"/>
      <c r="K32" s="142"/>
      <c r="L32" s="142"/>
      <c r="M32" s="142"/>
      <c r="N32" s="142"/>
    </row>
    <row r="33" ht="25.5" customHeight="1">
      <c r="A33" t="s" s="1275">
        <v>1317</v>
      </c>
      <c r="B33" t="s" s="1274">
        <v>1318</v>
      </c>
      <c r="C33" t="s" s="1276">
        <v>1319</v>
      </c>
      <c r="D33" s="1267"/>
      <c r="E33" s="142"/>
      <c r="F33" s="142"/>
      <c r="G33" s="142"/>
      <c r="H33" s="142"/>
      <c r="I33" s="142"/>
      <c r="J33" s="142"/>
      <c r="K33" s="142"/>
      <c r="L33" s="142"/>
      <c r="M33" s="142"/>
      <c r="N33" s="142"/>
    </row>
    <row r="34" ht="73.5" customHeight="1">
      <c r="A34" t="s" s="1271">
        <v>1320</v>
      </c>
      <c r="B34" t="s" s="1274">
        <v>1321</v>
      </c>
      <c r="C34" t="s" s="1274">
        <v>1322</v>
      </c>
      <c r="D34" s="1277"/>
      <c r="E34" s="1278"/>
      <c r="F34" s="1278"/>
      <c r="G34" s="1278"/>
      <c r="H34" s="1278"/>
      <c r="I34" s="1278"/>
      <c r="J34" s="1278"/>
      <c r="K34" s="1278"/>
      <c r="L34" s="1278"/>
      <c r="M34" s="1278"/>
      <c r="N34" s="142"/>
    </row>
    <row r="35" ht="13.65" customHeight="1">
      <c r="A35" t="s" s="338">
        <v>1323</v>
      </c>
      <c r="B35" t="s" s="338">
        <v>1324</v>
      </c>
      <c r="C35" t="s" s="1271">
        <v>271</v>
      </c>
      <c r="D35" s="1267"/>
      <c r="E35" s="142"/>
      <c r="F35" s="142"/>
      <c r="G35" s="142"/>
      <c r="H35" s="142"/>
      <c r="I35" s="142"/>
      <c r="J35" s="142"/>
      <c r="K35" s="142"/>
      <c r="L35" s="142"/>
      <c r="M35" s="142"/>
      <c r="N35" s="142"/>
    </row>
    <row r="36" ht="13.65" customHeight="1">
      <c r="A36" t="s" s="338">
        <v>1325</v>
      </c>
      <c r="B36" t="s" s="338">
        <v>960</v>
      </c>
      <c r="C36" t="s" s="1271">
        <v>278</v>
      </c>
      <c r="D36" s="1267"/>
      <c r="E36" s="142"/>
      <c r="F36" s="142"/>
      <c r="G36" s="142"/>
      <c r="H36" s="142"/>
      <c r="I36" s="142"/>
      <c r="J36" s="142"/>
      <c r="K36" s="142"/>
      <c r="L36" s="142"/>
      <c r="M36" s="142"/>
      <c r="N36" s="142"/>
    </row>
    <row r="37" ht="15.75" customHeight="1">
      <c r="A37" t="s" s="338">
        <v>1326</v>
      </c>
      <c r="B37" t="s" s="338">
        <v>1327</v>
      </c>
      <c r="C37" t="s" s="1271">
        <v>1328</v>
      </c>
      <c r="D37" s="1267"/>
      <c r="E37" s="142"/>
      <c r="F37" s="142"/>
      <c r="G37" s="142"/>
      <c r="H37" s="142"/>
      <c r="I37" s="142"/>
      <c r="J37" s="142"/>
      <c r="K37" s="142"/>
      <c r="L37" s="142"/>
      <c r="M37" s="142"/>
      <c r="N37" s="142"/>
    </row>
    <row r="38" ht="13.65" customHeight="1">
      <c r="A38" t="s" s="338">
        <v>290</v>
      </c>
      <c r="B38" t="s" s="338">
        <v>1329</v>
      </c>
      <c r="C38" t="s" s="1271">
        <v>279</v>
      </c>
      <c r="D38" s="1267"/>
      <c r="E38" s="142"/>
      <c r="F38" s="142"/>
      <c r="G38" s="142"/>
      <c r="H38" s="142"/>
      <c r="I38" s="142"/>
      <c r="J38" s="142"/>
      <c r="K38" s="142"/>
      <c r="L38" s="142"/>
      <c r="M38" s="142"/>
      <c r="N38" s="142"/>
    </row>
    <row r="39" ht="13.65" customHeight="1">
      <c r="A39" t="s" s="338">
        <v>301</v>
      </c>
      <c r="B39" t="s" s="338">
        <v>1330</v>
      </c>
      <c r="C39" t="s" s="1271">
        <v>280</v>
      </c>
      <c r="D39" s="1267"/>
      <c r="E39" s="142"/>
      <c r="F39" s="142"/>
      <c r="G39" s="142"/>
      <c r="H39" s="142"/>
      <c r="I39" s="142"/>
      <c r="J39" s="142"/>
      <c r="K39" s="142"/>
      <c r="L39" s="142"/>
      <c r="M39" s="142"/>
      <c r="N39" s="142"/>
    </row>
    <row r="40" ht="13.65" customHeight="1">
      <c r="A40" t="s" s="338">
        <v>1331</v>
      </c>
      <c r="B40" t="s" s="338">
        <v>1332</v>
      </c>
      <c r="C40" t="s" s="1271">
        <v>275</v>
      </c>
      <c r="D40" s="1267"/>
      <c r="E40" s="142"/>
      <c r="F40" s="142"/>
      <c r="G40" s="142"/>
      <c r="H40" s="142"/>
      <c r="I40" s="142"/>
      <c r="J40" s="142"/>
      <c r="K40" s="142"/>
      <c r="L40" s="142"/>
      <c r="M40" s="142"/>
      <c r="N40" s="142"/>
    </row>
    <row r="41" ht="13.65" customHeight="1">
      <c r="A41" t="s" s="338">
        <v>1333</v>
      </c>
      <c r="B41" t="s" s="338">
        <v>1334</v>
      </c>
      <c r="C41" t="s" s="1271">
        <v>213</v>
      </c>
      <c r="D41" s="1267"/>
      <c r="E41" s="142"/>
      <c r="F41" s="142"/>
      <c r="G41" s="142"/>
      <c r="H41" s="142"/>
      <c r="I41" s="142"/>
      <c r="J41" s="142"/>
      <c r="K41" s="142"/>
      <c r="L41" s="142"/>
      <c r="M41" s="142"/>
      <c r="N41" s="142"/>
    </row>
    <row r="42" ht="13.65" customHeight="1">
      <c r="A42" t="s" s="338">
        <v>1335</v>
      </c>
      <c r="B42" t="s" s="338">
        <v>1336</v>
      </c>
      <c r="C42" t="s" s="1271">
        <v>689</v>
      </c>
      <c r="D42" s="1267"/>
      <c r="E42" s="142"/>
      <c r="F42" s="142"/>
      <c r="G42" s="142"/>
      <c r="H42" s="142"/>
      <c r="I42" s="142"/>
      <c r="J42" s="142"/>
      <c r="K42" s="142"/>
      <c r="L42" s="142"/>
      <c r="M42" s="142"/>
      <c r="N42" s="142"/>
    </row>
    <row r="43" ht="25.5" customHeight="1">
      <c r="A43" t="s" s="1271">
        <v>1337</v>
      </c>
      <c r="B43" t="s" s="1271">
        <v>1338</v>
      </c>
      <c r="C43" t="s" s="1271">
        <v>314</v>
      </c>
      <c r="D43" s="1267"/>
      <c r="E43" s="142"/>
      <c r="F43" s="142"/>
      <c r="G43" s="142"/>
      <c r="H43" s="142"/>
      <c r="I43" s="142"/>
      <c r="J43" s="142"/>
      <c r="K43" s="142"/>
      <c r="L43" s="142"/>
      <c r="M43" s="142"/>
      <c r="N43" s="142"/>
    </row>
    <row r="44" ht="25.5" customHeight="1">
      <c r="A44" t="s" s="1271">
        <v>1339</v>
      </c>
      <c r="B44" t="s" s="1271">
        <v>1340</v>
      </c>
      <c r="C44" t="s" s="1271">
        <v>315</v>
      </c>
      <c r="D44" s="1267"/>
      <c r="E44" s="142"/>
      <c r="F44" s="142"/>
      <c r="G44" s="142"/>
      <c r="H44" s="142"/>
      <c r="I44" s="142"/>
      <c r="J44" s="142"/>
      <c r="K44" s="142"/>
      <c r="L44" s="142"/>
      <c r="M44" s="142"/>
      <c r="N44" s="142"/>
    </row>
    <row r="45" ht="13.65" customHeight="1">
      <c r="A45" t="s" s="1271">
        <v>1341</v>
      </c>
      <c r="B45" t="s" s="1271">
        <v>1342</v>
      </c>
      <c r="C45" t="s" s="1271">
        <v>1343</v>
      </c>
      <c r="D45" s="1267"/>
      <c r="E45" s="142"/>
      <c r="F45" s="142"/>
      <c r="G45" s="142"/>
      <c r="H45" s="142"/>
      <c r="I45" s="142"/>
      <c r="J45" s="142"/>
      <c r="K45" s="142"/>
      <c r="L45" s="142"/>
      <c r="M45" s="142"/>
      <c r="N45" s="142"/>
    </row>
    <row r="46" ht="13.65" customHeight="1">
      <c r="A46" t="s" s="338">
        <v>1344</v>
      </c>
      <c r="B46" t="s" s="338">
        <v>1345</v>
      </c>
      <c r="C46" t="s" s="1272">
        <v>1346</v>
      </c>
      <c r="D46" s="1267"/>
      <c r="E46" s="142"/>
      <c r="F46" s="142"/>
      <c r="G46" s="142"/>
      <c r="H46" s="142"/>
      <c r="I46" s="142"/>
      <c r="J46" s="142"/>
      <c r="K46" s="142"/>
      <c r="L46" s="142"/>
      <c r="M46" s="142"/>
      <c r="N46" s="142"/>
    </row>
    <row r="47" ht="13.65" customHeight="1">
      <c r="A47" t="s" s="338">
        <v>1347</v>
      </c>
      <c r="B47" t="s" s="338">
        <v>1348</v>
      </c>
      <c r="C47" t="s" s="1271">
        <v>324</v>
      </c>
      <c r="D47" s="1267"/>
      <c r="E47" s="142"/>
      <c r="F47" s="142"/>
      <c r="G47" s="142"/>
      <c r="H47" s="142"/>
      <c r="I47" s="142"/>
      <c r="J47" s="142"/>
      <c r="K47" s="142"/>
      <c r="L47" s="142"/>
      <c r="M47" s="142"/>
      <c r="N47" s="142"/>
    </row>
    <row r="48" ht="13.65" customHeight="1">
      <c r="A48" t="s" s="338">
        <v>1349</v>
      </c>
      <c r="B48" t="s" s="338">
        <v>1350</v>
      </c>
      <c r="C48" t="s" s="1271">
        <v>325</v>
      </c>
      <c r="D48" s="1267"/>
      <c r="E48" s="142"/>
      <c r="F48" s="142"/>
      <c r="G48" s="142"/>
      <c r="H48" s="142"/>
      <c r="I48" s="142"/>
      <c r="J48" s="142"/>
      <c r="K48" s="142"/>
      <c r="L48" s="142"/>
      <c r="M48" s="142"/>
      <c r="N48" s="142"/>
    </row>
    <row r="49" ht="13.65" customHeight="1">
      <c r="A49" t="s" s="338">
        <v>1351</v>
      </c>
      <c r="B49" t="s" s="338">
        <v>1352</v>
      </c>
      <c r="C49" t="s" s="1271">
        <v>326</v>
      </c>
      <c r="D49" s="1267"/>
      <c r="E49" s="142"/>
      <c r="F49" s="142"/>
      <c r="G49" s="142"/>
      <c r="H49" s="142"/>
      <c r="I49" s="142"/>
      <c r="J49" s="142"/>
      <c r="K49" s="142"/>
      <c r="L49" s="142"/>
      <c r="M49" s="142"/>
      <c r="N49" s="142"/>
    </row>
    <row r="50" ht="13.65" customHeight="1">
      <c r="A50" t="s" s="338">
        <v>1353</v>
      </c>
      <c r="B50" t="s" s="338">
        <v>1354</v>
      </c>
      <c r="C50" t="s" s="1271">
        <v>327</v>
      </c>
      <c r="D50" s="1267"/>
      <c r="E50" s="142"/>
      <c r="F50" s="142"/>
      <c r="G50" s="142"/>
      <c r="H50" s="142"/>
      <c r="I50" s="142"/>
      <c r="J50" s="142"/>
      <c r="K50" s="142"/>
      <c r="L50" s="142"/>
      <c r="M50" s="142"/>
      <c r="N50" s="142"/>
    </row>
    <row r="51" ht="13.65" customHeight="1">
      <c r="A51" t="s" s="1271">
        <v>1355</v>
      </c>
      <c r="B51" t="s" s="1271">
        <v>1356</v>
      </c>
      <c r="C51" t="s" s="1271">
        <v>310</v>
      </c>
      <c r="D51" s="1267"/>
      <c r="E51" s="142"/>
      <c r="F51" s="142"/>
      <c r="G51" s="142"/>
      <c r="H51" s="142"/>
      <c r="I51" s="142"/>
      <c r="J51" s="142"/>
      <c r="K51" s="142"/>
      <c r="L51" s="142"/>
      <c r="M51" s="142"/>
      <c r="N51" s="142"/>
    </row>
    <row r="52" ht="13.65" customHeight="1">
      <c r="A52" t="s" s="1271">
        <v>1357</v>
      </c>
      <c r="B52" t="s" s="1271">
        <v>1357</v>
      </c>
      <c r="C52" t="s" s="1271">
        <v>318</v>
      </c>
      <c r="D52" s="1267"/>
      <c r="E52" s="142"/>
      <c r="F52" s="142"/>
      <c r="G52" s="142"/>
      <c r="H52" s="142"/>
      <c r="I52" s="142"/>
      <c r="J52" s="142"/>
      <c r="K52" s="142"/>
      <c r="L52" s="142"/>
      <c r="M52" s="142"/>
      <c r="N52" s="142"/>
    </row>
    <row r="53" ht="40.5" customHeight="1">
      <c r="A53" t="s" s="1274">
        <v>1358</v>
      </c>
      <c r="B53" t="s" s="1274">
        <v>1359</v>
      </c>
      <c r="C53" t="s" s="1274">
        <v>163</v>
      </c>
      <c r="D53" s="1267"/>
      <c r="E53" s="142"/>
      <c r="F53" s="142"/>
      <c r="G53" s="142"/>
      <c r="H53" s="142"/>
      <c r="I53" s="142"/>
      <c r="J53" s="142"/>
      <c r="K53" s="142"/>
      <c r="L53" s="142"/>
      <c r="M53" s="142"/>
      <c r="N53" s="142"/>
    </row>
    <row r="54" ht="51" customHeight="1">
      <c r="A54" t="s" s="1271">
        <v>1360</v>
      </c>
      <c r="B54" t="s" s="1271">
        <v>1361</v>
      </c>
      <c r="C54" t="s" s="1271">
        <v>1362</v>
      </c>
      <c r="D54" s="1267"/>
      <c r="E54" s="142"/>
      <c r="F54" s="142"/>
      <c r="G54" s="142"/>
      <c r="H54" s="142"/>
      <c r="I54" s="142"/>
      <c r="J54" s="142"/>
      <c r="K54" s="142"/>
      <c r="L54" s="142"/>
      <c r="M54" s="142"/>
      <c r="N54" s="142"/>
    </row>
    <row r="55" ht="14.25" customHeight="1">
      <c r="A55" t="s" s="338">
        <v>1363</v>
      </c>
      <c r="B55" t="s" s="338">
        <v>1364</v>
      </c>
      <c r="C55" t="s" s="1271">
        <v>1365</v>
      </c>
      <c r="D55" s="1267"/>
      <c r="E55" s="142"/>
      <c r="F55" s="142"/>
      <c r="G55" s="142"/>
      <c r="H55" s="142"/>
      <c r="I55" s="142"/>
      <c r="J55" s="142"/>
      <c r="K55" s="142"/>
      <c r="L55" s="142"/>
      <c r="M55" s="142"/>
      <c r="N55" s="142"/>
    </row>
    <row r="56" ht="13.65" customHeight="1">
      <c r="A56" t="s" s="338">
        <v>1366</v>
      </c>
      <c r="B56" t="s" s="338">
        <v>1367</v>
      </c>
      <c r="C56" t="s" s="1271">
        <v>221</v>
      </c>
      <c r="D56" s="1267"/>
      <c r="E56" s="142"/>
      <c r="F56" s="142"/>
      <c r="G56" s="142"/>
      <c r="H56" s="142"/>
      <c r="I56" s="142"/>
      <c r="J56" s="142"/>
      <c r="K56" s="142"/>
      <c r="L56" s="142"/>
      <c r="M56" s="142"/>
      <c r="N56" s="142"/>
    </row>
    <row r="57" ht="13.65" customHeight="1">
      <c r="A57" t="s" s="338">
        <v>1368</v>
      </c>
      <c r="B57" t="s" s="338">
        <v>1369</v>
      </c>
      <c r="C57" t="s" s="1271">
        <v>201</v>
      </c>
      <c r="D57" s="1267"/>
      <c r="E57" s="142"/>
      <c r="F57" s="142"/>
      <c r="G57" s="142"/>
      <c r="H57" s="142"/>
      <c r="I57" s="142"/>
      <c r="J57" s="142"/>
      <c r="K57" s="142"/>
      <c r="L57" s="142"/>
      <c r="M57" s="142"/>
      <c r="N57" s="142"/>
    </row>
    <row r="58" ht="13.65" customHeight="1">
      <c r="A58" t="s" s="1271">
        <v>1370</v>
      </c>
      <c r="B58" t="s" s="338">
        <v>1371</v>
      </c>
      <c r="C58" t="s" s="1271">
        <v>222</v>
      </c>
      <c r="D58" s="1267"/>
      <c r="E58" s="142"/>
      <c r="F58" s="142"/>
      <c r="G58" s="142"/>
      <c r="H58" s="142"/>
      <c r="I58" s="142"/>
      <c r="J58" s="142"/>
      <c r="K58" s="142"/>
      <c r="L58" s="142"/>
      <c r="M58" s="142"/>
      <c r="N58" s="142"/>
    </row>
    <row r="59" ht="13.65" customHeight="1">
      <c r="A59" t="s" s="338">
        <v>1372</v>
      </c>
      <c r="B59" t="s" s="338">
        <v>1373</v>
      </c>
      <c r="C59" t="s" s="1272">
        <v>211</v>
      </c>
      <c r="D59" s="1267"/>
      <c r="E59" s="142"/>
      <c r="F59" s="142"/>
      <c r="G59" s="142"/>
      <c r="H59" s="142"/>
      <c r="I59" s="142"/>
      <c r="J59" s="142"/>
      <c r="K59" s="142"/>
      <c r="L59" s="142"/>
      <c r="M59" s="142"/>
      <c r="N59" s="142"/>
    </row>
    <row r="60" ht="13.65" customHeight="1">
      <c r="A60" t="s" s="338">
        <v>1374</v>
      </c>
      <c r="B60" t="s" s="338">
        <v>1375</v>
      </c>
      <c r="C60" t="s" s="1271">
        <v>1376</v>
      </c>
      <c r="D60" s="1267"/>
      <c r="E60" s="142"/>
      <c r="F60" s="142"/>
      <c r="G60" s="142"/>
      <c r="H60" s="142"/>
      <c r="I60" s="142"/>
      <c r="J60" s="142"/>
      <c r="K60" s="142"/>
      <c r="L60" s="142"/>
      <c r="M60" s="142"/>
      <c r="N60" s="142"/>
    </row>
    <row r="61" ht="13.65" customHeight="1">
      <c r="A61" t="s" s="338">
        <v>1377</v>
      </c>
      <c r="B61" t="s" s="338">
        <v>1378</v>
      </c>
      <c r="C61" t="s" s="1271">
        <v>1379</v>
      </c>
      <c r="D61" s="1267"/>
      <c r="E61" s="142"/>
      <c r="F61" s="142"/>
      <c r="G61" s="142"/>
      <c r="H61" s="142"/>
      <c r="I61" s="142"/>
      <c r="J61" s="142"/>
      <c r="K61" s="142"/>
      <c r="L61" s="142"/>
      <c r="M61" s="142"/>
      <c r="N61" s="142"/>
    </row>
    <row r="62" ht="13.65" customHeight="1">
      <c r="A62" t="s" s="338">
        <v>1380</v>
      </c>
      <c r="B62" t="s" s="338">
        <v>1381</v>
      </c>
      <c r="C62" t="s" s="1271">
        <v>1382</v>
      </c>
      <c r="D62" s="1267"/>
      <c r="E62" s="142"/>
      <c r="F62" s="142"/>
      <c r="G62" s="142"/>
      <c r="H62" s="142"/>
      <c r="I62" s="142"/>
      <c r="J62" s="142"/>
      <c r="K62" s="142"/>
      <c r="L62" s="142"/>
      <c r="M62" s="142"/>
      <c r="N62" s="142"/>
    </row>
    <row r="63" ht="13.65" customHeight="1">
      <c r="A63" t="s" s="338">
        <v>1383</v>
      </c>
      <c r="B63" t="s" s="338">
        <v>1384</v>
      </c>
      <c r="C63" t="s" s="1271">
        <v>1385</v>
      </c>
      <c r="D63" s="1267"/>
      <c r="E63" s="142"/>
      <c r="F63" s="142"/>
      <c r="G63" s="142"/>
      <c r="H63" s="142"/>
      <c r="I63" s="142"/>
      <c r="J63" s="142"/>
      <c r="K63" s="142"/>
      <c r="L63" s="142"/>
      <c r="M63" s="142"/>
      <c r="N63" s="142"/>
    </row>
    <row r="64" ht="13.65" customHeight="1">
      <c r="A64" t="s" s="338">
        <v>1386</v>
      </c>
      <c r="B64" t="s" s="338">
        <v>1387</v>
      </c>
      <c r="C64" t="s" s="1271">
        <v>1388</v>
      </c>
      <c r="D64" s="1267"/>
      <c r="E64" s="142"/>
      <c r="F64" s="142"/>
      <c r="G64" s="142"/>
      <c r="H64" s="142"/>
      <c r="I64" s="142"/>
      <c r="J64" s="142"/>
      <c r="K64" s="142"/>
      <c r="L64" s="142"/>
      <c r="M64" s="142"/>
      <c r="N64" s="142"/>
    </row>
    <row r="65" ht="13.65" customHeight="1">
      <c r="A65" s="811"/>
      <c r="B65" t="s" s="338">
        <v>1389</v>
      </c>
      <c r="C65" t="s" s="1271">
        <v>1390</v>
      </c>
      <c r="D65" s="1267"/>
      <c r="E65" s="142"/>
      <c r="F65" s="142"/>
      <c r="G65" s="142"/>
      <c r="H65" s="142"/>
      <c r="I65" s="142"/>
      <c r="J65" s="142"/>
      <c r="K65" s="142"/>
      <c r="L65" s="142"/>
      <c r="M65" s="142"/>
      <c r="N65" s="142"/>
    </row>
    <row r="66" ht="13.65" customHeight="1">
      <c r="A66" t="s" s="338">
        <v>1391</v>
      </c>
      <c r="B66" t="s" s="338">
        <v>1392</v>
      </c>
      <c r="C66" t="s" s="1271">
        <v>1393</v>
      </c>
      <c r="D66" s="1267"/>
      <c r="E66" s="142"/>
      <c r="F66" s="142"/>
      <c r="G66" s="142"/>
      <c r="H66" s="142"/>
      <c r="I66" s="142"/>
      <c r="J66" s="142"/>
      <c r="K66" s="142"/>
      <c r="L66" s="142"/>
      <c r="M66" s="142"/>
      <c r="N66" s="142"/>
    </row>
    <row r="67" ht="13.65" customHeight="1">
      <c r="A67" t="s" s="338">
        <v>1394</v>
      </c>
      <c r="B67" t="s" s="338">
        <v>1395</v>
      </c>
      <c r="C67" t="s" s="1271">
        <v>1396</v>
      </c>
      <c r="D67" s="1267"/>
      <c r="E67" s="142"/>
      <c r="F67" s="142"/>
      <c r="G67" s="142"/>
      <c r="H67" s="142"/>
      <c r="I67" s="142"/>
      <c r="J67" s="142"/>
      <c r="K67" s="142"/>
      <c r="L67" s="142"/>
      <c r="M67" s="142"/>
      <c r="N67" s="142"/>
    </row>
    <row r="68" ht="13.65" customHeight="1">
      <c r="A68" t="s" s="338">
        <v>1397</v>
      </c>
      <c r="B68" t="s" s="338">
        <v>1398</v>
      </c>
      <c r="C68" t="s" s="1271">
        <v>1399</v>
      </c>
      <c r="D68" s="1267"/>
      <c r="E68" s="142"/>
      <c r="F68" s="142"/>
      <c r="G68" s="142"/>
      <c r="H68" s="142"/>
      <c r="I68" s="142"/>
      <c r="J68" s="142"/>
      <c r="K68" s="142"/>
      <c r="L68" s="142"/>
      <c r="M68" s="142"/>
      <c r="N68" s="142"/>
    </row>
    <row r="69" ht="13.65" customHeight="1">
      <c r="A69" t="s" s="338">
        <v>1400</v>
      </c>
      <c r="B69" t="s" s="338">
        <v>1401</v>
      </c>
      <c r="C69" t="s" s="1271">
        <v>549</v>
      </c>
      <c r="D69" s="1267"/>
      <c r="E69" s="142"/>
      <c r="F69" s="142"/>
      <c r="G69" s="142"/>
      <c r="H69" s="142"/>
      <c r="I69" s="142"/>
      <c r="J69" s="142"/>
      <c r="K69" s="142"/>
      <c r="L69" s="142"/>
      <c r="M69" s="142"/>
      <c r="N69" s="142"/>
    </row>
    <row r="70" ht="13.65" customHeight="1">
      <c r="A70" t="s" s="338">
        <v>215</v>
      </c>
      <c r="B70" t="s" s="338">
        <v>1402</v>
      </c>
      <c r="C70" t="s" s="1271">
        <v>1403</v>
      </c>
      <c r="D70" s="1267"/>
      <c r="E70" s="142"/>
      <c r="F70" s="142"/>
      <c r="G70" s="142"/>
      <c r="H70" s="142"/>
      <c r="I70" s="142"/>
      <c r="J70" s="142"/>
      <c r="K70" s="142"/>
      <c r="L70" s="142"/>
      <c r="M70" s="142"/>
      <c r="N70" s="142"/>
    </row>
    <row r="71" ht="13.65" customHeight="1">
      <c r="A71" t="s" s="338">
        <v>1242</v>
      </c>
      <c r="B71" t="s" s="338">
        <v>966</v>
      </c>
      <c r="C71" t="s" s="1271">
        <v>1404</v>
      </c>
      <c r="D71" s="1267"/>
      <c r="E71" s="142"/>
      <c r="F71" s="142"/>
      <c r="G71" s="142"/>
      <c r="H71" s="142"/>
      <c r="I71" s="142"/>
      <c r="J71" s="142"/>
      <c r="K71" s="142"/>
      <c r="L71" s="142"/>
      <c r="M71" s="142"/>
      <c r="N71" s="142"/>
    </row>
    <row r="72" ht="13.65" customHeight="1">
      <c r="A72" t="s" s="338">
        <v>985</v>
      </c>
      <c r="B72" t="s" s="338">
        <v>985</v>
      </c>
      <c r="C72" t="s" s="1271">
        <v>1405</v>
      </c>
      <c r="D72" s="1267"/>
      <c r="E72" s="142"/>
      <c r="F72" s="142"/>
      <c r="G72" s="142"/>
      <c r="H72" s="142"/>
      <c r="I72" s="142"/>
      <c r="J72" s="142"/>
      <c r="K72" s="142"/>
      <c r="L72" s="142"/>
      <c r="M72" s="142"/>
      <c r="N72" s="142"/>
    </row>
    <row r="73" ht="13.65" customHeight="1">
      <c r="A73" t="s" s="338">
        <v>1246</v>
      </c>
      <c r="B73" t="s" s="338">
        <v>1074</v>
      </c>
      <c r="C73" t="s" s="1271">
        <v>1406</v>
      </c>
      <c r="D73" s="1267"/>
      <c r="E73" s="142"/>
      <c r="F73" s="142"/>
      <c r="G73" s="142"/>
      <c r="H73" s="142"/>
      <c r="I73" s="142"/>
      <c r="J73" s="142"/>
      <c r="K73" s="142"/>
      <c r="L73" s="142"/>
      <c r="M73" s="142"/>
      <c r="N73" s="142"/>
    </row>
    <row r="74" ht="13.65" customHeight="1">
      <c r="A74" t="s" s="338">
        <v>971</v>
      </c>
      <c r="B74" t="s" s="338">
        <v>971</v>
      </c>
      <c r="C74" t="s" s="1272">
        <v>1407</v>
      </c>
      <c r="D74" s="1267"/>
      <c r="E74" s="142"/>
      <c r="F74" s="142"/>
      <c r="G74" s="142"/>
      <c r="H74" s="142"/>
      <c r="I74" s="142"/>
      <c r="J74" s="142"/>
      <c r="K74" s="142"/>
      <c r="L74" s="142"/>
      <c r="M74" s="142"/>
      <c r="N74" s="142"/>
    </row>
    <row r="75" ht="13.65" customHeight="1">
      <c r="A75" t="s" s="338">
        <v>1096</v>
      </c>
      <c r="B75" t="s" s="338">
        <v>1096</v>
      </c>
      <c r="C75" t="s" s="1272">
        <v>308</v>
      </c>
      <c r="D75" s="1267"/>
      <c r="E75" s="142"/>
      <c r="F75" s="142"/>
      <c r="G75" s="142"/>
      <c r="H75" s="142"/>
      <c r="I75" s="142"/>
      <c r="J75" s="142"/>
      <c r="K75" s="142"/>
      <c r="L75" s="142"/>
      <c r="M75" s="142"/>
      <c r="N75" s="142"/>
    </row>
    <row r="76" ht="13.65" customHeight="1">
      <c r="A76" t="s" s="338">
        <v>1253</v>
      </c>
      <c r="B76" t="s" s="338">
        <v>969</v>
      </c>
      <c r="C76" t="s" s="1271">
        <v>57</v>
      </c>
      <c r="D76" s="1267"/>
      <c r="E76" s="142"/>
      <c r="F76" s="142"/>
      <c r="G76" s="142"/>
      <c r="H76" s="142"/>
      <c r="I76" s="142"/>
      <c r="J76" s="142"/>
      <c r="K76" s="142"/>
      <c r="L76" s="142"/>
      <c r="M76" s="142"/>
      <c r="N76" s="142"/>
    </row>
    <row r="77" ht="13.65" customHeight="1">
      <c r="A77" t="s" s="338">
        <v>257</v>
      </c>
      <c r="B77" t="s" s="338">
        <v>257</v>
      </c>
      <c r="C77" t="s" s="1271">
        <v>59</v>
      </c>
      <c r="D77" s="1267"/>
      <c r="E77" s="142"/>
      <c r="F77" s="142"/>
      <c r="G77" s="142"/>
      <c r="H77" s="142"/>
      <c r="I77" s="142"/>
      <c r="J77" s="142"/>
      <c r="K77" s="142"/>
      <c r="L77" s="142"/>
      <c r="M77" s="142"/>
      <c r="N77" s="142"/>
    </row>
    <row r="78" ht="13.65" customHeight="1">
      <c r="A78" t="s" s="338">
        <v>971</v>
      </c>
      <c r="B78" t="s" s="338">
        <v>971</v>
      </c>
      <c r="C78" t="s" s="1272">
        <v>1407</v>
      </c>
      <c r="D78" s="1267"/>
      <c r="E78" s="142"/>
      <c r="F78" s="142"/>
      <c r="G78" s="142"/>
      <c r="H78" s="142"/>
      <c r="I78" s="142"/>
      <c r="J78" s="142"/>
      <c r="K78" s="142"/>
      <c r="L78" s="142"/>
      <c r="M78" s="142"/>
      <c r="N78" s="142"/>
    </row>
    <row r="79" ht="13.65" customHeight="1">
      <c r="A79" t="s" s="338">
        <v>1096</v>
      </c>
      <c r="B79" t="s" s="338">
        <v>1096</v>
      </c>
      <c r="C79" t="s" s="1272">
        <v>308</v>
      </c>
      <c r="D79" s="1267"/>
      <c r="E79" s="142"/>
      <c r="F79" s="142"/>
      <c r="G79" s="142"/>
      <c r="H79" s="142"/>
      <c r="I79" s="142"/>
      <c r="J79" s="142"/>
      <c r="K79" s="142"/>
      <c r="L79" s="142"/>
      <c r="M79" s="142"/>
      <c r="N79" s="142"/>
    </row>
    <row r="80" ht="13.65" customHeight="1">
      <c r="A80" t="s" s="338">
        <v>1408</v>
      </c>
      <c r="B80" t="s" s="338">
        <v>1241</v>
      </c>
      <c r="C80" t="s" s="1271">
        <v>292</v>
      </c>
      <c r="D80" s="1267"/>
      <c r="E80" s="142"/>
      <c r="F80" s="142"/>
      <c r="G80" s="142"/>
      <c r="H80" s="142"/>
      <c r="I80" s="142"/>
      <c r="J80" s="142"/>
      <c r="K80" s="142"/>
      <c r="L80" s="142"/>
      <c r="M80" s="142"/>
      <c r="N80" s="142"/>
    </row>
    <row r="81" ht="13.65" customHeight="1">
      <c r="A81" t="s" s="338">
        <v>1409</v>
      </c>
      <c r="B81" t="s" s="338">
        <v>1410</v>
      </c>
      <c r="C81" t="s" s="1271">
        <v>294</v>
      </c>
      <c r="D81" s="1267"/>
      <c r="E81" s="142"/>
      <c r="F81" s="142"/>
      <c r="G81" s="142"/>
      <c r="H81" s="142"/>
      <c r="I81" s="142"/>
      <c r="J81" s="142"/>
      <c r="K81" s="142"/>
      <c r="L81" s="142"/>
      <c r="M81" s="142"/>
      <c r="N81" s="142"/>
    </row>
    <row r="82" ht="25.5" customHeight="1">
      <c r="A82" t="s" s="338">
        <v>1411</v>
      </c>
      <c r="B82" t="s" s="338">
        <v>1245</v>
      </c>
      <c r="C82" t="s" s="1271">
        <v>296</v>
      </c>
      <c r="D82" s="1267"/>
      <c r="E82" s="142"/>
      <c r="F82" s="142"/>
      <c r="G82" s="142"/>
      <c r="H82" s="142"/>
      <c r="I82" s="142"/>
      <c r="J82" s="142"/>
      <c r="K82" s="142"/>
      <c r="L82" s="142"/>
      <c r="M82" s="142"/>
      <c r="N82" s="142"/>
    </row>
    <row r="83" ht="13.65" customHeight="1">
      <c r="A83" t="s" s="338">
        <v>1412</v>
      </c>
      <c r="B83" t="s" s="338">
        <v>1247</v>
      </c>
      <c r="C83" t="s" s="1271">
        <v>298</v>
      </c>
      <c r="D83" s="1267"/>
      <c r="E83" s="142"/>
      <c r="F83" s="142"/>
      <c r="G83" s="142"/>
      <c r="H83" s="142"/>
      <c r="I83" s="142"/>
      <c r="J83" s="142"/>
      <c r="K83" s="142"/>
      <c r="L83" s="142"/>
      <c r="M83" s="142"/>
      <c r="N83" s="142"/>
    </row>
    <row r="84" ht="13.65" customHeight="1">
      <c r="A84" t="s" s="338">
        <v>1413</v>
      </c>
      <c r="B84" t="s" s="338">
        <v>1249</v>
      </c>
      <c r="C84" t="s" s="1271">
        <v>300</v>
      </c>
      <c r="D84" s="1267"/>
      <c r="E84" s="142"/>
      <c r="F84" s="142"/>
      <c r="G84" s="142"/>
      <c r="H84" s="142"/>
      <c r="I84" s="142"/>
      <c r="J84" s="142"/>
      <c r="K84" s="142"/>
      <c r="L84" s="142"/>
      <c r="M84" s="142"/>
      <c r="N84" s="142"/>
    </row>
    <row r="85" ht="13.65" customHeight="1">
      <c r="A85" t="s" s="338">
        <v>1414</v>
      </c>
      <c r="B85" t="s" s="338">
        <v>1252</v>
      </c>
      <c r="C85" t="s" s="1271">
        <v>303</v>
      </c>
      <c r="D85" s="1267"/>
      <c r="E85" s="142"/>
      <c r="F85" s="142"/>
      <c r="G85" s="142"/>
      <c r="H85" s="142"/>
      <c r="I85" s="142"/>
      <c r="J85" s="142"/>
      <c r="K85" s="142"/>
      <c r="L85" s="142"/>
      <c r="M85" s="142"/>
      <c r="N85" s="142"/>
    </row>
    <row r="86" ht="13.65" customHeight="1">
      <c r="A86" t="s" s="338">
        <v>1415</v>
      </c>
      <c r="B86" t="s" s="338">
        <v>1255</v>
      </c>
      <c r="C86" t="s" s="1271">
        <v>305</v>
      </c>
      <c r="D86" s="1267"/>
      <c r="E86" s="142"/>
      <c r="F86" s="142"/>
      <c r="G86" s="142"/>
      <c r="H86" s="142"/>
      <c r="I86" s="142"/>
      <c r="J86" s="142"/>
      <c r="K86" s="142"/>
      <c r="L86" s="142"/>
      <c r="M86" s="142"/>
      <c r="N86" s="142"/>
    </row>
    <row r="87" ht="13.65" customHeight="1">
      <c r="A87" t="s" s="338">
        <v>1412</v>
      </c>
      <c r="B87" t="s" s="338">
        <v>1247</v>
      </c>
      <c r="C87" t="s" s="1271">
        <v>298</v>
      </c>
      <c r="D87" s="1267"/>
      <c r="E87" s="142"/>
      <c r="F87" s="142"/>
      <c r="G87" s="142"/>
      <c r="H87" s="142"/>
      <c r="I87" s="142"/>
      <c r="J87" s="142"/>
      <c r="K87" s="142"/>
      <c r="L87" s="142"/>
      <c r="M87" s="142"/>
      <c r="N87" s="142"/>
    </row>
    <row r="88" ht="13.65" customHeight="1">
      <c r="A88" t="s" s="338">
        <v>1413</v>
      </c>
      <c r="B88" t="s" s="338">
        <v>1249</v>
      </c>
      <c r="C88" t="s" s="1271">
        <v>308</v>
      </c>
      <c r="D88" s="1267"/>
      <c r="E88" s="142"/>
      <c r="F88" s="142"/>
      <c r="G88" s="142"/>
      <c r="H88" s="142"/>
      <c r="I88" s="142"/>
      <c r="J88" s="142"/>
      <c r="K88" s="142"/>
      <c r="L88" s="142"/>
      <c r="M88" s="142"/>
      <c r="N88" s="142"/>
    </row>
    <row r="89" ht="13.65" customHeight="1">
      <c r="A89" t="s" s="338">
        <v>1416</v>
      </c>
      <c r="B89" t="s" s="338">
        <v>1417</v>
      </c>
      <c r="C89" t="s" s="1271">
        <v>330</v>
      </c>
      <c r="D89" s="1267"/>
      <c r="E89" s="142"/>
      <c r="F89" s="142"/>
      <c r="G89" s="142"/>
      <c r="H89" s="142"/>
      <c r="I89" s="142"/>
      <c r="J89" s="142"/>
      <c r="K89" s="142"/>
      <c r="L89" s="142"/>
      <c r="M89" s="142"/>
      <c r="N89" s="142"/>
    </row>
    <row r="90" ht="13.65" customHeight="1">
      <c r="A90" t="s" s="338">
        <v>1418</v>
      </c>
      <c r="B90" t="s" s="338">
        <v>1419</v>
      </c>
      <c r="C90" t="s" s="1271">
        <v>331</v>
      </c>
      <c r="D90" s="1267"/>
      <c r="E90" s="142"/>
      <c r="F90" s="142"/>
      <c r="G90" s="142"/>
      <c r="H90" s="142"/>
      <c r="I90" s="142"/>
      <c r="J90" s="142"/>
      <c r="K90" s="142"/>
      <c r="L90" s="142"/>
      <c r="M90" s="142"/>
      <c r="N90" s="142"/>
    </row>
    <row r="91" ht="15.75" customHeight="1">
      <c r="A91" t="s" s="338">
        <v>1420</v>
      </c>
      <c r="B91" t="s" s="338">
        <v>1421</v>
      </c>
      <c r="C91" t="s" s="1271">
        <v>1422</v>
      </c>
      <c r="D91" s="1267"/>
      <c r="E91" s="142"/>
      <c r="F91" s="142"/>
      <c r="G91" s="142"/>
      <c r="H91" s="142"/>
      <c r="I91" s="142"/>
      <c r="J91" s="142"/>
      <c r="K91" s="142"/>
      <c r="L91" s="142"/>
      <c r="M91" s="142"/>
      <c r="N91" s="142"/>
    </row>
    <row r="92" ht="15.75" customHeight="1">
      <c r="A92" t="s" s="338">
        <v>1423</v>
      </c>
      <c r="B92" t="s" s="338">
        <v>1424</v>
      </c>
      <c r="C92" t="s" s="1272">
        <v>1425</v>
      </c>
      <c r="D92" s="1267"/>
      <c r="E92" s="142"/>
      <c r="F92" s="142"/>
      <c r="G92" s="142"/>
      <c r="H92" s="142"/>
      <c r="I92" s="142"/>
      <c r="J92" s="142"/>
      <c r="K92" s="142"/>
      <c r="L92" s="142"/>
      <c r="M92" s="142"/>
      <c r="N92" s="142"/>
    </row>
    <row r="93" ht="13.65" customHeight="1">
      <c r="A93" t="s" s="338">
        <v>1426</v>
      </c>
      <c r="B93" t="s" s="338">
        <v>1427</v>
      </c>
      <c r="C93" t="s" s="1271">
        <v>1428</v>
      </c>
      <c r="D93" s="1267"/>
      <c r="E93" s="142"/>
      <c r="F93" s="142"/>
      <c r="G93" s="142"/>
      <c r="H93" s="142"/>
      <c r="I93" s="142"/>
      <c r="J93" s="142"/>
      <c r="K93" s="142"/>
      <c r="L93" s="142"/>
      <c r="M93" s="142"/>
      <c r="N93" s="142"/>
    </row>
    <row r="94" ht="25.5" customHeight="1">
      <c r="A94" t="s" s="1271">
        <v>1429</v>
      </c>
      <c r="B94" t="s" s="338">
        <v>1430</v>
      </c>
      <c r="C94" t="s" s="1271">
        <v>1431</v>
      </c>
      <c r="D94" s="1267"/>
      <c r="E94" s="142"/>
      <c r="F94" s="142"/>
      <c r="G94" s="142"/>
      <c r="H94" s="142"/>
      <c r="I94" s="142"/>
      <c r="J94" s="142"/>
      <c r="K94" s="142"/>
      <c r="L94" s="142"/>
      <c r="M94" s="142"/>
      <c r="N94" s="142"/>
    </row>
    <row r="95" ht="39.75" customHeight="1">
      <c r="A95" t="s" s="1271">
        <v>1432</v>
      </c>
      <c r="B95" t="s" s="338">
        <v>1433</v>
      </c>
      <c r="C95" t="s" s="1271">
        <v>1434</v>
      </c>
      <c r="D95" s="1267"/>
      <c r="E95" s="142"/>
      <c r="F95" s="142"/>
      <c r="G95" s="142"/>
      <c r="H95" s="142"/>
      <c r="I95" s="142"/>
      <c r="J95" s="142"/>
      <c r="K95" s="142"/>
      <c r="L95" s="142"/>
      <c r="M95" s="142"/>
      <c r="N95" s="142"/>
    </row>
    <row r="96" ht="51" customHeight="1">
      <c r="A96" t="s" s="1271">
        <v>1435</v>
      </c>
      <c r="B96" t="s" s="1271">
        <v>1436</v>
      </c>
      <c r="C96" t="s" s="1271">
        <v>1437</v>
      </c>
      <c r="D96" s="1267"/>
      <c r="E96" s="142"/>
      <c r="F96" s="142"/>
      <c r="G96" s="142"/>
      <c r="H96" s="142"/>
      <c r="I96" s="142"/>
      <c r="J96" s="142"/>
      <c r="K96" s="142"/>
      <c r="L96" s="142"/>
      <c r="M96" s="142"/>
      <c r="N96" s="142"/>
    </row>
    <row r="97" ht="13.65" customHeight="1">
      <c r="A97" t="s" s="1271">
        <v>1438</v>
      </c>
      <c r="B97" t="s" s="1274">
        <v>1439</v>
      </c>
      <c r="C97" t="s" s="1271">
        <v>312</v>
      </c>
      <c r="D97" s="1267"/>
      <c r="E97" s="142"/>
      <c r="F97" s="142"/>
      <c r="G97" s="142"/>
      <c r="H97" s="142"/>
      <c r="I97" s="142"/>
      <c r="J97" s="142"/>
      <c r="K97" s="142"/>
      <c r="L97" s="142"/>
      <c r="M97" s="142"/>
      <c r="N97" s="142"/>
    </row>
    <row r="98" ht="25.5" customHeight="1">
      <c r="A98" t="s" s="1271">
        <v>1440</v>
      </c>
      <c r="B98" t="s" s="1274">
        <v>1441</v>
      </c>
      <c r="C98" t="s" s="1271">
        <v>313</v>
      </c>
      <c r="D98" s="1267"/>
      <c r="E98" s="142"/>
      <c r="F98" s="142"/>
      <c r="G98" s="142"/>
      <c r="H98" s="142"/>
      <c r="I98" s="142"/>
      <c r="J98" s="142"/>
      <c r="K98" s="142"/>
      <c r="L98" s="142"/>
      <c r="M98" s="142"/>
      <c r="N98" s="142"/>
    </row>
    <row r="99" ht="13.65" customHeight="1">
      <c r="A99" t="s" s="1271">
        <v>1442</v>
      </c>
      <c r="B99" t="s" s="1271">
        <v>1442</v>
      </c>
      <c r="C99" t="s" s="1271">
        <v>319</v>
      </c>
      <c r="D99" s="1267"/>
      <c r="E99" s="142"/>
      <c r="F99" s="142"/>
      <c r="G99" s="142"/>
      <c r="H99" s="142"/>
      <c r="I99" s="142"/>
      <c r="J99" s="142"/>
      <c r="K99" s="142"/>
      <c r="L99" s="142"/>
      <c r="M99" s="142"/>
      <c r="N99" s="142"/>
    </row>
    <row r="100" ht="11.25" customHeight="1">
      <c r="A100" t="s" s="1271">
        <v>1443</v>
      </c>
      <c r="B100" t="s" s="1271">
        <v>1444</v>
      </c>
      <c r="C100" t="s" s="1272">
        <v>1445</v>
      </c>
      <c r="D100" s="1267"/>
      <c r="E100" s="142"/>
      <c r="F100" s="142"/>
      <c r="G100" s="142"/>
      <c r="H100" s="142"/>
      <c r="I100" s="142"/>
      <c r="J100" s="142"/>
      <c r="K100" s="142"/>
      <c r="L100" s="142"/>
      <c r="M100" s="142"/>
      <c r="N100" s="142"/>
    </row>
    <row r="101" ht="13.65" customHeight="1">
      <c r="A101" t="s" s="338">
        <v>1446</v>
      </c>
      <c r="B101" t="s" s="338">
        <v>1447</v>
      </c>
      <c r="C101" t="s" s="1271">
        <v>1448</v>
      </c>
      <c r="D101" s="1267"/>
      <c r="E101" s="142"/>
      <c r="F101" s="142"/>
      <c r="G101" s="142"/>
      <c r="H101" s="142"/>
      <c r="I101" s="142"/>
      <c r="J101" s="142"/>
      <c r="K101" s="142"/>
      <c r="L101" s="142"/>
      <c r="M101" s="142"/>
      <c r="N101" s="142"/>
    </row>
    <row r="102" ht="13.65" customHeight="1">
      <c r="A102" t="s" s="338">
        <v>1449</v>
      </c>
      <c r="B102" t="s" s="338">
        <v>1450</v>
      </c>
      <c r="C102" t="s" s="1271">
        <v>1451</v>
      </c>
      <c r="D102" s="1267"/>
      <c r="E102" s="142"/>
      <c r="F102" s="142"/>
      <c r="G102" s="142"/>
      <c r="H102" s="142"/>
      <c r="I102" s="142"/>
      <c r="J102" s="142"/>
      <c r="K102" s="142"/>
      <c r="L102" s="142"/>
      <c r="M102" s="142"/>
      <c r="N102" s="142"/>
    </row>
    <row r="103" ht="13.65" customHeight="1">
      <c r="A103" t="s" s="338">
        <v>1452</v>
      </c>
      <c r="B103" t="s" s="338">
        <v>1453</v>
      </c>
      <c r="C103" t="s" s="1271">
        <v>1454</v>
      </c>
      <c r="D103" s="1267"/>
      <c r="E103" s="142"/>
      <c r="F103" s="142"/>
      <c r="G103" s="142"/>
      <c r="H103" s="142"/>
      <c r="I103" s="142"/>
      <c r="J103" s="142"/>
      <c r="K103" s="142"/>
      <c r="L103" s="142"/>
      <c r="M103" s="142"/>
      <c r="N103" s="142"/>
    </row>
    <row r="104" ht="13.65" customHeight="1">
      <c r="A104" t="s" s="338">
        <v>1455</v>
      </c>
      <c r="B104" t="s" s="338">
        <v>1456</v>
      </c>
      <c r="C104" t="s" s="1271">
        <v>1457</v>
      </c>
      <c r="D104" s="1267"/>
      <c r="E104" s="142"/>
      <c r="F104" s="142"/>
      <c r="G104" s="142"/>
      <c r="H104" s="142"/>
      <c r="I104" s="142"/>
      <c r="J104" s="142"/>
      <c r="K104" s="142"/>
      <c r="L104" s="142"/>
      <c r="M104" s="142"/>
      <c r="N104" s="142"/>
    </row>
    <row r="105" ht="54" customHeight="1">
      <c r="A105" t="s" s="1271">
        <v>1458</v>
      </c>
      <c r="B105" t="s" s="1271">
        <v>1459</v>
      </c>
      <c r="C105" t="s" s="1271">
        <v>288</v>
      </c>
      <c r="D105" s="1267"/>
      <c r="E105" s="142"/>
      <c r="F105" s="142"/>
      <c r="G105" s="142"/>
      <c r="H105" s="142"/>
      <c r="I105" s="142"/>
      <c r="J105" s="142"/>
      <c r="K105" s="142"/>
      <c r="L105" s="142"/>
      <c r="M105" s="142"/>
      <c r="N105" s="142"/>
    </row>
    <row r="106" ht="27" customHeight="1">
      <c r="A106" t="s" s="1271">
        <v>1460</v>
      </c>
      <c r="B106" t="s" s="1271">
        <v>1461</v>
      </c>
      <c r="C106" t="s" s="1271">
        <v>229</v>
      </c>
      <c r="D106" s="1267"/>
      <c r="E106" s="142"/>
      <c r="F106" s="142"/>
      <c r="G106" s="142"/>
      <c r="H106" s="142"/>
      <c r="I106" s="142"/>
      <c r="J106" s="142"/>
      <c r="K106" s="142"/>
      <c r="L106" s="142"/>
      <c r="M106" s="142"/>
      <c r="N106" s="142"/>
    </row>
    <row r="107" ht="13.65" customHeight="1">
      <c r="A107" t="s" s="338">
        <v>1462</v>
      </c>
      <c r="B107" t="s" s="338">
        <v>1463</v>
      </c>
      <c r="C107" t="s" s="1271">
        <v>1464</v>
      </c>
      <c r="D107" s="1267"/>
      <c r="E107" s="142"/>
      <c r="F107" s="142"/>
      <c r="G107" s="142"/>
      <c r="H107" s="142"/>
      <c r="I107" s="142"/>
      <c r="J107" s="142"/>
      <c r="K107" s="142"/>
      <c r="L107" s="142"/>
      <c r="M107" s="142"/>
      <c r="N107" s="142"/>
    </row>
    <row r="108" ht="13.65" customHeight="1">
      <c r="A108" t="s" s="338">
        <v>1465</v>
      </c>
      <c r="B108" t="s" s="338">
        <v>1466</v>
      </c>
      <c r="C108" t="s" s="1271">
        <v>1467</v>
      </c>
      <c r="D108" s="1267"/>
      <c r="E108" s="142"/>
      <c r="F108" s="142"/>
      <c r="G108" s="142"/>
      <c r="H108" s="142"/>
      <c r="I108" s="142"/>
      <c r="J108" s="142"/>
      <c r="K108" s="142"/>
      <c r="L108" s="142"/>
      <c r="M108" s="142"/>
      <c r="N108" s="142"/>
    </row>
    <row r="109" ht="15.75" customHeight="1">
      <c r="A109" t="s" s="338">
        <v>1468</v>
      </c>
      <c r="B109" t="s" s="338">
        <v>1469</v>
      </c>
      <c r="C109" t="s" s="1272">
        <v>1470</v>
      </c>
      <c r="D109" s="1267"/>
      <c r="E109" s="142"/>
      <c r="F109" s="142"/>
      <c r="G109" s="142"/>
      <c r="H109" s="142"/>
      <c r="I109" s="142"/>
      <c r="J109" s="142"/>
      <c r="K109" s="142"/>
      <c r="L109" s="142"/>
      <c r="M109" s="142"/>
      <c r="N109" s="142"/>
    </row>
    <row r="110" ht="13.65" customHeight="1">
      <c r="A110" t="s" s="338">
        <v>1471</v>
      </c>
      <c r="B110" t="s" s="338">
        <v>1472</v>
      </c>
      <c r="C110" t="s" s="1271">
        <v>1473</v>
      </c>
      <c r="D110" s="1267"/>
      <c r="E110" s="142"/>
      <c r="F110" s="142"/>
      <c r="G110" s="142"/>
      <c r="H110" s="142"/>
      <c r="I110" s="142"/>
      <c r="J110" s="142"/>
      <c r="K110" s="142"/>
      <c r="L110" s="142"/>
      <c r="M110" s="142"/>
      <c r="N110" s="142"/>
    </row>
    <row r="111" ht="13.65" customHeight="1">
      <c r="A111" t="s" s="338">
        <v>1474</v>
      </c>
      <c r="B111" t="s" s="338">
        <v>1475</v>
      </c>
      <c r="C111" t="s" s="1271">
        <v>1476</v>
      </c>
      <c r="D111" s="1267"/>
      <c r="E111" s="142"/>
      <c r="F111" s="142"/>
      <c r="G111" s="142"/>
      <c r="H111" s="142"/>
      <c r="I111" s="142"/>
      <c r="J111" s="142"/>
      <c r="K111" s="142"/>
      <c r="L111" s="142"/>
      <c r="M111" s="142"/>
      <c r="N111" s="142"/>
    </row>
    <row r="112" ht="13.65" customHeight="1">
      <c r="A112" t="s" s="338">
        <v>1477</v>
      </c>
      <c r="B112" t="s" s="338">
        <v>1478</v>
      </c>
      <c r="C112" t="s" s="1271">
        <v>1479</v>
      </c>
      <c r="D112" s="1267"/>
      <c r="E112" s="142"/>
      <c r="F112" s="142"/>
      <c r="G112" s="142"/>
      <c r="H112" s="142"/>
      <c r="I112" s="142"/>
      <c r="J112" s="142"/>
      <c r="K112" s="142"/>
      <c r="L112" s="142"/>
      <c r="M112" s="142"/>
      <c r="N112" s="142"/>
    </row>
    <row r="113" ht="13.65" customHeight="1">
      <c r="A113" t="s" s="338">
        <v>1480</v>
      </c>
      <c r="B113" t="s" s="338">
        <v>1481</v>
      </c>
      <c r="C113" t="s" s="1271">
        <v>1482</v>
      </c>
      <c r="D113" s="1267"/>
      <c r="E113" s="142"/>
      <c r="F113" s="142"/>
      <c r="G113" s="142"/>
      <c r="H113" s="142"/>
      <c r="I113" s="142"/>
      <c r="J113" s="142"/>
      <c r="K113" s="142"/>
      <c r="L113" s="142"/>
      <c r="M113" s="142"/>
      <c r="N113" s="142"/>
    </row>
    <row r="114" ht="38.25" customHeight="1">
      <c r="A114" t="s" s="1271">
        <v>1483</v>
      </c>
      <c r="B114" t="s" s="1271">
        <v>1484</v>
      </c>
      <c r="C114" t="s" s="1271">
        <v>1485</v>
      </c>
      <c r="D114" s="1267"/>
      <c r="E114" s="142"/>
      <c r="F114" s="142"/>
      <c r="G114" s="142"/>
      <c r="H114" s="142"/>
      <c r="I114" s="142"/>
      <c r="J114" s="142"/>
      <c r="K114" s="142"/>
      <c r="L114" s="142"/>
      <c r="M114" s="142"/>
      <c r="N114" s="142"/>
    </row>
    <row r="115" ht="27" customHeight="1">
      <c r="A115" t="s" s="338">
        <v>1486</v>
      </c>
      <c r="B115" t="s" s="1271">
        <v>1487</v>
      </c>
      <c r="C115" t="s" s="1271">
        <v>1488</v>
      </c>
      <c r="D115" s="1267"/>
      <c r="E115" s="142"/>
      <c r="F115" s="142"/>
      <c r="G115" s="142"/>
      <c r="H115" s="142"/>
      <c r="I115" s="142"/>
      <c r="J115" s="142"/>
      <c r="K115" s="142"/>
      <c r="L115" s="142"/>
      <c r="M115" s="142"/>
      <c r="N115" s="142"/>
    </row>
    <row r="116" ht="27" customHeight="1">
      <c r="A116" t="s" s="1271">
        <v>1489</v>
      </c>
      <c r="B116" t="s" s="1271">
        <v>1490</v>
      </c>
      <c r="C116" t="s" s="1271">
        <v>1491</v>
      </c>
      <c r="D116" s="1267"/>
      <c r="E116" s="142"/>
      <c r="F116" s="142"/>
      <c r="G116" s="142"/>
      <c r="H116" s="142"/>
      <c r="I116" s="142"/>
      <c r="J116" s="142"/>
      <c r="K116" s="142"/>
      <c r="L116" s="142"/>
      <c r="M116" s="142"/>
      <c r="N116" s="142"/>
    </row>
    <row r="117" ht="25.5" customHeight="1">
      <c r="A117" t="s" s="1271">
        <v>1492</v>
      </c>
      <c r="B117" t="s" s="1271">
        <v>1493</v>
      </c>
      <c r="C117" t="s" s="1271">
        <v>1494</v>
      </c>
      <c r="D117" s="1267"/>
      <c r="E117" s="142"/>
      <c r="F117" s="142"/>
      <c r="G117" s="142"/>
      <c r="H117" s="142"/>
      <c r="I117" s="142"/>
      <c r="J117" s="142"/>
      <c r="K117" s="142"/>
      <c r="L117" s="142"/>
      <c r="M117" s="142"/>
      <c r="N117" s="142"/>
    </row>
    <row r="118" ht="38.25" customHeight="1">
      <c r="A118" t="s" s="1271">
        <v>1495</v>
      </c>
      <c r="B118" t="s" s="1271">
        <v>1496</v>
      </c>
      <c r="C118" t="s" s="1271">
        <v>1497</v>
      </c>
      <c r="D118" s="1267"/>
      <c r="E118" s="142"/>
      <c r="F118" s="142"/>
      <c r="G118" s="142"/>
      <c r="H118" s="142"/>
      <c r="I118" s="142"/>
      <c r="J118" s="142"/>
      <c r="K118" s="142"/>
      <c r="L118" s="142"/>
      <c r="M118" s="142"/>
      <c r="N118" s="142"/>
    </row>
    <row r="119" ht="27" customHeight="1">
      <c r="A119" t="s" s="338">
        <v>1498</v>
      </c>
      <c r="B119" t="s" s="1271">
        <v>1499</v>
      </c>
      <c r="C119" t="s" s="1271">
        <v>1500</v>
      </c>
      <c r="D119" s="1267"/>
      <c r="E119" s="142"/>
      <c r="F119" s="142"/>
      <c r="G119" s="142"/>
      <c r="H119" s="142"/>
      <c r="I119" s="142"/>
      <c r="J119" s="142"/>
      <c r="K119" s="142"/>
      <c r="L119" s="142"/>
      <c r="M119" s="142"/>
      <c r="N119" s="142"/>
    </row>
    <row r="120" ht="25.5" customHeight="1">
      <c r="A120" t="s" s="1271">
        <v>1501</v>
      </c>
      <c r="B120" t="s" s="1271">
        <v>1502</v>
      </c>
      <c r="C120" t="s" s="1271">
        <v>1503</v>
      </c>
      <c r="D120" s="1267"/>
      <c r="E120" s="142"/>
      <c r="F120" s="142"/>
      <c r="G120" s="142"/>
      <c r="H120" s="142"/>
      <c r="I120" s="142"/>
      <c r="J120" s="142"/>
      <c r="K120" s="142"/>
      <c r="L120" s="142"/>
      <c r="M120" s="142"/>
      <c r="N120" s="142"/>
    </row>
    <row r="121" ht="27" customHeight="1">
      <c r="A121" t="s" s="1271">
        <v>1504</v>
      </c>
      <c r="B121" t="s" s="1271">
        <v>1505</v>
      </c>
      <c r="C121" t="s" s="1271">
        <v>1506</v>
      </c>
      <c r="D121" s="1267"/>
      <c r="E121" s="142"/>
      <c r="F121" s="142"/>
      <c r="G121" s="142"/>
      <c r="H121" s="142"/>
      <c r="I121" s="142"/>
      <c r="J121" s="142"/>
      <c r="K121" s="142"/>
      <c r="L121" s="142"/>
      <c r="M121" s="142"/>
      <c r="N121" s="142"/>
    </row>
    <row r="122" ht="13.65" customHeight="1">
      <c r="A122" t="s" s="1271">
        <v>1507</v>
      </c>
      <c r="B122" t="s" s="338">
        <v>1508</v>
      </c>
      <c r="C122" t="s" s="1271">
        <v>342</v>
      </c>
      <c r="D122" s="1267"/>
      <c r="E122" s="142"/>
      <c r="F122" s="142"/>
      <c r="G122" s="142"/>
      <c r="H122" s="142"/>
      <c r="I122" s="142"/>
      <c r="J122" s="142"/>
      <c r="K122" s="142"/>
      <c r="L122" s="142"/>
      <c r="M122" s="142"/>
      <c r="N122" s="142"/>
    </row>
    <row r="123" ht="13.65" customHeight="1">
      <c r="A123" t="s" s="1271">
        <v>1509</v>
      </c>
      <c r="B123" t="s" s="1271">
        <v>1510</v>
      </c>
      <c r="C123" t="s" s="1271">
        <v>344</v>
      </c>
      <c r="D123" s="1267"/>
      <c r="E123" s="142"/>
      <c r="F123" s="142"/>
      <c r="G123" s="142"/>
      <c r="H123" s="142"/>
      <c r="I123" s="142"/>
      <c r="J123" s="142"/>
      <c r="K123" s="142"/>
      <c r="L123" s="142"/>
      <c r="M123" s="142"/>
      <c r="N123" s="142"/>
    </row>
    <row r="124" ht="13.65" customHeight="1">
      <c r="A124" t="s" s="1271">
        <v>1511</v>
      </c>
      <c r="B124" t="s" s="1271">
        <v>1512</v>
      </c>
      <c r="C124" t="s" s="1271">
        <v>345</v>
      </c>
      <c r="D124" s="1267"/>
      <c r="E124" s="142"/>
      <c r="F124" s="142"/>
      <c r="G124" s="142"/>
      <c r="H124" s="142"/>
      <c r="I124" s="142"/>
      <c r="J124" s="142"/>
      <c r="K124" s="142"/>
      <c r="L124" s="142"/>
      <c r="M124" s="142"/>
      <c r="N124" s="142"/>
    </row>
    <row r="125" ht="29.25" customHeight="1">
      <c r="A125" t="s" s="1271">
        <v>1513</v>
      </c>
      <c r="B125" t="s" s="1271">
        <v>1514</v>
      </c>
      <c r="C125" t="s" s="1271">
        <v>337</v>
      </c>
      <c r="D125" s="1267"/>
      <c r="E125" s="142"/>
      <c r="F125" s="142"/>
      <c r="G125" s="142"/>
      <c r="H125" s="142"/>
      <c r="I125" s="142"/>
      <c r="J125" s="142"/>
      <c r="K125" s="142"/>
      <c r="L125" s="142"/>
      <c r="M125" s="142"/>
      <c r="N125" s="142"/>
    </row>
    <row r="126" ht="38.25" customHeight="1">
      <c r="A126" t="s" s="1271">
        <v>1515</v>
      </c>
      <c r="B126" t="s" s="1271">
        <v>1516</v>
      </c>
      <c r="C126" t="s" s="1271">
        <v>343</v>
      </c>
      <c r="D126" s="1267"/>
      <c r="E126" s="142"/>
      <c r="F126" s="142"/>
      <c r="G126" s="142"/>
      <c r="H126" s="142"/>
      <c r="I126" s="142"/>
      <c r="J126" s="142"/>
      <c r="K126" s="142"/>
      <c r="L126" s="142"/>
      <c r="M126" s="142"/>
      <c r="N126" s="142"/>
    </row>
    <row r="127" ht="25.5" customHeight="1">
      <c r="A127" t="s" s="1271">
        <v>1517</v>
      </c>
      <c r="B127" t="s" s="1271">
        <v>1518</v>
      </c>
      <c r="C127" t="s" s="1271">
        <v>346</v>
      </c>
      <c r="D127" s="1267"/>
      <c r="E127" t="s" s="386">
        <v>1519</v>
      </c>
      <c r="F127" s="142"/>
      <c r="G127" s="142"/>
      <c r="H127" s="142"/>
      <c r="I127" s="142"/>
      <c r="J127" s="142"/>
      <c r="K127" s="142"/>
      <c r="L127" s="142"/>
      <c r="M127" s="142"/>
      <c r="N127" s="142"/>
    </row>
    <row r="128" ht="13.65" customHeight="1">
      <c r="A128" t="s" s="1271">
        <v>1520</v>
      </c>
      <c r="B128" t="s" s="1271">
        <v>1521</v>
      </c>
      <c r="C128" t="s" s="1271">
        <v>341</v>
      </c>
      <c r="D128" s="1267"/>
      <c r="E128" s="142"/>
      <c r="F128" s="142"/>
      <c r="G128" s="142"/>
      <c r="H128" s="142"/>
      <c r="I128" s="142"/>
      <c r="J128" s="142"/>
      <c r="K128" s="142"/>
      <c r="L128" s="142"/>
      <c r="M128" s="142"/>
      <c r="N128" s="142"/>
    </row>
    <row r="129" ht="13.65" customHeight="1">
      <c r="A129" t="s" s="1271">
        <v>1522</v>
      </c>
      <c r="B129" t="s" s="1271">
        <v>1522</v>
      </c>
      <c r="C129" t="s" s="1271">
        <v>1523</v>
      </c>
      <c r="D129" s="1267"/>
      <c r="E129" s="142"/>
      <c r="F129" s="142"/>
      <c r="G129" s="142"/>
      <c r="H129" s="142"/>
      <c r="I129" s="142"/>
      <c r="J129" s="142"/>
      <c r="K129" s="142"/>
      <c r="L129" s="142"/>
      <c r="M129" s="142"/>
      <c r="N129" s="142"/>
    </row>
    <row r="130" ht="25.5" customHeight="1">
      <c r="A130" t="s" s="1271">
        <v>1524</v>
      </c>
      <c r="B130" t="s" s="1271">
        <v>1525</v>
      </c>
      <c r="C130" t="s" s="1271">
        <v>1526</v>
      </c>
      <c r="D130" s="1267"/>
      <c r="E130" s="142"/>
      <c r="F130" s="142"/>
      <c r="G130" s="142"/>
      <c r="H130" s="142"/>
      <c r="I130" s="142"/>
      <c r="J130" s="142"/>
      <c r="K130" s="142"/>
      <c r="L130" s="142"/>
      <c r="M130" s="142"/>
      <c r="N130" s="142"/>
    </row>
    <row r="131" ht="25.5" customHeight="1">
      <c r="A131" t="s" s="1271">
        <v>1527</v>
      </c>
      <c r="B131" t="s" s="1271">
        <v>1528</v>
      </c>
      <c r="C131" t="s" s="1271">
        <v>336</v>
      </c>
      <c r="D131" s="1267"/>
      <c r="E131" s="142"/>
      <c r="F131" s="142"/>
      <c r="G131" s="142"/>
      <c r="H131" s="142"/>
      <c r="I131" s="142"/>
      <c r="J131" s="142"/>
      <c r="K131" s="142"/>
      <c r="L131" s="142"/>
      <c r="M131" s="142"/>
      <c r="N131" s="142"/>
    </row>
    <row r="132" ht="13.65" customHeight="1">
      <c r="A132" t="s" s="1271">
        <v>1529</v>
      </c>
      <c r="B132" t="s" s="1271">
        <v>1530</v>
      </c>
      <c r="C132" t="s" s="1271">
        <v>338</v>
      </c>
      <c r="D132" s="1267"/>
      <c r="E132" s="142"/>
      <c r="F132" s="142"/>
      <c r="G132" s="142"/>
      <c r="H132" s="142"/>
      <c r="I132" s="142"/>
      <c r="J132" s="142"/>
      <c r="K132" s="142"/>
      <c r="L132" s="142"/>
      <c r="M132" s="142"/>
      <c r="N132" s="142"/>
    </row>
    <row r="133" ht="13.65" customHeight="1">
      <c r="A133" t="s" s="1271">
        <v>1531</v>
      </c>
      <c r="B133" t="s" s="1271">
        <v>1532</v>
      </c>
      <c r="C133" t="s" s="1271">
        <v>1533</v>
      </c>
      <c r="D133" s="1267"/>
      <c r="E133" s="142"/>
      <c r="F133" s="142"/>
      <c r="G133" s="142"/>
      <c r="H133" s="142"/>
      <c r="I133" s="142"/>
      <c r="J133" s="142"/>
      <c r="K133" s="142"/>
      <c r="L133" s="142"/>
      <c r="M133" s="142"/>
      <c r="N133" s="142"/>
    </row>
    <row r="134" ht="13.65" customHeight="1">
      <c r="A134" t="s" s="1271">
        <v>1534</v>
      </c>
      <c r="B134" t="s" s="1271">
        <v>1535</v>
      </c>
      <c r="C134" t="s" s="1271">
        <v>1536</v>
      </c>
      <c r="D134" s="1267"/>
      <c r="E134" s="142"/>
      <c r="F134" s="142"/>
      <c r="G134" s="142"/>
      <c r="H134" s="142"/>
      <c r="I134" s="142"/>
      <c r="J134" s="142"/>
      <c r="K134" s="142"/>
      <c r="L134" s="142"/>
      <c r="M134" s="142"/>
      <c r="N134" s="142"/>
    </row>
    <row r="135" ht="13.65" customHeight="1">
      <c r="A135" t="s" s="338">
        <v>1370</v>
      </c>
      <c r="B135" t="s" s="338">
        <v>1537</v>
      </c>
      <c r="C135" t="s" s="1271">
        <v>227</v>
      </c>
      <c r="D135" s="1267"/>
      <c r="E135" s="142"/>
      <c r="F135" s="142"/>
      <c r="G135" s="142"/>
      <c r="H135" s="142"/>
      <c r="I135" s="142"/>
      <c r="J135" s="142"/>
      <c r="K135" s="142"/>
      <c r="L135" s="142"/>
      <c r="M135" s="142"/>
      <c r="N135" s="142"/>
    </row>
    <row r="136" ht="13.65" customHeight="1">
      <c r="A136" t="s" s="338">
        <v>1538</v>
      </c>
      <c r="B136" t="s" s="338">
        <v>1539</v>
      </c>
      <c r="C136" t="s" s="1271">
        <v>203</v>
      </c>
      <c r="D136" s="1267"/>
      <c r="E136" s="142"/>
      <c r="F136" s="142"/>
      <c r="G136" s="142"/>
      <c r="H136" s="142"/>
      <c r="I136" s="142"/>
      <c r="J136" s="142"/>
      <c r="K136" s="142"/>
      <c r="L136" s="142"/>
      <c r="M136" s="142"/>
      <c r="N136" s="142"/>
    </row>
    <row r="137" ht="13.65" customHeight="1">
      <c r="A137" t="s" s="338">
        <v>1540</v>
      </c>
      <c r="B137" t="s" s="338">
        <v>1541</v>
      </c>
      <c r="C137" t="s" s="1271">
        <v>224</v>
      </c>
      <c r="D137" s="1267"/>
      <c r="E137" s="142"/>
      <c r="F137" s="142"/>
      <c r="G137" s="142"/>
      <c r="H137" s="142"/>
      <c r="I137" s="142"/>
      <c r="J137" s="142"/>
      <c r="K137" s="142"/>
      <c r="L137" s="142"/>
      <c r="M137" s="142"/>
      <c r="N137" s="142"/>
    </row>
    <row r="138" ht="13.5" customHeight="1">
      <c r="A138" t="s" s="1271">
        <v>1542</v>
      </c>
      <c r="B138" t="s" s="1271">
        <v>1543</v>
      </c>
      <c r="C138" t="s" s="1271">
        <v>1544</v>
      </c>
      <c r="D138" s="1267"/>
      <c r="E138" s="142"/>
      <c r="F138" s="142"/>
      <c r="G138" s="142"/>
      <c r="H138" s="142"/>
      <c r="I138" s="142"/>
      <c r="J138" s="142"/>
      <c r="K138" s="142"/>
      <c r="L138" s="142"/>
      <c r="M138" s="142"/>
      <c r="N138" s="142"/>
    </row>
    <row r="139" ht="13.65" customHeight="1">
      <c r="A139" t="s" s="338">
        <v>1545</v>
      </c>
      <c r="B139" t="s" s="338">
        <v>1546</v>
      </c>
      <c r="C139" t="s" s="1271">
        <v>1547</v>
      </c>
      <c r="D139" s="1267"/>
      <c r="E139" s="142"/>
      <c r="F139" s="142"/>
      <c r="G139" s="142"/>
      <c r="H139" s="142"/>
      <c r="I139" s="142"/>
      <c r="J139" s="142"/>
      <c r="K139" s="142"/>
      <c r="L139" s="142"/>
      <c r="M139" s="142"/>
      <c r="N139" s="142"/>
    </row>
    <row r="140" ht="13.65" customHeight="1">
      <c r="A140" t="s" s="338">
        <v>1548</v>
      </c>
      <c r="B140" t="s" s="338">
        <v>1549</v>
      </c>
      <c r="C140" t="s" s="1271">
        <v>1550</v>
      </c>
      <c r="D140" s="1267"/>
      <c r="E140" s="142"/>
      <c r="F140" s="142"/>
      <c r="G140" s="142"/>
      <c r="H140" s="142"/>
      <c r="I140" s="142"/>
      <c r="J140" s="142"/>
      <c r="K140" s="142"/>
      <c r="L140" s="142"/>
      <c r="M140" s="142"/>
      <c r="N140" s="142"/>
    </row>
    <row r="141" ht="13.65" customHeight="1">
      <c r="A141" t="s" s="338">
        <v>1551</v>
      </c>
      <c r="B141" t="s" s="338">
        <v>1552</v>
      </c>
      <c r="C141" t="s" s="1271">
        <v>1553</v>
      </c>
      <c r="D141" s="1267"/>
      <c r="E141" s="142"/>
      <c r="F141" s="142"/>
      <c r="G141" s="142"/>
      <c r="H141" s="142"/>
      <c r="I141" s="142"/>
      <c r="J141" s="142"/>
      <c r="K141" s="142"/>
      <c r="L141" s="142"/>
      <c r="M141" s="142"/>
      <c r="N141" s="142"/>
    </row>
    <row r="142" ht="13.65" customHeight="1">
      <c r="A142" t="s" s="338">
        <v>1554</v>
      </c>
      <c r="B142" t="s" s="338">
        <v>1554</v>
      </c>
      <c r="C142" t="s" s="1271">
        <v>1554</v>
      </c>
      <c r="D142" s="1267"/>
      <c r="E142" s="142"/>
      <c r="F142" s="142"/>
      <c r="G142" s="142"/>
      <c r="H142" s="142"/>
      <c r="I142" s="142"/>
      <c r="J142" s="142"/>
      <c r="K142" s="142"/>
      <c r="L142" s="142"/>
      <c r="M142" s="142"/>
      <c r="N142" s="142"/>
    </row>
    <row r="143" ht="38.25" customHeight="1">
      <c r="A143" t="s" s="1271">
        <v>1555</v>
      </c>
      <c r="B143" t="s" s="1271">
        <v>1556</v>
      </c>
      <c r="C143" t="s" s="1271">
        <v>372</v>
      </c>
      <c r="D143" s="1267"/>
      <c r="E143" s="142"/>
      <c r="F143" s="142"/>
      <c r="G143" s="142"/>
      <c r="H143" s="142"/>
      <c r="I143" s="142"/>
      <c r="J143" s="142"/>
      <c r="K143" s="142"/>
      <c r="L143" s="142"/>
      <c r="M143" s="142"/>
      <c r="N143" s="142"/>
    </row>
    <row r="144" ht="13.65" customHeight="1">
      <c r="A144" t="s" s="338">
        <v>1557</v>
      </c>
      <c r="B144" t="s" s="338">
        <v>1558</v>
      </c>
      <c r="C144" t="s" s="1271">
        <v>374</v>
      </c>
      <c r="D144" s="1267"/>
      <c r="E144" s="142"/>
      <c r="F144" s="142"/>
      <c r="G144" s="142"/>
      <c r="H144" s="142"/>
      <c r="I144" s="142"/>
      <c r="J144" s="142"/>
      <c r="K144" s="142"/>
      <c r="L144" s="142"/>
      <c r="M144" s="142"/>
      <c r="N144" s="142"/>
    </row>
    <row r="145" ht="13.65" customHeight="1">
      <c r="A145" t="s" s="338">
        <v>1559</v>
      </c>
      <c r="B145" t="s" s="338">
        <v>1560</v>
      </c>
      <c r="C145" t="s" s="1271">
        <v>376</v>
      </c>
      <c r="D145" s="1267"/>
      <c r="E145" s="142"/>
      <c r="F145" s="142"/>
      <c r="G145" s="142"/>
      <c r="H145" s="142"/>
      <c r="I145" s="142"/>
      <c r="J145" s="142"/>
      <c r="K145" s="142"/>
      <c r="L145" s="142"/>
      <c r="M145" s="142"/>
      <c r="N145" s="142"/>
    </row>
    <row r="146" ht="13.65" customHeight="1">
      <c r="A146" t="s" s="338">
        <v>1561</v>
      </c>
      <c r="B146" t="s" s="338">
        <v>1562</v>
      </c>
      <c r="C146" t="s" s="1271">
        <v>378</v>
      </c>
      <c r="D146" s="1267"/>
      <c r="E146" s="142"/>
      <c r="F146" s="142"/>
      <c r="G146" s="142"/>
      <c r="H146" s="142"/>
      <c r="I146" s="142"/>
      <c r="J146" s="142"/>
      <c r="K146" s="142"/>
      <c r="L146" s="142"/>
      <c r="M146" s="142"/>
      <c r="N146" s="142"/>
    </row>
    <row r="147" ht="13.65" customHeight="1">
      <c r="A147" t="s" s="338">
        <v>1563</v>
      </c>
      <c r="B147" t="s" s="338">
        <v>1564</v>
      </c>
      <c r="C147" t="s" s="1271">
        <v>380</v>
      </c>
      <c r="D147" s="1267"/>
      <c r="E147" s="142"/>
      <c r="F147" s="142"/>
      <c r="G147" s="142"/>
      <c r="H147" s="142"/>
      <c r="I147" s="142"/>
      <c r="J147" s="142"/>
      <c r="K147" s="142"/>
      <c r="L147" s="142"/>
      <c r="M147" s="142"/>
      <c r="N147" s="142"/>
    </row>
    <row r="148" ht="13.65" customHeight="1">
      <c r="A148" t="s" s="338">
        <v>1565</v>
      </c>
      <c r="B148" t="s" s="338">
        <v>1566</v>
      </c>
      <c r="C148" t="s" s="1271">
        <v>1567</v>
      </c>
      <c r="D148" s="1267"/>
      <c r="E148" s="142"/>
      <c r="F148" s="142"/>
      <c r="G148" s="142"/>
      <c r="H148" s="142"/>
      <c r="I148" s="142"/>
      <c r="J148" s="142"/>
      <c r="K148" s="142"/>
      <c r="L148" s="142"/>
      <c r="M148" s="142"/>
      <c r="N148" s="142"/>
    </row>
    <row r="149" ht="13.65" customHeight="1">
      <c r="A149" t="s" s="338">
        <v>1568</v>
      </c>
      <c r="B149" t="s" s="338">
        <v>1569</v>
      </c>
      <c r="C149" t="s" s="1271">
        <v>1570</v>
      </c>
      <c r="D149" s="1267"/>
      <c r="E149" s="142"/>
      <c r="F149" s="142"/>
      <c r="G149" s="142"/>
      <c r="H149" s="142"/>
      <c r="I149" s="142"/>
      <c r="J149" s="142"/>
      <c r="K149" s="142"/>
      <c r="L149" s="142"/>
      <c r="M149" s="142"/>
      <c r="N149" s="142"/>
    </row>
    <row r="150" ht="13.65" customHeight="1">
      <c r="A150" t="s" s="338">
        <v>1571</v>
      </c>
      <c r="B150" t="s" s="338">
        <v>1572</v>
      </c>
      <c r="C150" t="s" s="1271">
        <v>1573</v>
      </c>
      <c r="D150" s="1267"/>
      <c r="E150" s="142"/>
      <c r="F150" s="142"/>
      <c r="G150" s="142"/>
      <c r="H150" s="142"/>
      <c r="I150" s="142"/>
      <c r="J150" s="142"/>
      <c r="K150" s="142"/>
      <c r="L150" s="142"/>
      <c r="M150" s="142"/>
      <c r="N150" s="142"/>
    </row>
    <row r="151" ht="13.65" customHeight="1">
      <c r="A151" t="s" s="338">
        <v>1574</v>
      </c>
      <c r="B151" t="s" s="338">
        <v>1575</v>
      </c>
      <c r="C151" t="s" s="1271">
        <v>1576</v>
      </c>
      <c r="D151" s="1267"/>
      <c r="E151" s="142"/>
      <c r="F151" s="142"/>
      <c r="G151" s="142"/>
      <c r="H151" s="142"/>
      <c r="I151" s="142"/>
      <c r="J151" s="142"/>
      <c r="K151" s="142"/>
      <c r="L151" s="142"/>
      <c r="M151" s="142"/>
      <c r="N151" s="142"/>
    </row>
    <row r="152" ht="13.65" customHeight="1">
      <c r="A152" t="s" s="338">
        <v>1577</v>
      </c>
      <c r="B152" t="s" s="338">
        <v>1578</v>
      </c>
      <c r="C152" t="s" s="1271">
        <v>1579</v>
      </c>
      <c r="D152" s="1267"/>
      <c r="E152" s="142"/>
      <c r="F152" s="142"/>
      <c r="G152" s="142"/>
      <c r="H152" s="142"/>
      <c r="I152" s="142"/>
      <c r="J152" s="142"/>
      <c r="K152" s="142"/>
      <c r="L152" s="142"/>
      <c r="M152" s="142"/>
      <c r="N152" s="142"/>
    </row>
    <row r="153" ht="25.5" customHeight="1">
      <c r="A153" t="s" s="1271">
        <v>1580</v>
      </c>
      <c r="B153" t="s" s="1271">
        <v>1581</v>
      </c>
      <c r="C153" t="s" s="1271">
        <v>1582</v>
      </c>
      <c r="D153" s="1267"/>
      <c r="E153" s="142"/>
      <c r="F153" s="142"/>
      <c r="G153" s="142"/>
      <c r="H153" s="142"/>
      <c r="I153" s="142"/>
      <c r="J153" s="142"/>
      <c r="K153" s="142"/>
      <c r="L153" s="142"/>
      <c r="M153" s="142"/>
      <c r="N153" s="142"/>
    </row>
    <row r="154" ht="25.5" customHeight="1">
      <c r="A154" t="s" s="1271">
        <v>1583</v>
      </c>
      <c r="B154" t="s" s="1271">
        <v>1584</v>
      </c>
      <c r="C154" t="s" s="1271">
        <v>1585</v>
      </c>
      <c r="D154" s="1267"/>
      <c r="E154" s="142"/>
      <c r="F154" s="142"/>
      <c r="G154" s="142"/>
      <c r="H154" s="142"/>
      <c r="I154" s="142"/>
      <c r="J154" s="142"/>
      <c r="K154" s="142"/>
      <c r="L154" s="142"/>
      <c r="M154" s="142"/>
      <c r="N154" s="142"/>
    </row>
    <row r="155" ht="13.65" customHeight="1">
      <c r="A155" t="s" s="338">
        <v>1586</v>
      </c>
      <c r="B155" t="s" s="338">
        <v>1587</v>
      </c>
      <c r="C155" t="s" s="1271">
        <v>1588</v>
      </c>
      <c r="D155" s="1267"/>
      <c r="E155" s="142"/>
      <c r="F155" s="142"/>
      <c r="G155" s="142"/>
      <c r="H155" s="142"/>
      <c r="I155" s="142"/>
      <c r="J155" s="142"/>
      <c r="K155" s="142"/>
      <c r="L155" s="142"/>
      <c r="M155" s="142"/>
      <c r="N155" s="142"/>
    </row>
    <row r="156" ht="13.65" customHeight="1">
      <c r="A156" t="s" s="338">
        <v>1589</v>
      </c>
      <c r="B156" t="s" s="338">
        <v>1590</v>
      </c>
      <c r="C156" t="s" s="1271">
        <v>1591</v>
      </c>
      <c r="D156" s="1267"/>
      <c r="E156" s="142"/>
      <c r="F156" s="142"/>
      <c r="G156" s="142"/>
      <c r="H156" s="142"/>
      <c r="I156" s="142"/>
      <c r="J156" s="142"/>
      <c r="K156" s="142"/>
      <c r="L156" s="142"/>
      <c r="M156" s="142"/>
      <c r="N156" s="142"/>
    </row>
    <row r="157" ht="13.65" customHeight="1">
      <c r="A157" t="s" s="338">
        <v>1592</v>
      </c>
      <c r="B157" t="s" s="338">
        <v>1593</v>
      </c>
      <c r="C157" t="s" s="1271">
        <v>1594</v>
      </c>
      <c r="D157" s="1267"/>
      <c r="E157" s="142"/>
      <c r="F157" s="142"/>
      <c r="G157" s="142"/>
      <c r="H157" s="142"/>
      <c r="I157" s="142"/>
      <c r="J157" s="142"/>
      <c r="K157" s="142"/>
      <c r="L157" s="142"/>
      <c r="M157" s="142"/>
      <c r="N157" s="142"/>
    </row>
    <row r="158" ht="13.65" customHeight="1">
      <c r="A158" t="s" s="338">
        <v>1595</v>
      </c>
      <c r="B158" t="s" s="338">
        <v>1596</v>
      </c>
      <c r="C158" t="s" s="1271">
        <v>1597</v>
      </c>
      <c r="D158" s="1267"/>
      <c r="E158" s="142"/>
      <c r="F158" s="142"/>
      <c r="G158" s="142"/>
      <c r="H158" s="142"/>
      <c r="I158" s="142"/>
      <c r="J158" s="142"/>
      <c r="K158" s="142"/>
      <c r="L158" s="142"/>
      <c r="M158" s="142"/>
      <c r="N158" s="142"/>
    </row>
    <row r="159" ht="13.65" customHeight="1">
      <c r="A159" t="s" s="338">
        <v>1598</v>
      </c>
      <c r="B159" t="s" s="338">
        <v>1599</v>
      </c>
      <c r="C159" t="s" s="1271">
        <v>1600</v>
      </c>
      <c r="D159" s="1267"/>
      <c r="E159" s="142"/>
      <c r="F159" s="142"/>
      <c r="G159" s="142"/>
      <c r="H159" s="142"/>
      <c r="I159" s="142"/>
      <c r="J159" s="142"/>
      <c r="K159" s="142"/>
      <c r="L159" s="142"/>
      <c r="M159" s="142"/>
      <c r="N159" s="142"/>
    </row>
    <row r="160" ht="13.65" customHeight="1">
      <c r="A160" t="s" s="338">
        <v>1601</v>
      </c>
      <c r="B160" t="s" s="338">
        <v>1602</v>
      </c>
      <c r="C160" t="s" s="1271">
        <v>1603</v>
      </c>
      <c r="D160" s="1267"/>
      <c r="E160" s="142"/>
      <c r="F160" s="142"/>
      <c r="G160" s="142"/>
      <c r="H160" s="142"/>
      <c r="I160" s="142"/>
      <c r="J160" s="142"/>
      <c r="K160" s="142"/>
      <c r="L160" s="142"/>
      <c r="M160" s="142"/>
      <c r="N160" s="142"/>
    </row>
    <row r="161" ht="13.65" customHeight="1">
      <c r="A161" t="s" s="338">
        <v>1604</v>
      </c>
      <c r="B161" t="s" s="338">
        <v>1605</v>
      </c>
      <c r="C161" t="s" s="1271">
        <v>1606</v>
      </c>
      <c r="D161" s="1267"/>
      <c r="E161" s="142"/>
      <c r="F161" s="142"/>
      <c r="G161" s="142"/>
      <c r="H161" s="142"/>
      <c r="I161" s="142"/>
      <c r="J161" s="142"/>
      <c r="K161" s="142"/>
      <c r="L161" s="142"/>
      <c r="M161" s="142"/>
      <c r="N161" s="142"/>
    </row>
    <row r="162" ht="13.65" customHeight="1">
      <c r="A162" t="s" s="338">
        <v>1607</v>
      </c>
      <c r="B162" t="s" s="338">
        <v>1608</v>
      </c>
      <c r="C162" t="s" s="1271">
        <v>1609</v>
      </c>
      <c r="D162" s="1267"/>
      <c r="E162" s="142"/>
      <c r="F162" s="142"/>
      <c r="G162" s="142"/>
      <c r="H162" s="142"/>
      <c r="I162" s="142"/>
      <c r="J162" s="142"/>
      <c r="K162" s="142"/>
      <c r="L162" s="142"/>
      <c r="M162" s="142"/>
      <c r="N162" s="142"/>
    </row>
    <row r="163" ht="13.65" customHeight="1">
      <c r="A163" t="s" s="338">
        <v>1610</v>
      </c>
      <c r="B163" t="s" s="338">
        <v>1611</v>
      </c>
      <c r="C163" t="s" s="1271">
        <v>1612</v>
      </c>
      <c r="D163" s="1267"/>
      <c r="E163" s="142"/>
      <c r="F163" s="142"/>
      <c r="G163" s="142"/>
      <c r="H163" s="142"/>
      <c r="I163" s="142"/>
      <c r="J163" s="142"/>
      <c r="K163" s="142"/>
      <c r="L163" s="142"/>
      <c r="M163" s="142"/>
      <c r="N163" s="142"/>
    </row>
    <row r="164" ht="13.65" customHeight="1">
      <c r="A164" t="s" s="338">
        <v>1613</v>
      </c>
      <c r="B164" t="s" s="338">
        <v>1614</v>
      </c>
      <c r="C164" t="s" s="1271">
        <v>1615</v>
      </c>
      <c r="D164" s="1267"/>
      <c r="E164" s="142"/>
      <c r="F164" s="142"/>
      <c r="G164" s="142"/>
      <c r="H164" s="142"/>
      <c r="I164" s="142"/>
      <c r="J164" s="142"/>
      <c r="K164" s="142"/>
      <c r="L164" s="142"/>
      <c r="M164" s="142"/>
      <c r="N164" s="142"/>
    </row>
    <row r="165" ht="13.65" customHeight="1">
      <c r="A165" t="s" s="338">
        <v>1616</v>
      </c>
      <c r="B165" t="s" s="338">
        <v>1617</v>
      </c>
      <c r="C165" t="s" s="1271">
        <v>1618</v>
      </c>
      <c r="D165" s="1267"/>
      <c r="E165" s="142"/>
      <c r="F165" s="142"/>
      <c r="G165" s="142"/>
      <c r="H165" s="142"/>
      <c r="I165" s="142"/>
      <c r="J165" s="142"/>
      <c r="K165" s="142"/>
      <c r="L165" s="142"/>
      <c r="M165" s="142"/>
      <c r="N165" s="142"/>
    </row>
    <row r="166" ht="13.65" customHeight="1">
      <c r="A166" t="s" s="338">
        <v>1619</v>
      </c>
      <c r="B166" t="s" s="338">
        <v>1620</v>
      </c>
      <c r="C166" t="s" s="1271">
        <v>1621</v>
      </c>
      <c r="D166" s="1267"/>
      <c r="E166" s="142"/>
      <c r="F166" s="142"/>
      <c r="G166" s="142"/>
      <c r="H166" s="142"/>
      <c r="I166" s="142"/>
      <c r="J166" s="142"/>
      <c r="K166" s="142"/>
      <c r="L166" s="142"/>
      <c r="M166" s="142"/>
      <c r="N166" s="142"/>
    </row>
    <row r="167" ht="13.65" customHeight="1">
      <c r="A167" t="s" s="338">
        <v>1622</v>
      </c>
      <c r="B167" t="s" s="338">
        <v>1623</v>
      </c>
      <c r="C167" t="s" s="1271">
        <v>1624</v>
      </c>
      <c r="D167" s="1267"/>
      <c r="E167" s="142"/>
      <c r="F167" s="142"/>
      <c r="G167" s="142"/>
      <c r="H167" s="142"/>
      <c r="I167" s="142"/>
      <c r="J167" s="142"/>
      <c r="K167" s="142"/>
      <c r="L167" s="142"/>
      <c r="M167" s="142"/>
      <c r="N167" s="142"/>
    </row>
    <row r="168" ht="13.65" customHeight="1">
      <c r="A168" t="s" s="338">
        <v>1625</v>
      </c>
      <c r="B168" t="s" s="338">
        <v>1626</v>
      </c>
      <c r="C168" t="s" s="1271">
        <v>214</v>
      </c>
      <c r="D168" s="1267"/>
      <c r="E168" s="142"/>
      <c r="F168" s="142"/>
      <c r="G168" s="142"/>
      <c r="H168" s="142"/>
      <c r="I168" s="142"/>
      <c r="J168" s="142"/>
      <c r="K168" s="142"/>
      <c r="L168" s="142"/>
      <c r="M168" s="142"/>
      <c r="N168" s="142"/>
    </row>
    <row r="169" ht="13.65" customHeight="1">
      <c r="A169" t="s" s="338">
        <v>1627</v>
      </c>
      <c r="B169" t="s" s="338">
        <v>1628</v>
      </c>
      <c r="C169" t="s" s="1271">
        <v>347</v>
      </c>
      <c r="D169" s="1267"/>
      <c r="E169" s="142"/>
      <c r="F169" s="142"/>
      <c r="G169" s="142"/>
      <c r="H169" s="142"/>
      <c r="I169" s="142"/>
      <c r="J169" s="142"/>
      <c r="K169" s="142"/>
      <c r="L169" s="142"/>
      <c r="M169" s="142"/>
      <c r="N169" s="142"/>
    </row>
    <row r="170" ht="13.65" customHeight="1">
      <c r="A170" t="s" s="338">
        <v>1629</v>
      </c>
      <c r="B170" t="s" s="338">
        <v>1630</v>
      </c>
      <c r="C170" t="s" s="1271">
        <v>1631</v>
      </c>
      <c r="D170" s="1267"/>
      <c r="E170" s="142"/>
      <c r="F170" s="142"/>
      <c r="G170" s="142"/>
      <c r="H170" s="142"/>
      <c r="I170" s="142"/>
      <c r="J170" s="142"/>
      <c r="K170" s="142"/>
      <c r="L170" s="142"/>
      <c r="M170" s="142"/>
      <c r="N170" s="142"/>
    </row>
    <row r="171" ht="25.5" customHeight="1">
      <c r="A171" t="s" s="1271">
        <v>1632</v>
      </c>
      <c r="B171" t="s" s="1271">
        <v>1633</v>
      </c>
      <c r="C171" t="s" s="1271">
        <v>1634</v>
      </c>
      <c r="D171" s="1267"/>
      <c r="E171" s="142"/>
      <c r="F171" s="142"/>
      <c r="G171" s="142"/>
      <c r="H171" s="142"/>
      <c r="I171" s="142"/>
      <c r="J171" s="142"/>
      <c r="K171" s="142"/>
      <c r="L171" s="142"/>
      <c r="M171" s="142"/>
      <c r="N171" s="142"/>
    </row>
    <row r="172" ht="13.65" customHeight="1">
      <c r="A172" t="s" s="1271">
        <v>1635</v>
      </c>
      <c r="B172" t="s" s="1271">
        <v>1636</v>
      </c>
      <c r="C172" t="s" s="1271">
        <v>1637</v>
      </c>
      <c r="D172" s="1267"/>
      <c r="E172" s="142"/>
      <c r="F172" s="142"/>
      <c r="G172" s="142"/>
      <c r="H172" s="142"/>
      <c r="I172" s="142"/>
      <c r="J172" s="142"/>
      <c r="K172" s="142"/>
      <c r="L172" s="142"/>
      <c r="M172" s="142"/>
      <c r="N172" s="142"/>
    </row>
    <row r="173" ht="11.25" customHeight="1">
      <c r="A173" t="s" s="1271">
        <v>1638</v>
      </c>
      <c r="B173" t="s" s="338">
        <v>1639</v>
      </c>
      <c r="C173" t="s" s="1272">
        <v>1640</v>
      </c>
      <c r="D173" s="1267"/>
      <c r="E173" s="142"/>
      <c r="F173" s="142"/>
      <c r="G173" s="142"/>
      <c r="H173" s="142"/>
      <c r="I173" s="142"/>
      <c r="J173" s="142"/>
      <c r="K173" s="142"/>
      <c r="L173" s="142"/>
      <c r="M173" s="142"/>
      <c r="N173" s="142"/>
    </row>
    <row r="174" ht="13.65" customHeight="1">
      <c r="A174" t="s" s="1271">
        <v>1641</v>
      </c>
      <c r="B174" t="s" s="1271">
        <v>1642</v>
      </c>
      <c r="C174" t="s" s="1271">
        <v>1643</v>
      </c>
      <c r="D174" s="1267"/>
      <c r="E174" s="142"/>
      <c r="F174" s="142"/>
      <c r="G174" s="142"/>
      <c r="H174" s="142"/>
      <c r="I174" s="142"/>
      <c r="J174" s="142"/>
      <c r="K174" s="142"/>
      <c r="L174" s="142"/>
      <c r="M174" s="142"/>
      <c r="N174" s="142"/>
    </row>
    <row r="175" ht="13.65" customHeight="1">
      <c r="A175" t="s" s="1271">
        <v>1644</v>
      </c>
      <c r="B175" t="s" s="1271">
        <v>1645</v>
      </c>
      <c r="C175" t="s" s="1271">
        <v>1646</v>
      </c>
      <c r="D175" s="1267"/>
      <c r="E175" s="142"/>
      <c r="F175" s="142"/>
      <c r="G175" s="142"/>
      <c r="H175" s="142"/>
      <c r="I175" s="142"/>
      <c r="J175" s="142"/>
      <c r="K175" s="142"/>
      <c r="L175" s="142"/>
      <c r="M175" s="142"/>
      <c r="N175" s="142"/>
    </row>
    <row r="176" ht="13.65" customHeight="1">
      <c r="A176" t="s" s="1271">
        <v>1647</v>
      </c>
      <c r="B176" t="s" s="1271">
        <v>1648</v>
      </c>
      <c r="C176" t="s" s="1271">
        <v>1649</v>
      </c>
      <c r="D176" s="1267"/>
      <c r="E176" s="142"/>
      <c r="F176" s="142"/>
      <c r="G176" s="142"/>
      <c r="H176" s="142"/>
      <c r="I176" s="142"/>
      <c r="J176" s="142"/>
      <c r="K176" s="142"/>
      <c r="L176" s="142"/>
      <c r="M176" s="142"/>
      <c r="N176" s="142"/>
    </row>
    <row r="177" ht="13.65" customHeight="1">
      <c r="A177" t="s" s="1271">
        <v>1650</v>
      </c>
      <c r="B177" t="s" s="1271">
        <v>1651</v>
      </c>
      <c r="C177" t="s" s="1271">
        <v>1652</v>
      </c>
      <c r="D177" s="1267"/>
      <c r="E177" s="142"/>
      <c r="F177" s="142"/>
      <c r="G177" s="142"/>
      <c r="H177" s="142"/>
      <c r="I177" s="142"/>
      <c r="J177" s="142"/>
      <c r="K177" s="142"/>
      <c r="L177" s="142"/>
      <c r="M177" s="142"/>
      <c r="N177" s="142"/>
    </row>
    <row r="178" ht="13.65" customHeight="1">
      <c r="A178" t="s" s="1271">
        <v>1653</v>
      </c>
      <c r="B178" t="s" s="338">
        <v>1654</v>
      </c>
      <c r="C178" t="s" s="1271">
        <v>140</v>
      </c>
      <c r="D178" s="1267"/>
      <c r="E178" s="142"/>
      <c r="F178" s="142"/>
      <c r="G178" s="142"/>
      <c r="H178" s="142"/>
      <c r="I178" s="142"/>
      <c r="J178" s="142"/>
      <c r="K178" s="142"/>
      <c r="L178" s="142"/>
      <c r="M178" s="142"/>
      <c r="N178" s="142"/>
    </row>
    <row r="179" ht="13.65" customHeight="1">
      <c r="A179" t="s" s="1271">
        <v>1655</v>
      </c>
      <c r="B179" t="s" s="1271">
        <v>1656</v>
      </c>
      <c r="C179" t="s" s="1271">
        <v>1657</v>
      </c>
      <c r="D179" s="1267"/>
      <c r="E179" s="142"/>
      <c r="F179" s="142"/>
      <c r="G179" s="142"/>
      <c r="H179" s="142"/>
      <c r="I179" s="142"/>
      <c r="J179" s="142"/>
      <c r="K179" s="142"/>
      <c r="L179" s="142"/>
      <c r="M179" s="142"/>
      <c r="N179" s="142"/>
    </row>
    <row r="180" ht="13.65" customHeight="1">
      <c r="A180" t="s" s="1271">
        <v>1658</v>
      </c>
      <c r="B180" t="s" s="1271">
        <v>1659</v>
      </c>
      <c r="C180" t="s" s="1271">
        <v>1660</v>
      </c>
      <c r="D180" s="1267"/>
      <c r="E180" s="142"/>
      <c r="F180" s="142"/>
      <c r="G180" s="142"/>
      <c r="H180" s="142"/>
      <c r="I180" s="142"/>
      <c r="J180" s="142"/>
      <c r="K180" s="142"/>
      <c r="L180" s="142"/>
      <c r="M180" s="142"/>
      <c r="N180" s="142"/>
    </row>
    <row r="181" ht="13.65" customHeight="1">
      <c r="A181" t="s" s="1271">
        <v>1661</v>
      </c>
      <c r="B181" t="s" s="1271">
        <v>1662</v>
      </c>
      <c r="C181" t="s" s="1271">
        <v>142</v>
      </c>
      <c r="D181" s="1267"/>
      <c r="E181" s="142"/>
      <c r="F181" s="142"/>
      <c r="G181" s="142"/>
      <c r="H181" s="142"/>
      <c r="I181" s="142"/>
      <c r="J181" s="142"/>
      <c r="K181" s="142"/>
      <c r="L181" s="142"/>
      <c r="M181" s="142"/>
      <c r="N181" s="142"/>
    </row>
    <row r="182" ht="25.5" customHeight="1">
      <c r="A182" t="s" s="1271">
        <v>1663</v>
      </c>
      <c r="B182" t="s" s="1271">
        <v>1664</v>
      </c>
      <c r="C182" t="s" s="1271">
        <v>1665</v>
      </c>
      <c r="D182" s="1267"/>
      <c r="E182" s="142"/>
      <c r="F182" s="142"/>
      <c r="G182" s="142"/>
      <c r="H182" s="142"/>
      <c r="I182" s="142"/>
      <c r="J182" s="142"/>
      <c r="K182" s="142"/>
      <c r="L182" s="142"/>
      <c r="M182" s="142"/>
      <c r="N182" s="142"/>
    </row>
    <row r="183" ht="63.75" customHeight="1">
      <c r="A183" t="s" s="1271">
        <v>1666</v>
      </c>
      <c r="B183" t="s" s="1271">
        <v>1667</v>
      </c>
      <c r="C183" t="s" s="1271">
        <v>1668</v>
      </c>
      <c r="D183" s="1267"/>
      <c r="E183" s="142"/>
      <c r="F183" s="142"/>
      <c r="G183" s="142"/>
      <c r="H183" s="142"/>
      <c r="I183" s="142"/>
      <c r="J183" s="142"/>
      <c r="K183" s="142"/>
      <c r="L183" s="142"/>
      <c r="M183" s="142"/>
      <c r="N183" s="142"/>
    </row>
    <row r="184" ht="13.65" customHeight="1">
      <c r="A184" t="s" s="1271">
        <v>1669</v>
      </c>
      <c r="B184" t="s" s="1271">
        <v>1427</v>
      </c>
      <c r="C184" t="s" s="1271">
        <v>351</v>
      </c>
      <c r="D184" s="1267"/>
      <c r="E184" s="142"/>
      <c r="F184" s="142"/>
      <c r="G184" s="142"/>
      <c r="H184" s="142"/>
      <c r="I184" s="142"/>
      <c r="J184" s="142"/>
      <c r="K184" s="142"/>
      <c r="L184" s="142"/>
      <c r="M184" s="142"/>
      <c r="N184" s="142"/>
    </row>
    <row r="185" ht="13.65" customHeight="1">
      <c r="A185" t="s" s="1271">
        <v>1446</v>
      </c>
      <c r="B185" t="s" s="1271">
        <v>1447</v>
      </c>
      <c r="C185" t="s" s="1271">
        <v>1448</v>
      </c>
      <c r="D185" s="1267"/>
      <c r="E185" s="142"/>
      <c r="F185" s="142"/>
      <c r="G185" s="142"/>
      <c r="H185" s="142"/>
      <c r="I185" s="142"/>
      <c r="J185" s="142"/>
      <c r="K185" s="142"/>
      <c r="L185" s="142"/>
      <c r="M185" s="142"/>
      <c r="N185" s="142"/>
    </row>
    <row r="186" ht="38.25" customHeight="1">
      <c r="A186" t="s" s="1271">
        <v>1670</v>
      </c>
      <c r="B186" t="s" s="1271">
        <v>1671</v>
      </c>
      <c r="C186" t="s" s="1271">
        <v>355</v>
      </c>
      <c r="D186" s="1267"/>
      <c r="E186" s="142"/>
      <c r="F186" s="142"/>
      <c r="G186" s="142"/>
      <c r="H186" s="142"/>
      <c r="I186" s="142"/>
      <c r="J186" s="142"/>
      <c r="K186" s="142"/>
      <c r="L186" s="142"/>
      <c r="M186" s="142"/>
      <c r="N186" s="142"/>
    </row>
    <row r="187" ht="25.5" customHeight="1">
      <c r="A187" t="s" s="1271">
        <v>1672</v>
      </c>
      <c r="B187" t="s" s="1271">
        <v>1673</v>
      </c>
      <c r="C187" t="s" s="1271">
        <v>1674</v>
      </c>
      <c r="D187" s="1267"/>
      <c r="E187" s="142"/>
      <c r="F187" s="142"/>
      <c r="G187" s="142"/>
      <c r="H187" s="142"/>
      <c r="I187" s="142"/>
      <c r="J187" s="142"/>
      <c r="K187" s="142"/>
      <c r="L187" s="142"/>
      <c r="M187" s="142"/>
      <c r="N187" s="142"/>
    </row>
    <row r="188" ht="25.5" customHeight="1">
      <c r="A188" t="s" s="1271">
        <v>1675</v>
      </c>
      <c r="B188" t="s" s="1271">
        <v>1676</v>
      </c>
      <c r="C188" t="s" s="1271">
        <v>357</v>
      </c>
      <c r="D188" s="1267"/>
      <c r="E188" s="142"/>
      <c r="F188" s="142"/>
      <c r="G188" s="142"/>
      <c r="H188" s="142"/>
      <c r="I188" s="142"/>
      <c r="J188" s="142"/>
      <c r="K188" s="142"/>
      <c r="L188" s="142"/>
      <c r="M188" s="142"/>
      <c r="N188" s="142"/>
    </row>
    <row r="189" ht="39.75" customHeight="1">
      <c r="A189" t="s" s="1271">
        <v>1677</v>
      </c>
      <c r="B189" t="s" s="1271">
        <v>1678</v>
      </c>
      <c r="C189" t="s" s="1271">
        <v>1679</v>
      </c>
      <c r="D189" s="1267"/>
      <c r="E189" s="142"/>
      <c r="F189" s="142"/>
      <c r="G189" s="142"/>
      <c r="H189" s="142"/>
      <c r="I189" s="142"/>
      <c r="J189" s="142"/>
      <c r="K189" s="142"/>
      <c r="L189" s="142"/>
      <c r="M189" s="142"/>
      <c r="N189" s="142"/>
    </row>
    <row r="190" ht="28.5" customHeight="1">
      <c r="A190" t="s" s="1271">
        <v>1680</v>
      </c>
      <c r="B190" t="s" s="1271">
        <v>1681</v>
      </c>
      <c r="C190" t="s" s="1271">
        <v>1682</v>
      </c>
      <c r="D190" s="1267"/>
      <c r="E190" s="142"/>
      <c r="F190" s="142"/>
      <c r="G190" s="142"/>
      <c r="H190" s="142"/>
      <c r="I190" s="142"/>
      <c r="J190" s="142"/>
      <c r="K190" s="142"/>
      <c r="L190" s="142"/>
      <c r="M190" s="142"/>
      <c r="N190" s="142"/>
    </row>
    <row r="191" ht="39.75" customHeight="1">
      <c r="A191" t="s" s="1271">
        <v>1683</v>
      </c>
      <c r="B191" t="s" s="1271">
        <v>1684</v>
      </c>
      <c r="C191" t="s" s="1271">
        <v>1685</v>
      </c>
      <c r="D191" s="1267"/>
      <c r="E191" s="142"/>
      <c r="F191" s="142"/>
      <c r="G191" s="142"/>
      <c r="H191" s="142"/>
      <c r="I191" s="142"/>
      <c r="J191" s="142"/>
      <c r="K191" s="142"/>
      <c r="L191" s="142"/>
      <c r="M191" s="142"/>
      <c r="N191" s="142"/>
    </row>
    <row r="192" ht="13.65" customHeight="1">
      <c r="A192" t="s" s="1271">
        <v>361</v>
      </c>
      <c r="B192" t="s" s="1271">
        <v>361</v>
      </c>
      <c r="C192" t="s" s="1271">
        <v>361</v>
      </c>
      <c r="D192" s="1267"/>
      <c r="E192" s="142"/>
      <c r="F192" s="142"/>
      <c r="G192" s="142"/>
      <c r="H192" s="142"/>
      <c r="I192" s="142"/>
      <c r="J192" s="142"/>
      <c r="K192" s="142"/>
      <c r="L192" s="142"/>
      <c r="M192" s="142"/>
      <c r="N192" s="142"/>
    </row>
    <row r="193" ht="13.65" customHeight="1">
      <c r="A193" t="s" s="1271">
        <v>1686</v>
      </c>
      <c r="B193" t="s" s="1271">
        <v>1687</v>
      </c>
      <c r="C193" t="s" s="1271">
        <v>1473</v>
      </c>
      <c r="D193" s="1267"/>
      <c r="E193" s="142"/>
      <c r="F193" s="142"/>
      <c r="G193" s="142"/>
      <c r="H193" s="142"/>
      <c r="I193" s="142"/>
      <c r="J193" s="142"/>
      <c r="K193" s="142"/>
      <c r="L193" s="142"/>
      <c r="M193" s="142"/>
      <c r="N193" s="142"/>
    </row>
    <row r="194" ht="13.65" customHeight="1">
      <c r="A194" t="s" s="1271">
        <v>1474</v>
      </c>
      <c r="B194" t="s" s="1271">
        <v>1688</v>
      </c>
      <c r="C194" t="s" s="1271">
        <v>1476</v>
      </c>
      <c r="D194" s="1267"/>
      <c r="E194" s="142"/>
      <c r="F194" s="142"/>
      <c r="G194" s="142"/>
      <c r="H194" s="142"/>
      <c r="I194" s="142"/>
      <c r="J194" s="142"/>
      <c r="K194" s="142"/>
      <c r="L194" s="142"/>
      <c r="M194" s="142"/>
      <c r="N194" s="142"/>
    </row>
    <row r="195" ht="13.65" customHeight="1">
      <c r="A195" t="s" s="1271">
        <v>1689</v>
      </c>
      <c r="B195" t="s" s="1271">
        <v>1690</v>
      </c>
      <c r="C195" t="s" s="1271">
        <v>366</v>
      </c>
      <c r="D195" s="1267"/>
      <c r="E195" s="142"/>
      <c r="F195" s="142"/>
      <c r="G195" s="142"/>
      <c r="H195" s="142"/>
      <c r="I195" s="142"/>
      <c r="J195" s="142"/>
      <c r="K195" s="142"/>
      <c r="L195" s="142"/>
      <c r="M195" s="142"/>
      <c r="N195" s="142"/>
    </row>
    <row r="196" ht="13.65" customHeight="1">
      <c r="A196" t="s" s="1271">
        <v>1691</v>
      </c>
      <c r="B196" t="s" s="1271">
        <v>1692</v>
      </c>
      <c r="C196" t="s" s="1271">
        <v>349</v>
      </c>
      <c r="D196" s="1267"/>
      <c r="E196" s="142"/>
      <c r="F196" s="142"/>
      <c r="G196" s="142"/>
      <c r="H196" s="142"/>
      <c r="I196" s="142"/>
      <c r="J196" s="142"/>
      <c r="K196" s="142"/>
      <c r="L196" s="142"/>
      <c r="M196" s="142"/>
      <c r="N196" s="142"/>
    </row>
    <row r="197" ht="13.65" customHeight="1">
      <c r="A197" t="s" s="1271">
        <v>1693</v>
      </c>
      <c r="B197" t="s" s="1271">
        <v>1694</v>
      </c>
      <c r="C197" t="s" s="1271">
        <v>382</v>
      </c>
      <c r="D197" s="1267"/>
      <c r="E197" s="142"/>
      <c r="F197" s="142"/>
      <c r="G197" s="142"/>
      <c r="H197" s="142"/>
      <c r="I197" s="142"/>
      <c r="J197" s="142"/>
      <c r="K197" s="142"/>
      <c r="L197" s="142"/>
      <c r="M197" s="142"/>
      <c r="N197" s="142"/>
    </row>
    <row r="198" ht="13.65" customHeight="1">
      <c r="A198" t="s" s="1271">
        <v>1695</v>
      </c>
      <c r="B198" t="s" s="1271">
        <v>1696</v>
      </c>
      <c r="C198" t="s" s="1271">
        <v>350</v>
      </c>
      <c r="D198" s="1267"/>
      <c r="E198" s="142"/>
      <c r="F198" s="142"/>
      <c r="G198" s="142"/>
      <c r="H198" s="142"/>
      <c r="I198" s="142"/>
      <c r="J198" s="142"/>
      <c r="K198" s="142"/>
      <c r="L198" s="142"/>
      <c r="M198" s="142"/>
      <c r="N198" s="142"/>
    </row>
    <row r="199" ht="13.65" customHeight="1">
      <c r="A199" t="s" s="1271">
        <v>1697</v>
      </c>
      <c r="B199" t="s" s="1271">
        <v>1698</v>
      </c>
      <c r="C199" t="s" s="1271">
        <v>383</v>
      </c>
      <c r="D199" s="1267"/>
      <c r="E199" s="142"/>
      <c r="F199" s="142"/>
      <c r="G199" s="142"/>
      <c r="H199" s="142"/>
      <c r="I199" s="142"/>
      <c r="J199" s="142"/>
      <c r="K199" s="142"/>
      <c r="L199" s="142"/>
      <c r="M199" s="142"/>
      <c r="N199" s="142"/>
    </row>
    <row r="200" ht="13.65" customHeight="1">
      <c r="A200" t="s" s="1271">
        <v>1699</v>
      </c>
      <c r="B200" t="s" s="1271">
        <v>1700</v>
      </c>
      <c r="C200" t="s" s="1271">
        <v>386</v>
      </c>
      <c r="D200" s="1267"/>
      <c r="E200" s="142"/>
      <c r="F200" s="142"/>
      <c r="G200" s="142"/>
      <c r="H200" s="142"/>
      <c r="I200" s="142"/>
      <c r="J200" s="142"/>
      <c r="K200" s="142"/>
      <c r="L200" s="142"/>
      <c r="M200" s="142"/>
      <c r="N200" s="142"/>
    </row>
    <row r="201" ht="13.65" customHeight="1">
      <c r="A201" t="s" s="1271">
        <v>1701</v>
      </c>
      <c r="B201" t="s" s="1271">
        <v>1702</v>
      </c>
      <c r="C201" t="s" s="1271">
        <v>390</v>
      </c>
      <c r="D201" s="1267"/>
      <c r="E201" s="142"/>
      <c r="F201" s="142"/>
      <c r="G201" s="142"/>
      <c r="H201" s="142"/>
      <c r="I201" s="142"/>
      <c r="J201" s="142"/>
      <c r="K201" s="142"/>
      <c r="L201" s="142"/>
      <c r="M201" s="142"/>
      <c r="N201" s="142"/>
    </row>
    <row r="202" ht="13.65" customHeight="1">
      <c r="A202" t="s" s="1271">
        <v>1703</v>
      </c>
      <c r="B202" t="s" s="1271">
        <v>1704</v>
      </c>
      <c r="C202" t="s" s="1271">
        <v>387</v>
      </c>
      <c r="D202" s="1267"/>
      <c r="E202" s="142"/>
      <c r="F202" s="142"/>
      <c r="G202" s="142"/>
      <c r="H202" s="142"/>
      <c r="I202" s="142"/>
      <c r="J202" s="142"/>
      <c r="K202" s="142"/>
      <c r="L202" s="142"/>
      <c r="M202" s="142"/>
      <c r="N202" s="142"/>
    </row>
    <row r="203" ht="13.65" customHeight="1">
      <c r="A203" t="s" s="1271">
        <v>1705</v>
      </c>
      <c r="B203" t="s" s="1271">
        <v>1706</v>
      </c>
      <c r="C203" t="s" s="1271">
        <v>391</v>
      </c>
      <c r="D203" s="1267"/>
      <c r="E203" s="142"/>
      <c r="F203" s="142"/>
      <c r="G203" s="142"/>
      <c r="H203" s="142"/>
      <c r="I203" s="142"/>
      <c r="J203" s="142"/>
      <c r="K203" s="142"/>
      <c r="L203" s="142"/>
      <c r="M203" s="142"/>
      <c r="N203" s="142"/>
    </row>
    <row r="204" ht="13.65" customHeight="1">
      <c r="A204" t="s" s="338">
        <v>1707</v>
      </c>
      <c r="B204" t="s" s="338">
        <v>1417</v>
      </c>
      <c r="C204" t="s" s="1271">
        <v>330</v>
      </c>
      <c r="D204" s="1267"/>
      <c r="E204" s="142"/>
      <c r="F204" s="142"/>
      <c r="G204" s="142"/>
      <c r="H204" s="142"/>
      <c r="I204" s="142"/>
      <c r="J204" s="142"/>
      <c r="K204" s="142"/>
      <c r="L204" s="142"/>
      <c r="M204" s="142"/>
      <c r="N204" s="142"/>
    </row>
    <row r="205" ht="13.65" customHeight="1">
      <c r="A205" t="s" s="338">
        <v>1418</v>
      </c>
      <c r="B205" t="s" s="338">
        <v>1419</v>
      </c>
      <c r="C205" t="s" s="1271">
        <v>331</v>
      </c>
      <c r="D205" s="1267"/>
      <c r="E205" s="142"/>
      <c r="F205" s="142"/>
      <c r="G205" s="142"/>
      <c r="H205" s="142"/>
      <c r="I205" s="142"/>
      <c r="J205" s="142"/>
      <c r="K205" s="142"/>
      <c r="L205" s="142"/>
      <c r="M205" s="142"/>
      <c r="N205" s="142"/>
    </row>
    <row r="206" ht="13.65" customHeight="1">
      <c r="A206" t="s" s="338">
        <v>1708</v>
      </c>
      <c r="B206" t="s" s="338">
        <v>1709</v>
      </c>
      <c r="C206" t="s" s="1271">
        <v>1710</v>
      </c>
      <c r="D206" s="1267"/>
      <c r="E206" s="142"/>
      <c r="F206" s="142"/>
      <c r="G206" s="142"/>
      <c r="H206" s="142"/>
      <c r="I206" s="142"/>
      <c r="J206" s="142"/>
      <c r="K206" s="142"/>
      <c r="L206" s="142"/>
      <c r="M206" s="142"/>
      <c r="N206" s="142"/>
    </row>
    <row r="207" ht="13.65" customHeight="1">
      <c r="A207" t="s" s="338">
        <v>1711</v>
      </c>
      <c r="B207" t="s" s="338">
        <v>1401</v>
      </c>
      <c r="C207" t="s" s="1271">
        <v>549</v>
      </c>
      <c r="D207" s="1267"/>
      <c r="E207" s="142"/>
      <c r="F207" s="142"/>
      <c r="G207" s="142"/>
      <c r="H207" s="142"/>
      <c r="I207" s="142"/>
      <c r="J207" s="142"/>
      <c r="K207" s="142"/>
      <c r="L207" s="142"/>
      <c r="M207" s="142"/>
      <c r="N207" s="142"/>
    </row>
    <row r="208" ht="13.65" customHeight="1">
      <c r="A208" t="s" s="1271">
        <v>1686</v>
      </c>
      <c r="B208" t="s" s="1271">
        <v>1687</v>
      </c>
      <c r="C208" t="s" s="1271">
        <v>1473</v>
      </c>
      <c r="D208" s="1267"/>
      <c r="E208" s="142"/>
      <c r="F208" s="142"/>
      <c r="G208" s="142"/>
      <c r="H208" s="142"/>
      <c r="I208" s="142"/>
      <c r="J208" s="142"/>
      <c r="K208" s="142"/>
      <c r="L208" s="142"/>
      <c r="M208" s="142"/>
      <c r="N208" s="142"/>
    </row>
    <row r="209" ht="13.65" customHeight="1">
      <c r="A209" t="s" s="1271">
        <v>1474</v>
      </c>
      <c r="B209" t="s" s="1271">
        <v>1688</v>
      </c>
      <c r="C209" t="s" s="1271">
        <v>1476</v>
      </c>
      <c r="D209" s="1267"/>
      <c r="E209" s="142"/>
      <c r="F209" s="142"/>
      <c r="G209" s="142"/>
      <c r="H209" s="142"/>
      <c r="I209" s="142"/>
      <c r="J209" s="142"/>
      <c r="K209" s="142"/>
      <c r="L209" s="142"/>
      <c r="M209" s="142"/>
      <c r="N209" s="142"/>
    </row>
    <row r="210" ht="38.25" customHeight="1">
      <c r="A210" t="s" s="1271">
        <v>1712</v>
      </c>
      <c r="B210" t="s" s="1271">
        <v>1713</v>
      </c>
      <c r="C210" t="s" s="1271">
        <v>1714</v>
      </c>
      <c r="D210" s="1267"/>
      <c r="E210" s="142"/>
      <c r="F210" s="142"/>
      <c r="G210" s="142"/>
      <c r="H210" s="142"/>
      <c r="I210" s="142"/>
      <c r="J210" s="142"/>
      <c r="K210" s="142"/>
      <c r="L210" s="142"/>
      <c r="M210" s="142"/>
      <c r="N210" s="142"/>
    </row>
    <row r="211" ht="13.65" customHeight="1">
      <c r="A211" t="s" s="338">
        <v>1715</v>
      </c>
      <c r="B211" t="s" s="338">
        <v>1716</v>
      </c>
      <c r="C211" t="s" s="1271">
        <v>1717</v>
      </c>
      <c r="D211" s="1267"/>
      <c r="E211" s="142"/>
      <c r="F211" s="142"/>
      <c r="G211" s="142"/>
      <c r="H211" s="142"/>
      <c r="I211" s="142"/>
      <c r="J211" s="142"/>
      <c r="K211" s="142"/>
      <c r="L211" s="142"/>
      <c r="M211" s="142"/>
      <c r="N211" s="142"/>
    </row>
    <row r="212" ht="13.65" customHeight="1">
      <c r="A212" t="s" s="338">
        <v>1718</v>
      </c>
      <c r="B212" t="s" s="338">
        <v>1719</v>
      </c>
      <c r="C212" t="s" s="1271">
        <v>1720</v>
      </c>
      <c r="D212" s="1267"/>
      <c r="E212" s="142"/>
      <c r="F212" s="142"/>
      <c r="G212" s="142"/>
      <c r="H212" s="142"/>
      <c r="I212" s="142"/>
      <c r="J212" s="142"/>
      <c r="K212" s="142"/>
      <c r="L212" s="142"/>
      <c r="M212" s="142"/>
      <c r="N212" s="142"/>
    </row>
    <row r="213" ht="13.65" customHeight="1">
      <c r="A213" t="s" s="338">
        <v>1721</v>
      </c>
      <c r="B213" t="s" s="338">
        <v>1722</v>
      </c>
      <c r="C213" t="s" s="1271">
        <v>1723</v>
      </c>
      <c r="D213" s="1267"/>
      <c r="E213" s="142"/>
      <c r="F213" s="142"/>
      <c r="G213" s="142"/>
      <c r="H213" s="142"/>
      <c r="I213" s="142"/>
      <c r="J213" s="142"/>
      <c r="K213" s="142"/>
      <c r="L213" s="142"/>
      <c r="M213" s="142"/>
      <c r="N213" s="142"/>
    </row>
    <row r="214" ht="38.25" customHeight="1">
      <c r="A214" t="s" s="1271">
        <v>1724</v>
      </c>
      <c r="B214" t="s" s="1274">
        <v>1725</v>
      </c>
      <c r="C214" t="s" s="1271">
        <v>1726</v>
      </c>
      <c r="D214" s="1267"/>
      <c r="E214" s="142"/>
      <c r="F214" s="142"/>
      <c r="G214" s="142"/>
      <c r="H214" s="142"/>
      <c r="I214" s="142"/>
      <c r="J214" s="142"/>
      <c r="K214" s="142"/>
      <c r="L214" s="142"/>
      <c r="M214" s="142"/>
      <c r="N214" s="142"/>
    </row>
    <row r="215" ht="38.25" customHeight="1">
      <c r="A215" t="s" s="1271">
        <v>1727</v>
      </c>
      <c r="B215" t="s" s="1274">
        <v>1728</v>
      </c>
      <c r="C215" t="s" s="1271">
        <v>1729</v>
      </c>
      <c r="D215" s="1267"/>
      <c r="E215" s="142"/>
      <c r="F215" s="142"/>
      <c r="G215" s="142"/>
      <c r="H215" s="142"/>
      <c r="I215" s="142"/>
      <c r="J215" s="142"/>
      <c r="K215" s="142"/>
      <c r="L215" s="142"/>
      <c r="M215" s="142"/>
      <c r="N215" s="142"/>
    </row>
    <row r="216" ht="38.25" customHeight="1">
      <c r="A216" t="s" s="1271">
        <v>1730</v>
      </c>
      <c r="B216" t="s" s="1274">
        <v>1731</v>
      </c>
      <c r="C216" t="s" s="1271">
        <v>1732</v>
      </c>
      <c r="D216" s="1267"/>
      <c r="E216" s="142"/>
      <c r="F216" s="142"/>
      <c r="G216" s="142"/>
      <c r="H216" s="142"/>
      <c r="I216" s="142"/>
      <c r="J216" s="142"/>
      <c r="K216" s="142"/>
      <c r="L216" s="142"/>
      <c r="M216" s="142"/>
      <c r="N216" s="142"/>
    </row>
    <row r="217" ht="13.65" customHeight="1">
      <c r="A217" t="s" s="338">
        <v>1733</v>
      </c>
      <c r="B217" t="s" s="338">
        <v>1734</v>
      </c>
      <c r="C217" t="s" s="1271">
        <v>1735</v>
      </c>
      <c r="D217" s="1267"/>
      <c r="E217" s="142"/>
      <c r="F217" s="142"/>
      <c r="G217" s="142"/>
      <c r="H217" s="142"/>
      <c r="I217" s="142"/>
      <c r="J217" s="142"/>
      <c r="K217" s="142"/>
      <c r="L217" s="142"/>
      <c r="M217" s="142"/>
      <c r="N217" s="142"/>
    </row>
    <row r="218" ht="13.65" customHeight="1">
      <c r="A218" t="s" s="338">
        <v>1736</v>
      </c>
      <c r="B218" t="s" s="338">
        <v>1737</v>
      </c>
      <c r="C218" t="s" s="1271">
        <v>1738</v>
      </c>
      <c r="D218" s="1267"/>
      <c r="E218" s="142"/>
      <c r="F218" s="142"/>
      <c r="G218" s="142"/>
      <c r="H218" s="142"/>
      <c r="I218" s="142"/>
      <c r="J218" s="142"/>
      <c r="K218" s="142"/>
      <c r="L218" s="142"/>
      <c r="M218" s="142"/>
      <c r="N218" s="142"/>
    </row>
    <row r="219" ht="13.65" customHeight="1">
      <c r="A219" t="s" s="338">
        <v>1739</v>
      </c>
      <c r="B219" t="s" s="338">
        <v>1740</v>
      </c>
      <c r="C219" t="s" s="1271">
        <v>1741</v>
      </c>
      <c r="D219" s="1267"/>
      <c r="E219" s="142"/>
      <c r="F219" s="142"/>
      <c r="G219" s="142"/>
      <c r="H219" s="142"/>
      <c r="I219" s="142"/>
      <c r="J219" s="142"/>
      <c r="K219" s="142"/>
      <c r="L219" s="142"/>
      <c r="M219" s="142"/>
      <c r="N219" s="142"/>
    </row>
    <row r="220" ht="13.65" customHeight="1">
      <c r="A220" t="s" s="338">
        <v>1742</v>
      </c>
      <c r="B220" t="s" s="338">
        <v>1743</v>
      </c>
      <c r="C220" t="s" s="1271">
        <v>1744</v>
      </c>
      <c r="D220" s="1267"/>
      <c r="E220" s="142"/>
      <c r="F220" s="142"/>
      <c r="G220" s="142"/>
      <c r="H220" s="142"/>
      <c r="I220" s="142"/>
      <c r="J220" s="142"/>
      <c r="K220" s="142"/>
      <c r="L220" s="142"/>
      <c r="M220" s="142"/>
      <c r="N220" s="142"/>
    </row>
    <row r="221" ht="13.65" customHeight="1">
      <c r="A221" t="s" s="338">
        <v>1745</v>
      </c>
      <c r="B221" t="s" s="338">
        <v>1746</v>
      </c>
      <c r="C221" t="s" s="1271">
        <v>1747</v>
      </c>
      <c r="D221" s="1267"/>
      <c r="E221" s="142"/>
      <c r="F221" s="142"/>
      <c r="G221" s="142"/>
      <c r="H221" s="142"/>
      <c r="I221" s="142"/>
      <c r="J221" s="142"/>
      <c r="K221" s="142"/>
      <c r="L221" s="142"/>
      <c r="M221" s="142"/>
      <c r="N221" s="142"/>
    </row>
    <row r="222" ht="25.5" customHeight="1">
      <c r="A222" t="s" s="1271">
        <v>1748</v>
      </c>
      <c r="B222" t="s" s="1271">
        <v>1749</v>
      </c>
      <c r="C222" t="s" s="1271">
        <v>1750</v>
      </c>
      <c r="D222" s="1267"/>
      <c r="E222" s="142"/>
      <c r="F222" s="142"/>
      <c r="G222" s="142"/>
      <c r="H222" s="142"/>
      <c r="I222" s="142"/>
      <c r="J222" s="142"/>
      <c r="K222" s="142"/>
      <c r="L222" s="142"/>
      <c r="M222" s="142"/>
      <c r="N222" s="142"/>
    </row>
    <row r="223" ht="13.65" customHeight="1">
      <c r="A223" t="s" s="1271">
        <v>1751</v>
      </c>
      <c r="B223" t="s" s="1271">
        <v>1752</v>
      </c>
      <c r="C223" t="s" s="1271">
        <v>272</v>
      </c>
      <c r="D223" s="1267"/>
      <c r="E223" s="142"/>
      <c r="F223" s="142"/>
      <c r="G223" s="142"/>
      <c r="H223" s="142"/>
      <c r="I223" s="142"/>
      <c r="J223" s="142"/>
      <c r="K223" s="142"/>
      <c r="L223" s="142"/>
      <c r="M223" s="142"/>
      <c r="N223" s="142"/>
    </row>
    <row r="224" ht="13.65" customHeight="1">
      <c r="A224" t="s" s="1271">
        <v>1753</v>
      </c>
      <c r="B224" t="s" s="1271">
        <v>1754</v>
      </c>
      <c r="C224" t="s" s="1272">
        <v>1755</v>
      </c>
      <c r="D224" s="1267"/>
      <c r="E224" s="142"/>
      <c r="F224" s="142"/>
      <c r="G224" s="142"/>
      <c r="H224" s="142"/>
      <c r="I224" s="142"/>
      <c r="J224" s="142"/>
      <c r="K224" s="142"/>
      <c r="L224" s="142"/>
      <c r="M224" s="142"/>
      <c r="N224" s="142"/>
    </row>
    <row r="225" ht="24.65" customHeight="1">
      <c r="A225" t="s" s="1271">
        <v>1756</v>
      </c>
      <c r="B225" t="s" s="338">
        <v>1757</v>
      </c>
      <c r="C225" t="s" s="1271">
        <v>218</v>
      </c>
      <c r="D225" s="1267"/>
      <c r="E225" s="142"/>
      <c r="F225" s="142"/>
      <c r="G225" s="142"/>
      <c r="H225" s="142"/>
      <c r="I225" s="142"/>
      <c r="J225" s="142"/>
      <c r="K225" s="142"/>
      <c r="L225" s="142"/>
      <c r="M225" s="142"/>
      <c r="N225" s="142"/>
    </row>
    <row r="226" ht="38.25" customHeight="1">
      <c r="A226" t="s" s="1271">
        <v>1758</v>
      </c>
      <c r="B226" t="s" s="1271">
        <v>1759</v>
      </c>
      <c r="C226" t="s" s="1271">
        <v>236</v>
      </c>
      <c r="D226" s="1267"/>
      <c r="E226" s="142"/>
      <c r="F226" s="142"/>
      <c r="G226" s="142"/>
      <c r="H226" s="142"/>
      <c r="I226" s="142"/>
      <c r="J226" s="142"/>
      <c r="K226" s="142"/>
      <c r="L226" s="142"/>
      <c r="M226" s="142"/>
      <c r="N226" s="142"/>
    </row>
    <row r="227" ht="13.65" customHeight="1">
      <c r="A227" t="s" s="1271">
        <v>1760</v>
      </c>
      <c r="B227" t="s" s="1271">
        <v>1761</v>
      </c>
      <c r="C227" t="s" s="1271">
        <v>1762</v>
      </c>
      <c r="D227" s="1267"/>
      <c r="E227" s="142"/>
      <c r="F227" s="142"/>
      <c r="G227" s="142"/>
      <c r="H227" s="142"/>
      <c r="I227" s="142"/>
      <c r="J227" s="142"/>
      <c r="K227" s="142"/>
      <c r="L227" s="142"/>
      <c r="M227" s="142"/>
      <c r="N227" s="142"/>
    </row>
    <row r="228" ht="13.65" customHeight="1">
      <c r="A228" t="s" s="338">
        <v>1763</v>
      </c>
      <c r="B228" t="s" s="338">
        <v>1764</v>
      </c>
      <c r="C228" t="s" s="1271">
        <v>1765</v>
      </c>
      <c r="D228" s="1267"/>
      <c r="E228" s="142"/>
      <c r="F228" s="142"/>
      <c r="G228" s="142"/>
      <c r="H228" s="142"/>
      <c r="I228" s="142"/>
      <c r="J228" s="142"/>
      <c r="K228" s="142"/>
      <c r="L228" s="142"/>
      <c r="M228" s="142"/>
      <c r="N228" s="142"/>
    </row>
    <row r="229" ht="13.65" customHeight="1">
      <c r="A229" t="s" s="338">
        <v>1766</v>
      </c>
      <c r="B229" t="s" s="338">
        <v>1767</v>
      </c>
      <c r="C229" t="s" s="1271">
        <v>1768</v>
      </c>
      <c r="D229" s="1267"/>
      <c r="E229" s="142"/>
      <c r="F229" s="142"/>
      <c r="G229" s="142"/>
      <c r="H229" s="142"/>
      <c r="I229" s="142"/>
      <c r="J229" s="142"/>
      <c r="K229" s="142"/>
      <c r="L229" s="142"/>
      <c r="M229" s="142"/>
      <c r="N229" s="142"/>
    </row>
    <row r="230" ht="13.65" customHeight="1">
      <c r="A230" t="s" s="338">
        <v>1769</v>
      </c>
      <c r="B230" t="s" s="338">
        <v>1770</v>
      </c>
      <c r="C230" t="s" s="1271">
        <v>1771</v>
      </c>
      <c r="D230" s="1267"/>
      <c r="E230" s="142"/>
      <c r="F230" s="142"/>
      <c r="G230" s="142"/>
      <c r="H230" s="142"/>
      <c r="I230" s="142"/>
      <c r="J230" s="142"/>
      <c r="K230" s="142"/>
      <c r="L230" s="142"/>
      <c r="M230" s="142"/>
      <c r="N230" s="142"/>
    </row>
    <row r="231" ht="13.65" customHeight="1">
      <c r="A231" t="s" s="338">
        <v>1772</v>
      </c>
      <c r="B231" t="s" s="338">
        <v>1773</v>
      </c>
      <c r="C231" t="s" s="1271">
        <v>1774</v>
      </c>
      <c r="D231" s="1267"/>
      <c r="E231" s="142"/>
      <c r="F231" s="142"/>
      <c r="G231" s="142"/>
      <c r="H231" s="142"/>
      <c r="I231" s="142"/>
      <c r="J231" s="142"/>
      <c r="K231" s="142"/>
      <c r="L231" s="142"/>
      <c r="M231" s="142"/>
      <c r="N231" s="142"/>
    </row>
    <row r="232" ht="13.65" customHeight="1">
      <c r="A232" t="s" s="338">
        <v>1775</v>
      </c>
      <c r="B232" t="s" s="338">
        <v>1775</v>
      </c>
      <c r="C232" t="s" s="1271">
        <v>1775</v>
      </c>
      <c r="D232" s="1267"/>
      <c r="E232" s="142"/>
      <c r="F232" s="142"/>
      <c r="G232" s="142"/>
      <c r="H232" s="142"/>
      <c r="I232" s="142"/>
      <c r="J232" s="142"/>
      <c r="K232" s="142"/>
      <c r="L232" s="142"/>
      <c r="M232" s="142"/>
      <c r="N232" s="142"/>
    </row>
    <row r="233" ht="25.5" customHeight="1">
      <c r="A233" t="s" s="1271">
        <v>1776</v>
      </c>
      <c r="B233" t="s" s="1271">
        <v>1777</v>
      </c>
      <c r="C233" t="s" s="1271">
        <v>209</v>
      </c>
      <c r="D233" s="1267"/>
      <c r="E233" s="142"/>
      <c r="F233" s="142"/>
      <c r="G233" s="142"/>
      <c r="H233" s="142"/>
      <c r="I233" s="142"/>
      <c r="J233" s="142"/>
      <c r="K233" s="142"/>
      <c r="L233" s="142"/>
      <c r="M233" s="142"/>
      <c r="N233" s="142"/>
    </row>
    <row r="234" ht="13.65" customHeight="1">
      <c r="A234" t="s" s="338">
        <v>1778</v>
      </c>
      <c r="B234" t="s" s="338">
        <v>1779</v>
      </c>
      <c r="C234" t="s" s="1271">
        <v>1780</v>
      </c>
      <c r="D234" s="1267"/>
      <c r="E234" s="142"/>
      <c r="F234" s="142"/>
      <c r="G234" s="142"/>
      <c r="H234" s="142"/>
      <c r="I234" s="142"/>
      <c r="J234" s="142"/>
      <c r="K234" s="142"/>
      <c r="L234" s="142"/>
      <c r="M234" s="142"/>
      <c r="N234" s="142"/>
    </row>
    <row r="235" ht="25.5" customHeight="1">
      <c r="A235" t="s" s="1271">
        <v>1781</v>
      </c>
      <c r="B235" t="s" s="1271">
        <v>1782</v>
      </c>
      <c r="C235" t="s" s="1271">
        <v>1783</v>
      </c>
      <c r="D235" s="1267"/>
      <c r="E235" s="142"/>
      <c r="F235" s="142"/>
      <c r="G235" s="142"/>
      <c r="H235" s="142"/>
      <c r="I235" s="142"/>
      <c r="J235" s="142"/>
      <c r="K235" s="142"/>
      <c r="L235" s="142"/>
      <c r="M235" s="142"/>
      <c r="N235" s="142"/>
    </row>
    <row r="236" ht="13.65" customHeight="1">
      <c r="A236" t="s" s="1271">
        <v>1784</v>
      </c>
      <c r="B236" t="s" s="1271">
        <v>1785</v>
      </c>
      <c r="C236" t="s" s="1271">
        <v>121</v>
      </c>
      <c r="D236" s="1267"/>
      <c r="E236" s="142"/>
      <c r="F236" s="142"/>
      <c r="G236" s="142"/>
      <c r="H236" s="142"/>
      <c r="I236" s="142"/>
      <c r="J236" s="142"/>
      <c r="K236" s="142"/>
      <c r="L236" s="142"/>
      <c r="M236" s="142"/>
      <c r="N236" s="142"/>
    </row>
    <row r="237" ht="25.5" customHeight="1">
      <c r="A237" t="s" s="1271">
        <v>1786</v>
      </c>
      <c r="B237" t="s" s="1271">
        <v>1787</v>
      </c>
      <c r="C237" t="s" s="1271">
        <v>130</v>
      </c>
      <c r="D237" s="1267"/>
      <c r="E237" s="142"/>
      <c r="F237" s="142"/>
      <c r="G237" s="142"/>
      <c r="H237" s="142"/>
      <c r="I237" s="142"/>
      <c r="J237" s="142"/>
      <c r="K237" s="142"/>
      <c r="L237" s="142"/>
      <c r="M237" s="142"/>
      <c r="N237" s="142"/>
    </row>
    <row r="238" ht="13.65" customHeight="1">
      <c r="A238" t="s" s="1271">
        <v>1788</v>
      </c>
      <c r="B238" t="s" s="1271">
        <v>1789</v>
      </c>
      <c r="C238" t="s" s="1271">
        <v>132</v>
      </c>
      <c r="D238" s="1267"/>
      <c r="E238" s="142"/>
      <c r="F238" s="142"/>
      <c r="G238" s="142"/>
      <c r="H238" s="142"/>
      <c r="I238" s="142"/>
      <c r="J238" s="142"/>
      <c r="K238" s="142"/>
      <c r="L238" s="142"/>
      <c r="M238" s="142"/>
      <c r="N238" s="142"/>
    </row>
    <row r="239" ht="13.65" customHeight="1">
      <c r="A239" t="s" s="1271">
        <v>1790</v>
      </c>
      <c r="B239" t="s" s="1271">
        <v>1791</v>
      </c>
      <c r="C239" t="s" s="1271">
        <v>134</v>
      </c>
      <c r="D239" s="1267"/>
      <c r="E239" s="142"/>
      <c r="F239" s="142"/>
      <c r="G239" s="142"/>
      <c r="H239" s="142"/>
      <c r="I239" s="142"/>
      <c r="J239" s="142"/>
      <c r="K239" s="142"/>
      <c r="L239" s="142"/>
      <c r="M239" s="142"/>
      <c r="N239" s="142"/>
    </row>
    <row r="240" ht="13.65" customHeight="1">
      <c r="A240" t="s" s="1271">
        <v>1792</v>
      </c>
      <c r="B240" t="s" s="1271">
        <v>1793</v>
      </c>
      <c r="C240" t="s" s="1271">
        <v>135</v>
      </c>
      <c r="D240" s="1267"/>
      <c r="E240" s="142"/>
      <c r="F240" s="142"/>
      <c r="G240" s="142"/>
      <c r="H240" s="142"/>
      <c r="I240" s="142"/>
      <c r="J240" s="142"/>
      <c r="K240" s="142"/>
      <c r="L240" s="142"/>
      <c r="M240" s="142"/>
      <c r="N240" s="142"/>
    </row>
    <row r="241" ht="25.5" customHeight="1">
      <c r="A241" t="s" s="1271">
        <v>1794</v>
      </c>
      <c r="B241" t="s" s="1271">
        <v>1795</v>
      </c>
      <c r="C241" t="s" s="1271">
        <v>136</v>
      </c>
      <c r="D241" s="1267"/>
      <c r="E241" s="142"/>
      <c r="F241" s="142"/>
      <c r="G241" s="142"/>
      <c r="H241" s="142"/>
      <c r="I241" s="142"/>
      <c r="J241" s="142"/>
      <c r="K241" s="142"/>
      <c r="L241" s="142"/>
      <c r="M241" s="142"/>
      <c r="N241" s="142"/>
    </row>
    <row r="242" ht="25.5" customHeight="1">
      <c r="A242" t="s" s="1271">
        <v>1796</v>
      </c>
      <c r="B242" t="s" s="1271">
        <v>1797</v>
      </c>
      <c r="C242" t="s" s="1271">
        <v>137</v>
      </c>
      <c r="D242" s="1267"/>
      <c r="E242" s="142"/>
      <c r="F242" s="142"/>
      <c r="G242" s="142"/>
      <c r="H242" s="142"/>
      <c r="I242" s="142"/>
      <c r="J242" s="142"/>
      <c r="K242" s="142"/>
      <c r="L242" s="142"/>
      <c r="M242" s="142"/>
      <c r="N242" s="142"/>
    </row>
    <row r="243" ht="13.65" customHeight="1">
      <c r="A243" t="s" s="1271">
        <v>1798</v>
      </c>
      <c r="B243" t="s" s="1271">
        <v>1799</v>
      </c>
      <c r="C243" t="s" s="1271">
        <v>601</v>
      </c>
      <c r="D243" s="1267"/>
      <c r="E243" s="1279"/>
      <c r="F243" s="142"/>
      <c r="G243" s="142"/>
      <c r="H243" s="142"/>
      <c r="I243" s="142"/>
      <c r="J243" s="142"/>
      <c r="K243" s="142"/>
      <c r="L243" s="142"/>
      <c r="M243" s="142"/>
      <c r="N243" s="142"/>
    </row>
    <row r="244" ht="13.65" customHeight="1">
      <c r="A244" t="s" s="1271">
        <v>1800</v>
      </c>
      <c r="B244" t="s" s="1271">
        <v>1801</v>
      </c>
      <c r="C244" t="s" s="1271">
        <v>479</v>
      </c>
      <c r="D244" s="1267"/>
      <c r="E244" s="1279"/>
      <c r="F244" s="142"/>
      <c r="G244" s="142"/>
      <c r="H244" s="142"/>
      <c r="I244" s="142"/>
      <c r="J244" s="142"/>
      <c r="K244" s="142"/>
      <c r="L244" s="142"/>
      <c r="M244" s="142"/>
      <c r="N244" s="142"/>
    </row>
    <row r="245" ht="13.65" customHeight="1">
      <c r="A245" t="s" s="1271">
        <v>1802</v>
      </c>
      <c r="B245" t="s" s="1271">
        <v>1803</v>
      </c>
      <c r="C245" t="s" s="1271">
        <v>480</v>
      </c>
      <c r="D245" s="1267"/>
      <c r="E245" s="1279"/>
      <c r="F245" s="142"/>
      <c r="G245" s="142"/>
      <c r="H245" s="142"/>
      <c r="I245" s="142"/>
      <c r="J245" s="142"/>
      <c r="K245" s="142"/>
      <c r="L245" s="142"/>
      <c r="M245" s="142"/>
      <c r="N245" s="142"/>
    </row>
    <row r="246" ht="13.65" customHeight="1">
      <c r="A246" t="s" s="1271">
        <v>1804</v>
      </c>
      <c r="B246" t="s" s="1271">
        <v>1805</v>
      </c>
      <c r="C246" t="s" s="1271">
        <v>481</v>
      </c>
      <c r="D246" s="1267"/>
      <c r="E246" s="1279"/>
      <c r="F246" s="142"/>
      <c r="G246" s="142"/>
      <c r="H246" s="142"/>
      <c r="I246" s="142"/>
      <c r="J246" s="142"/>
      <c r="K246" s="142"/>
      <c r="L246" s="142"/>
      <c r="M246" s="142"/>
      <c r="N246" s="142"/>
    </row>
    <row r="247" ht="13.65" customHeight="1">
      <c r="A247" t="s" s="1271">
        <v>1806</v>
      </c>
      <c r="B247" t="s" s="1271">
        <v>1807</v>
      </c>
      <c r="C247" t="s" s="1271">
        <v>482</v>
      </c>
      <c r="D247" s="1267"/>
      <c r="E247" s="1279"/>
      <c r="F247" s="142"/>
      <c r="G247" s="142"/>
      <c r="H247" s="142"/>
      <c r="I247" s="142"/>
      <c r="J247" s="142"/>
      <c r="K247" s="142"/>
      <c r="L247" s="142"/>
      <c r="M247" s="142"/>
      <c r="N247" s="142"/>
    </row>
    <row r="248" ht="13.65" customHeight="1">
      <c r="A248" t="s" s="1271">
        <v>1808</v>
      </c>
      <c r="B248" t="s" s="1271">
        <v>1809</v>
      </c>
      <c r="C248" t="s" s="1271">
        <v>483</v>
      </c>
      <c r="D248" s="1267"/>
      <c r="E248" s="1279"/>
      <c r="F248" s="142"/>
      <c r="G248" s="142"/>
      <c r="H248" s="142"/>
      <c r="I248" s="142"/>
      <c r="J248" s="142"/>
      <c r="K248" s="142"/>
      <c r="L248" s="142"/>
      <c r="M248" s="142"/>
      <c r="N248" s="142"/>
    </row>
    <row r="249" ht="13.65" customHeight="1">
      <c r="A249" t="s" s="1271">
        <v>1810</v>
      </c>
      <c r="B249" t="s" s="1271">
        <v>1811</v>
      </c>
      <c r="C249" t="s" s="1271">
        <v>484</v>
      </c>
      <c r="D249" s="1267"/>
      <c r="E249" s="1279"/>
      <c r="F249" s="142"/>
      <c r="G249" s="142"/>
      <c r="H249" s="142"/>
      <c r="I249" s="142"/>
      <c r="J249" s="142"/>
      <c r="K249" s="142"/>
      <c r="L249" s="142"/>
      <c r="M249" s="142"/>
      <c r="N249" s="142"/>
    </row>
    <row r="250" ht="13.65" customHeight="1">
      <c r="A250" t="s" s="1271">
        <v>1812</v>
      </c>
      <c r="B250" t="s" s="1271">
        <v>1813</v>
      </c>
      <c r="C250" t="s" s="1271">
        <v>485</v>
      </c>
      <c r="D250" s="1267"/>
      <c r="E250" s="1279"/>
      <c r="F250" s="142"/>
      <c r="G250" s="142"/>
      <c r="H250" s="142"/>
      <c r="I250" s="142"/>
      <c r="J250" s="142"/>
      <c r="K250" s="142"/>
      <c r="L250" s="142"/>
      <c r="M250" s="142"/>
      <c r="N250" s="142"/>
    </row>
    <row r="251" ht="13.65" customHeight="1">
      <c r="A251" t="s" s="1271">
        <v>1814</v>
      </c>
      <c r="B251" t="s" s="1271">
        <v>1815</v>
      </c>
      <c r="C251" t="s" s="1271">
        <v>478</v>
      </c>
      <c r="D251" s="1267"/>
      <c r="E251" s="142"/>
      <c r="F251" s="142"/>
      <c r="G251" s="142"/>
      <c r="H251" s="142"/>
      <c r="I251" s="142"/>
      <c r="J251" s="142"/>
      <c r="K251" s="142"/>
      <c r="L251" s="142"/>
      <c r="M251" s="142"/>
      <c r="N251" s="142"/>
    </row>
    <row r="252" ht="13.65" customHeight="1">
      <c r="A252" t="s" s="1271">
        <v>1816</v>
      </c>
      <c r="B252" t="s" s="1271">
        <v>1817</v>
      </c>
      <c r="C252" t="s" s="1271">
        <v>1818</v>
      </c>
      <c r="D252" s="1267"/>
      <c r="E252" s="142"/>
      <c r="F252" s="142"/>
      <c r="G252" s="142"/>
      <c r="H252" s="142"/>
      <c r="I252" s="142"/>
      <c r="J252" s="142"/>
      <c r="K252" s="142"/>
      <c r="L252" s="142"/>
      <c r="M252" s="142"/>
      <c r="N252" s="142"/>
    </row>
    <row r="253" ht="13.65" customHeight="1">
      <c r="A253" t="s" s="1271">
        <v>1819</v>
      </c>
      <c r="B253" t="s" s="1271">
        <v>1820</v>
      </c>
      <c r="C253" t="s" s="1271">
        <v>1821</v>
      </c>
      <c r="D253" s="1267"/>
      <c r="E253" s="142"/>
      <c r="F253" s="142"/>
      <c r="G253" s="142"/>
      <c r="H253" s="142"/>
      <c r="I253" s="142"/>
      <c r="J253" s="142"/>
      <c r="K253" s="142"/>
      <c r="L253" s="142"/>
      <c r="M253" s="142"/>
      <c r="N253" s="142"/>
    </row>
    <row r="254" ht="13.65" customHeight="1">
      <c r="A254" t="s" s="1271">
        <v>1822</v>
      </c>
      <c r="B254" t="s" s="1271">
        <v>1823</v>
      </c>
      <c r="C254" t="s" s="1271">
        <v>844</v>
      </c>
      <c r="D254" s="1267"/>
      <c r="E254" s="142"/>
      <c r="F254" s="142"/>
      <c r="G254" s="142"/>
      <c r="H254" s="142"/>
      <c r="I254" s="142"/>
      <c r="J254" s="142"/>
      <c r="K254" s="142"/>
      <c r="L254" s="142"/>
      <c r="M254" s="142"/>
      <c r="N254" s="142"/>
    </row>
    <row r="255" ht="13.65" customHeight="1">
      <c r="A255" t="s" s="338">
        <v>1824</v>
      </c>
      <c r="B255" t="s" s="338">
        <v>1825</v>
      </c>
      <c r="C255" t="s" s="1271">
        <v>1826</v>
      </c>
      <c r="D255" s="1267"/>
      <c r="E255" s="142"/>
      <c r="F255" s="142"/>
      <c r="G255" s="142"/>
      <c r="H255" s="142"/>
      <c r="I255" s="142"/>
      <c r="J255" s="142"/>
      <c r="K255" s="142"/>
      <c r="L255" s="142"/>
      <c r="M255" s="142"/>
      <c r="N255" s="142"/>
    </row>
    <row r="256" ht="13.65" customHeight="1">
      <c r="A256" t="s" s="338">
        <v>1827</v>
      </c>
      <c r="B256" t="s" s="338">
        <v>1828</v>
      </c>
      <c r="C256" t="s" s="1271">
        <v>1829</v>
      </c>
      <c r="D256" s="1267"/>
      <c r="E256" s="142"/>
      <c r="F256" s="142"/>
      <c r="G256" s="142"/>
      <c r="H256" s="142"/>
      <c r="I256" s="142"/>
      <c r="J256" s="142"/>
      <c r="K256" s="142"/>
      <c r="L256" s="142"/>
      <c r="M256" s="142"/>
      <c r="N256" s="142"/>
    </row>
    <row r="257" ht="13.65" customHeight="1">
      <c r="A257" t="s" s="338">
        <v>1830</v>
      </c>
      <c r="B257" t="s" s="338">
        <v>1831</v>
      </c>
      <c r="C257" t="s" s="1271">
        <v>1832</v>
      </c>
      <c r="D257" s="1267"/>
      <c r="E257" s="142"/>
      <c r="F257" s="142"/>
      <c r="G257" s="142"/>
      <c r="H257" s="142"/>
      <c r="I257" s="142"/>
      <c r="J257" s="142"/>
      <c r="K257" s="142"/>
      <c r="L257" s="142"/>
      <c r="M257" s="142"/>
      <c r="N257" s="142"/>
    </row>
    <row r="258" ht="13.65" customHeight="1">
      <c r="A258" t="s" s="338">
        <v>1833</v>
      </c>
      <c r="B258" t="s" s="338">
        <v>1834</v>
      </c>
      <c r="C258" t="s" s="1271">
        <v>1835</v>
      </c>
      <c r="D258" s="1267"/>
      <c r="E258" s="142"/>
      <c r="F258" s="142"/>
      <c r="G258" s="142"/>
      <c r="H258" s="142"/>
      <c r="I258" s="142"/>
      <c r="J258" s="142"/>
      <c r="K258" s="142"/>
      <c r="L258" s="142"/>
      <c r="M258" s="142"/>
      <c r="N258" s="142"/>
    </row>
    <row r="259" ht="13.65" customHeight="1">
      <c r="A259" t="s" s="338">
        <v>1836</v>
      </c>
      <c r="B259" t="s" s="338">
        <v>1837</v>
      </c>
      <c r="C259" t="s" s="1271">
        <v>842</v>
      </c>
      <c r="D259" s="1267"/>
      <c r="E259" s="142"/>
      <c r="F259" s="142"/>
      <c r="G259" s="142"/>
      <c r="H259" s="142"/>
      <c r="I259" s="142"/>
      <c r="J259" s="142"/>
      <c r="K259" s="142"/>
      <c r="L259" s="142"/>
      <c r="M259" s="142"/>
      <c r="N259" s="142"/>
    </row>
    <row r="260" ht="13.65" customHeight="1">
      <c r="A260" t="s" s="338">
        <v>1838</v>
      </c>
      <c r="B260" t="s" s="338">
        <v>1839</v>
      </c>
      <c r="C260" t="s" s="1271">
        <v>1840</v>
      </c>
      <c r="D260" s="1267"/>
      <c r="E260" s="142"/>
      <c r="F260" s="142"/>
      <c r="G260" s="142"/>
      <c r="H260" s="142"/>
      <c r="I260" s="142"/>
      <c r="J260" s="142"/>
      <c r="K260" s="142"/>
      <c r="L260" s="142"/>
      <c r="M260" s="142"/>
      <c r="N260" s="142"/>
    </row>
    <row r="261" ht="13.65" customHeight="1">
      <c r="A261" t="s" s="338">
        <v>1841</v>
      </c>
      <c r="B261" t="s" s="338">
        <v>1842</v>
      </c>
      <c r="C261" t="s" s="1271">
        <v>1843</v>
      </c>
      <c r="D261" s="1267"/>
      <c r="E261" s="142"/>
      <c r="F261" s="142"/>
      <c r="G261" s="142"/>
      <c r="H261" s="142"/>
      <c r="I261" s="142"/>
      <c r="J261" s="142"/>
      <c r="K261" s="142"/>
      <c r="L261" s="142"/>
      <c r="M261" s="142"/>
      <c r="N261" s="142"/>
    </row>
    <row r="262" ht="13.65" customHeight="1">
      <c r="A262" t="s" s="338">
        <v>1844</v>
      </c>
      <c r="B262" t="s" s="338">
        <v>1845</v>
      </c>
      <c r="C262" t="s" s="1271">
        <v>1846</v>
      </c>
      <c r="D262" s="1267"/>
      <c r="E262" s="142"/>
      <c r="F262" s="142"/>
      <c r="G262" s="142"/>
      <c r="H262" s="142"/>
      <c r="I262" s="142"/>
      <c r="J262" s="142"/>
      <c r="K262" s="142"/>
      <c r="L262" s="142"/>
      <c r="M262" s="142"/>
      <c r="N262" s="142"/>
    </row>
    <row r="263" ht="13.65" customHeight="1">
      <c r="A263" t="s" s="338">
        <v>1847</v>
      </c>
      <c r="B263" t="s" s="338">
        <v>1848</v>
      </c>
      <c r="C263" t="s" s="1271">
        <v>1849</v>
      </c>
      <c r="D263" s="1267"/>
      <c r="E263" s="142"/>
      <c r="F263" s="142"/>
      <c r="G263" s="142"/>
      <c r="H263" s="142"/>
      <c r="I263" s="142"/>
      <c r="J263" s="142"/>
      <c r="K263" s="142"/>
      <c r="L263" s="142"/>
      <c r="M263" s="142"/>
      <c r="N263" s="142"/>
    </row>
    <row r="264" ht="13.65" customHeight="1">
      <c r="A264" t="s" s="338">
        <v>1850</v>
      </c>
      <c r="B264" t="s" s="338">
        <v>1851</v>
      </c>
      <c r="C264" t="s" s="1271">
        <v>1852</v>
      </c>
      <c r="D264" s="1267"/>
      <c r="E264" s="142"/>
      <c r="F264" s="142"/>
      <c r="G264" s="142"/>
      <c r="H264" s="142"/>
      <c r="I264" s="142"/>
      <c r="J264" s="142"/>
      <c r="K264" s="142"/>
      <c r="L264" s="142"/>
      <c r="M264" s="142"/>
      <c r="N264" s="142"/>
    </row>
    <row r="265" ht="13.65" customHeight="1">
      <c r="A265" t="s" s="338">
        <v>1853</v>
      </c>
      <c r="B265" t="s" s="338">
        <v>1854</v>
      </c>
      <c r="C265" t="s" s="1271">
        <v>1855</v>
      </c>
      <c r="D265" s="1267"/>
      <c r="E265" s="142"/>
      <c r="F265" s="142"/>
      <c r="G265" s="142"/>
      <c r="H265" s="142"/>
      <c r="I265" s="142"/>
      <c r="J265" s="142"/>
      <c r="K265" s="142"/>
      <c r="L265" s="142"/>
      <c r="M265" s="142"/>
      <c r="N265" s="142"/>
    </row>
    <row r="266" ht="13.65" customHeight="1">
      <c r="A266" t="s" s="338">
        <v>1856</v>
      </c>
      <c r="B266" t="s" s="338">
        <v>1857</v>
      </c>
      <c r="C266" t="s" s="1271">
        <v>1858</v>
      </c>
      <c r="D266" s="1267"/>
      <c r="E266" s="142"/>
      <c r="F266" s="142"/>
      <c r="G266" s="142"/>
      <c r="H266" s="142"/>
      <c r="I266" s="142"/>
      <c r="J266" s="142"/>
      <c r="K266" s="142"/>
      <c r="L266" s="142"/>
      <c r="M266" s="142"/>
      <c r="N266" s="142"/>
    </row>
    <row r="267" ht="13.65" customHeight="1">
      <c r="A267" t="s" s="338">
        <v>1859</v>
      </c>
      <c r="B267" t="s" s="338">
        <v>1860</v>
      </c>
      <c r="C267" t="s" s="1271">
        <v>1861</v>
      </c>
      <c r="D267" s="1267"/>
      <c r="E267" s="142"/>
      <c r="F267" s="142"/>
      <c r="G267" s="142"/>
      <c r="H267" s="142"/>
      <c r="I267" s="142"/>
      <c r="J267" s="142"/>
      <c r="K267" s="142"/>
      <c r="L267" s="142"/>
      <c r="M267" s="142"/>
      <c r="N267" s="142"/>
    </row>
    <row r="268" ht="13.65" customHeight="1">
      <c r="A268" t="s" s="338">
        <v>1862</v>
      </c>
      <c r="B268" t="s" s="338">
        <v>1863</v>
      </c>
      <c r="C268" t="s" s="1271">
        <v>1864</v>
      </c>
      <c r="D268" s="1267"/>
      <c r="E268" s="142"/>
      <c r="F268" s="142"/>
      <c r="G268" s="142"/>
      <c r="H268" s="142"/>
      <c r="I268" s="142"/>
      <c r="J268" s="142"/>
      <c r="K268" s="142"/>
      <c r="L268" s="142"/>
      <c r="M268" s="142"/>
      <c r="N268" s="142"/>
    </row>
    <row r="269" ht="38.25" customHeight="1">
      <c r="A269" t="s" s="1271">
        <v>1865</v>
      </c>
      <c r="B269" t="s" s="1271">
        <v>1866</v>
      </c>
      <c r="C269" t="s" s="1274">
        <v>139</v>
      </c>
      <c r="D269" s="1267"/>
      <c r="E269" s="142"/>
      <c r="F269" s="142"/>
      <c r="G269" s="142"/>
      <c r="H269" s="142"/>
      <c r="I269" s="142"/>
      <c r="J269" s="142"/>
      <c r="K269" s="142"/>
      <c r="L269" s="142"/>
      <c r="M269" s="142"/>
      <c r="N269" s="142"/>
    </row>
    <row r="270" ht="13.65" customHeight="1">
      <c r="A270" t="s" s="338">
        <v>1867</v>
      </c>
      <c r="B270" t="s" s="338">
        <v>1868</v>
      </c>
      <c r="C270" t="s" s="1271">
        <v>143</v>
      </c>
      <c r="D270" s="1267"/>
      <c r="E270" s="142"/>
      <c r="F270" s="142"/>
      <c r="G270" s="142"/>
      <c r="H270" s="142"/>
      <c r="I270" s="142"/>
      <c r="J270" s="142"/>
      <c r="K270" s="142"/>
      <c r="L270" s="142"/>
      <c r="M270" s="142"/>
      <c r="N270" s="142"/>
    </row>
    <row r="271" ht="13.65" customHeight="1">
      <c r="A271" t="s" s="338">
        <v>1869</v>
      </c>
      <c r="B271" t="s" s="338">
        <v>1870</v>
      </c>
      <c r="C271" t="s" s="1271">
        <v>144</v>
      </c>
      <c r="D271" s="1267"/>
      <c r="E271" s="142"/>
      <c r="F271" s="142"/>
      <c r="G271" s="142"/>
      <c r="H271" s="142"/>
      <c r="I271" s="142"/>
      <c r="J271" s="142"/>
      <c r="K271" s="142"/>
      <c r="L271" s="142"/>
      <c r="M271" s="142"/>
      <c r="N271" s="142"/>
    </row>
    <row r="272" ht="13.65" customHeight="1">
      <c r="A272" t="s" s="338">
        <v>1871</v>
      </c>
      <c r="B272" t="s" s="338">
        <v>1872</v>
      </c>
      <c r="C272" t="s" s="1271">
        <v>1873</v>
      </c>
      <c r="D272" s="1267"/>
      <c r="E272" s="142"/>
      <c r="F272" s="142"/>
      <c r="G272" s="142"/>
      <c r="H272" s="142"/>
      <c r="I272" s="142"/>
      <c r="J272" s="142"/>
      <c r="K272" s="142"/>
      <c r="L272" s="142"/>
      <c r="M272" s="142"/>
      <c r="N272" s="142"/>
    </row>
    <row r="273" ht="13.65" customHeight="1">
      <c r="A273" t="s" s="338">
        <v>1874</v>
      </c>
      <c r="B273" t="s" s="338">
        <v>1875</v>
      </c>
      <c r="C273" t="s" s="1271">
        <v>1876</v>
      </c>
      <c r="D273" s="1267"/>
      <c r="E273" s="142"/>
      <c r="F273" s="142"/>
      <c r="G273" s="142"/>
      <c r="H273" s="142"/>
      <c r="I273" s="142"/>
      <c r="J273" s="142"/>
      <c r="K273" s="142"/>
      <c r="L273" s="142"/>
      <c r="M273" s="142"/>
      <c r="N273" s="142"/>
    </row>
    <row r="274" ht="13.65" customHeight="1">
      <c r="A274" t="s" s="338">
        <v>1877</v>
      </c>
      <c r="B274" t="s" s="338">
        <v>1878</v>
      </c>
      <c r="C274" t="s" s="1271">
        <v>1879</v>
      </c>
      <c r="D274" s="1267"/>
      <c r="E274" s="142"/>
      <c r="F274" s="142"/>
      <c r="G274" s="142"/>
      <c r="H274" s="142"/>
      <c r="I274" s="142"/>
      <c r="J274" s="142"/>
      <c r="K274" s="142"/>
      <c r="L274" s="142"/>
      <c r="M274" s="142"/>
      <c r="N274" s="142"/>
    </row>
    <row r="275" ht="13.65" customHeight="1">
      <c r="A275" t="s" s="338">
        <v>1880</v>
      </c>
      <c r="B275" t="s" s="338">
        <v>1881</v>
      </c>
      <c r="C275" t="s" s="1271">
        <v>1882</v>
      </c>
      <c r="D275" s="1267"/>
      <c r="E275" s="142"/>
      <c r="F275" s="142"/>
      <c r="G275" s="142"/>
      <c r="H275" s="142"/>
      <c r="I275" s="142"/>
      <c r="J275" s="142"/>
      <c r="K275" s="142"/>
      <c r="L275" s="142"/>
      <c r="M275" s="142"/>
      <c r="N275" s="142"/>
    </row>
    <row r="276" ht="13.65" customHeight="1">
      <c r="A276" t="s" s="338">
        <v>1883</v>
      </c>
      <c r="B276" t="s" s="338">
        <v>1883</v>
      </c>
      <c r="C276" t="s" s="1271">
        <v>1884</v>
      </c>
      <c r="D276" s="1267"/>
      <c r="E276" s="142"/>
      <c r="F276" s="142"/>
      <c r="G276" s="142"/>
      <c r="H276" s="142"/>
      <c r="I276" s="142"/>
      <c r="J276" s="142"/>
      <c r="K276" s="142"/>
      <c r="L276" s="142"/>
      <c r="M276" s="142"/>
      <c r="N276" s="142"/>
    </row>
    <row r="277" ht="13.65" customHeight="1">
      <c r="A277" t="s" s="338">
        <v>1885</v>
      </c>
      <c r="B277" t="s" s="338">
        <v>1885</v>
      </c>
      <c r="C277" t="s" s="1271">
        <v>1886</v>
      </c>
      <c r="D277" s="1267"/>
      <c r="E277" s="142"/>
      <c r="F277" s="142"/>
      <c r="G277" s="142"/>
      <c r="H277" s="142"/>
      <c r="I277" s="142"/>
      <c r="J277" s="142"/>
      <c r="K277" s="142"/>
      <c r="L277" s="142"/>
      <c r="M277" s="142"/>
      <c r="N277" s="142"/>
    </row>
    <row r="278" ht="13.65" customHeight="1">
      <c r="A278" t="s" s="338">
        <v>1887</v>
      </c>
      <c r="B278" t="s" s="338">
        <v>1887</v>
      </c>
      <c r="C278" t="s" s="1272">
        <v>1888</v>
      </c>
      <c r="D278" s="1267"/>
      <c r="E278" s="142"/>
      <c r="F278" s="142"/>
      <c r="G278" s="142"/>
      <c r="H278" s="142"/>
      <c r="I278" s="142"/>
      <c r="J278" s="142"/>
      <c r="K278" s="142"/>
      <c r="L278" s="142"/>
      <c r="M278" s="142"/>
      <c r="N278" s="142"/>
    </row>
    <row r="279" ht="38.25" customHeight="1">
      <c r="A279" t="s" s="1271">
        <v>1889</v>
      </c>
      <c r="B279" t="s" s="1271">
        <v>1890</v>
      </c>
      <c r="C279" t="s" s="1271">
        <v>154</v>
      </c>
      <c r="D279" s="1267"/>
      <c r="E279" s="142"/>
      <c r="F279" s="142"/>
      <c r="G279" s="142"/>
      <c r="H279" s="142"/>
      <c r="I279" s="142"/>
      <c r="J279" s="142"/>
      <c r="K279" s="142"/>
      <c r="L279" s="142"/>
      <c r="M279" s="142"/>
      <c r="N279" s="142"/>
    </row>
    <row r="280" ht="25.5" customHeight="1">
      <c r="A280" t="s" s="1271">
        <v>1891</v>
      </c>
      <c r="B280" t="s" s="1271">
        <v>1892</v>
      </c>
      <c r="C280" t="s" s="1271">
        <v>159</v>
      </c>
      <c r="D280" s="1267"/>
      <c r="E280" s="142"/>
      <c r="F280" s="142"/>
      <c r="G280" s="142"/>
      <c r="H280" s="142"/>
      <c r="I280" s="142"/>
      <c r="J280" s="142"/>
      <c r="K280" s="142"/>
      <c r="L280" s="142"/>
      <c r="M280" s="142"/>
      <c r="N280" s="142"/>
    </row>
    <row r="281" ht="13.65" customHeight="1">
      <c r="A281" t="s" s="338">
        <v>1893</v>
      </c>
      <c r="B281" t="s" s="338">
        <v>1894</v>
      </c>
      <c r="C281" t="s" s="1271">
        <v>156</v>
      </c>
      <c r="D281" s="1267"/>
      <c r="E281" s="142"/>
      <c r="F281" s="142"/>
      <c r="G281" s="142"/>
      <c r="H281" s="142"/>
      <c r="I281" s="142"/>
      <c r="J281" s="142"/>
      <c r="K281" s="142"/>
      <c r="L281" s="142"/>
      <c r="M281" s="142"/>
      <c r="N281" s="142"/>
    </row>
    <row r="282" ht="13.65" customHeight="1">
      <c r="A282" t="s" s="338">
        <v>1895</v>
      </c>
      <c r="B282" t="s" s="338">
        <v>1896</v>
      </c>
      <c r="C282" t="s" s="1271">
        <v>145</v>
      </c>
      <c r="D282" s="1267"/>
      <c r="E282" s="142"/>
      <c r="F282" s="142"/>
      <c r="G282" s="142"/>
      <c r="H282" s="142"/>
      <c r="I282" s="142"/>
      <c r="J282" s="142"/>
      <c r="K282" s="142"/>
      <c r="L282" s="142"/>
      <c r="M282" s="142"/>
      <c r="N282" s="142"/>
    </row>
    <row r="283" ht="13.65" customHeight="1">
      <c r="A283" t="s" s="338">
        <v>1897</v>
      </c>
      <c r="B283" t="s" s="338">
        <v>1898</v>
      </c>
      <c r="C283" t="s" s="1271">
        <v>147</v>
      </c>
      <c r="D283" s="1267"/>
      <c r="E283" s="142"/>
      <c r="F283" s="142"/>
      <c r="G283" s="142"/>
      <c r="H283" s="142"/>
      <c r="I283" s="142"/>
      <c r="J283" s="142"/>
      <c r="K283" s="142"/>
      <c r="L283" s="142"/>
      <c r="M283" s="142"/>
      <c r="N283" s="142"/>
    </row>
    <row r="284" ht="13.65" customHeight="1">
      <c r="A284" t="s" s="338">
        <v>1899</v>
      </c>
      <c r="B284" t="s" s="338">
        <v>1900</v>
      </c>
      <c r="C284" t="s" s="1271">
        <v>148</v>
      </c>
      <c r="D284" s="1267"/>
      <c r="E284" s="142"/>
      <c r="F284" s="142"/>
      <c r="G284" s="142"/>
      <c r="H284" s="142"/>
      <c r="I284" s="142"/>
      <c r="J284" s="142"/>
      <c r="K284" s="142"/>
      <c r="L284" s="142"/>
      <c r="M284" s="142"/>
      <c r="N284" s="142"/>
    </row>
    <row r="285" ht="13.65" customHeight="1">
      <c r="A285" t="s" s="338">
        <v>1901</v>
      </c>
      <c r="B285" t="s" s="338">
        <v>1902</v>
      </c>
      <c r="C285" t="s" s="1271">
        <v>149</v>
      </c>
      <c r="D285" s="1267"/>
      <c r="E285" s="142"/>
      <c r="F285" s="142"/>
      <c r="G285" s="142"/>
      <c r="H285" s="142"/>
      <c r="I285" s="142"/>
      <c r="J285" s="142"/>
      <c r="K285" s="142"/>
      <c r="L285" s="142"/>
      <c r="M285" s="142"/>
      <c r="N285" s="142"/>
    </row>
    <row r="286" ht="13.65" customHeight="1">
      <c r="A286" t="s" s="338">
        <v>1903</v>
      </c>
      <c r="B286" t="s" s="338">
        <v>1904</v>
      </c>
      <c r="C286" t="s" s="1271">
        <v>150</v>
      </c>
      <c r="D286" s="1267"/>
      <c r="E286" s="142"/>
      <c r="F286" s="142"/>
      <c r="G286" s="142"/>
      <c r="H286" s="142"/>
      <c r="I286" s="142"/>
      <c r="J286" s="142"/>
      <c r="K286" s="142"/>
      <c r="L286" s="142"/>
      <c r="M286" s="142"/>
      <c r="N286" s="142"/>
    </row>
    <row r="287" ht="13.65" customHeight="1">
      <c r="A287" t="s" s="338">
        <v>1905</v>
      </c>
      <c r="B287" t="s" s="338">
        <v>1906</v>
      </c>
      <c r="C287" t="s" s="1271">
        <v>151</v>
      </c>
      <c r="D287" s="1267"/>
      <c r="E287" s="142"/>
      <c r="F287" s="142"/>
      <c r="G287" s="142"/>
      <c r="H287" s="142"/>
      <c r="I287" s="142"/>
      <c r="J287" s="142"/>
      <c r="K287" s="142"/>
      <c r="L287" s="142"/>
      <c r="M287" s="142"/>
      <c r="N287" s="142"/>
    </row>
    <row r="288" ht="13.65" customHeight="1">
      <c r="A288" t="s" s="338">
        <v>1907</v>
      </c>
      <c r="B288" t="s" s="338">
        <v>1908</v>
      </c>
      <c r="C288" t="s" s="1271">
        <v>152</v>
      </c>
      <c r="D288" s="1267"/>
      <c r="E288" s="142"/>
      <c r="F288" s="142"/>
      <c r="G288" s="142"/>
      <c r="H288" s="142"/>
      <c r="I288" s="142"/>
      <c r="J288" s="142"/>
      <c r="K288" s="142"/>
      <c r="L288" s="142"/>
      <c r="M288" s="142"/>
      <c r="N288" s="142"/>
    </row>
    <row r="289" ht="13.65" customHeight="1">
      <c r="A289" t="s" s="338">
        <v>1909</v>
      </c>
      <c r="B289" t="s" s="338">
        <v>1910</v>
      </c>
      <c r="C289" t="s" s="1271">
        <v>1911</v>
      </c>
      <c r="D289" s="1267"/>
      <c r="E289" s="142"/>
      <c r="F289" s="142"/>
      <c r="G289" s="142"/>
      <c r="H289" s="142"/>
      <c r="I289" s="142"/>
      <c r="J289" s="142"/>
      <c r="K289" s="142"/>
      <c r="L289" s="142"/>
      <c r="M289" s="142"/>
      <c r="N289" s="142"/>
    </row>
    <row r="290" ht="13.65" customHeight="1">
      <c r="A290" t="s" s="338">
        <v>1912</v>
      </c>
      <c r="B290" t="s" s="338">
        <v>1913</v>
      </c>
      <c r="C290" t="s" s="1271">
        <v>524</v>
      </c>
      <c r="D290" s="1267"/>
      <c r="E290" s="142"/>
      <c r="F290" s="142"/>
      <c r="G290" s="142"/>
      <c r="H290" s="142"/>
      <c r="I290" s="142"/>
      <c r="J290" s="142"/>
      <c r="K290" s="142"/>
      <c r="L290" s="142"/>
      <c r="M290" s="142"/>
      <c r="N290" s="142"/>
    </row>
    <row r="291" ht="13.65" customHeight="1">
      <c r="A291" t="s" s="338">
        <v>1914</v>
      </c>
      <c r="B291" t="s" s="338">
        <v>1915</v>
      </c>
      <c r="C291" t="s" s="1271">
        <v>1916</v>
      </c>
      <c r="D291" s="1267"/>
      <c r="E291" s="142"/>
      <c r="F291" s="142"/>
      <c r="G291" s="142"/>
      <c r="H291" s="142"/>
      <c r="I291" s="142"/>
      <c r="J291" s="142"/>
      <c r="K291" s="142"/>
      <c r="L291" s="142"/>
      <c r="M291" s="142"/>
      <c r="N291" s="142"/>
    </row>
    <row r="292" ht="13.65" customHeight="1">
      <c r="A292" t="s" s="338">
        <v>1917</v>
      </c>
      <c r="B292" t="s" s="338">
        <v>1918</v>
      </c>
      <c r="C292" t="s" s="1271">
        <v>1919</v>
      </c>
      <c r="D292" s="1267"/>
      <c r="E292" s="142"/>
      <c r="F292" s="142"/>
      <c r="G292" s="142"/>
      <c r="H292" s="142"/>
      <c r="I292" s="142"/>
      <c r="J292" s="142"/>
      <c r="K292" s="142"/>
      <c r="L292" s="142"/>
      <c r="M292" s="142"/>
      <c r="N292" s="142"/>
    </row>
    <row r="293" ht="13.65" customHeight="1">
      <c r="A293" t="s" s="338">
        <v>1920</v>
      </c>
      <c r="B293" t="s" s="338">
        <v>1921</v>
      </c>
      <c r="C293" t="s" s="1271">
        <v>1922</v>
      </c>
      <c r="D293" s="1267"/>
      <c r="E293" s="142"/>
      <c r="F293" s="142"/>
      <c r="G293" s="142"/>
      <c r="H293" s="142"/>
      <c r="I293" s="142"/>
      <c r="J293" s="142"/>
      <c r="K293" s="142"/>
      <c r="L293" s="142"/>
      <c r="M293" s="142"/>
      <c r="N293" s="142"/>
    </row>
    <row r="294" ht="13.65" customHeight="1">
      <c r="A294" t="s" s="338">
        <v>1923</v>
      </c>
      <c r="B294" t="s" s="338">
        <v>1924</v>
      </c>
      <c r="C294" t="s" s="1271">
        <v>1925</v>
      </c>
      <c r="D294" s="1267"/>
      <c r="E294" s="142"/>
      <c r="F294" s="142"/>
      <c r="G294" s="142"/>
      <c r="H294" s="142"/>
      <c r="I294" s="142"/>
      <c r="J294" s="142"/>
      <c r="K294" s="142"/>
      <c r="L294" s="142"/>
      <c r="M294" s="142"/>
      <c r="N294" s="142"/>
    </row>
    <row r="295" ht="13.65" customHeight="1">
      <c r="A295" t="s" s="338">
        <v>1926</v>
      </c>
      <c r="B295" t="s" s="338">
        <v>1927</v>
      </c>
      <c r="C295" t="s" s="1271">
        <v>1928</v>
      </c>
      <c r="D295" s="1267"/>
      <c r="E295" s="142"/>
      <c r="F295" s="142"/>
      <c r="G295" s="142"/>
      <c r="H295" s="142"/>
      <c r="I295" s="142"/>
      <c r="J295" s="142"/>
      <c r="K295" s="142"/>
      <c r="L295" s="142"/>
      <c r="M295" s="142"/>
      <c r="N295" s="142"/>
    </row>
    <row r="296" ht="13.65" customHeight="1">
      <c r="A296" t="s" s="338">
        <v>1929</v>
      </c>
      <c r="B296" t="s" s="338">
        <v>1930</v>
      </c>
      <c r="C296" t="s" s="1271">
        <v>1931</v>
      </c>
      <c r="D296" s="1267"/>
      <c r="E296" s="142"/>
      <c r="F296" s="142"/>
      <c r="G296" s="142"/>
      <c r="H296" s="142"/>
      <c r="I296" s="142"/>
      <c r="J296" s="142"/>
      <c r="K296" s="142"/>
      <c r="L296" s="142"/>
      <c r="M296" s="142"/>
      <c r="N296" s="142"/>
    </row>
    <row r="297" ht="13.65" customHeight="1">
      <c r="A297" t="s" s="338">
        <v>1932</v>
      </c>
      <c r="B297" t="s" s="338">
        <v>1933</v>
      </c>
      <c r="C297" t="s" s="1271">
        <v>1934</v>
      </c>
      <c r="D297" s="1267"/>
      <c r="E297" s="142"/>
      <c r="F297" s="142"/>
      <c r="G297" s="142"/>
      <c r="H297" s="142"/>
      <c r="I297" s="142"/>
      <c r="J297" s="142"/>
      <c r="K297" s="142"/>
      <c r="L297" s="142"/>
      <c r="M297" s="142"/>
      <c r="N297" s="142"/>
    </row>
    <row r="298" ht="13.65" customHeight="1">
      <c r="A298" t="s" s="338">
        <v>1935</v>
      </c>
      <c r="B298" t="s" s="338">
        <v>1936</v>
      </c>
      <c r="C298" t="s" s="1271">
        <v>1937</v>
      </c>
      <c r="D298" s="1267"/>
      <c r="E298" s="142"/>
      <c r="F298" s="142"/>
      <c r="G298" s="142"/>
      <c r="H298" s="142"/>
      <c r="I298" s="142"/>
      <c r="J298" s="142"/>
      <c r="K298" s="142"/>
      <c r="L298" s="142"/>
      <c r="M298" s="142"/>
      <c r="N298" s="142"/>
    </row>
    <row r="299" ht="13.65" customHeight="1">
      <c r="A299" t="s" s="338">
        <v>1938</v>
      </c>
      <c r="B299" t="s" s="338">
        <v>1939</v>
      </c>
      <c r="C299" t="s" s="1271">
        <v>153</v>
      </c>
      <c r="D299" s="1267"/>
      <c r="E299" s="142"/>
      <c r="F299" s="142"/>
      <c r="G299" s="142"/>
      <c r="H299" s="142"/>
      <c r="I299" s="142"/>
      <c r="J299" s="142"/>
      <c r="K299" s="142"/>
      <c r="L299" s="142"/>
      <c r="M299" s="142"/>
      <c r="N299" s="142"/>
    </row>
    <row r="300" ht="13.65" customHeight="1">
      <c r="A300" t="s" s="338">
        <v>1940</v>
      </c>
      <c r="B300" t="s" s="338">
        <v>1941</v>
      </c>
      <c r="C300" t="s" s="1271">
        <v>353</v>
      </c>
      <c r="D300" s="1267"/>
      <c r="E300" s="142"/>
      <c r="F300" s="142"/>
      <c r="G300" s="142"/>
      <c r="H300" s="142"/>
      <c r="I300" s="142"/>
      <c r="J300" s="142"/>
      <c r="K300" s="142"/>
      <c r="L300" s="142"/>
      <c r="M300" s="142"/>
      <c r="N300" s="142"/>
    </row>
    <row r="301" ht="13.65" customHeight="1">
      <c r="A301" t="s" s="338">
        <v>1942</v>
      </c>
      <c r="B301" t="s" s="338">
        <v>1943</v>
      </c>
      <c r="C301" t="s" s="1271">
        <v>1944</v>
      </c>
      <c r="D301" s="1267"/>
      <c r="E301" s="142"/>
      <c r="F301" s="142"/>
      <c r="G301" s="142"/>
      <c r="H301" s="142"/>
      <c r="I301" s="142"/>
      <c r="J301" s="142"/>
      <c r="K301" s="142"/>
      <c r="L301" s="142"/>
      <c r="M301" s="142"/>
      <c r="N301" s="142"/>
    </row>
    <row r="302" ht="25.5" customHeight="1">
      <c r="A302" t="s" s="338">
        <v>1945</v>
      </c>
      <c r="B302" t="s" s="338">
        <v>1946</v>
      </c>
      <c r="C302" t="s" s="1271">
        <v>1947</v>
      </c>
      <c r="D302" s="1267"/>
      <c r="E302" s="142"/>
      <c r="F302" s="142"/>
      <c r="G302" s="142"/>
      <c r="H302" s="142"/>
      <c r="I302" s="142"/>
      <c r="J302" s="142"/>
      <c r="K302" s="142"/>
      <c r="L302" s="142"/>
      <c r="M302" s="142"/>
      <c r="N302" s="142"/>
    </row>
    <row r="303" ht="13.65" customHeight="1">
      <c r="A303" t="s" s="338">
        <v>1948</v>
      </c>
      <c r="B303" t="s" s="338">
        <v>1949</v>
      </c>
      <c r="C303" t="s" s="1271">
        <v>1950</v>
      </c>
      <c r="D303" s="1267"/>
      <c r="E303" s="142"/>
      <c r="F303" s="142"/>
      <c r="G303" s="142"/>
      <c r="H303" s="142"/>
      <c r="I303" s="142"/>
      <c r="J303" s="142"/>
      <c r="K303" s="142"/>
      <c r="L303" s="142"/>
      <c r="M303" s="142"/>
      <c r="N303" s="142"/>
    </row>
    <row r="304" ht="13.65" customHeight="1">
      <c r="A304" t="s" s="338">
        <v>1951</v>
      </c>
      <c r="B304" t="s" s="338">
        <v>1952</v>
      </c>
      <c r="C304" t="s" s="1271">
        <v>369</v>
      </c>
      <c r="D304" s="1267"/>
      <c r="E304" s="142"/>
      <c r="F304" s="142"/>
      <c r="G304" s="142"/>
      <c r="H304" s="142"/>
      <c r="I304" s="142"/>
      <c r="J304" s="142"/>
      <c r="K304" s="142"/>
      <c r="L304" s="142"/>
      <c r="M304" s="142"/>
      <c r="N304" s="142"/>
    </row>
    <row r="305" ht="13.65" customHeight="1">
      <c r="A305" t="s" s="338">
        <v>1953</v>
      </c>
      <c r="B305" t="s" s="338">
        <v>1954</v>
      </c>
      <c r="C305" t="s" s="1271">
        <v>161</v>
      </c>
      <c r="D305" s="1267"/>
      <c r="E305" s="142"/>
      <c r="F305" s="142"/>
      <c r="G305" s="142"/>
      <c r="H305" s="142"/>
      <c r="I305" s="142"/>
      <c r="J305" s="142"/>
      <c r="K305" s="142"/>
      <c r="L305" s="142"/>
      <c r="M305" s="142"/>
      <c r="N305" s="142"/>
    </row>
    <row r="306" ht="13.65" customHeight="1">
      <c r="A306" t="s" s="338">
        <v>1955</v>
      </c>
      <c r="B306" t="s" s="338">
        <v>1956</v>
      </c>
      <c r="C306" t="s" s="1271">
        <v>162</v>
      </c>
      <c r="D306" s="1267"/>
      <c r="E306" s="142"/>
      <c r="F306" s="142"/>
      <c r="G306" s="142"/>
      <c r="H306" s="142"/>
      <c r="I306" s="142"/>
      <c r="J306" s="142"/>
      <c r="K306" s="142"/>
      <c r="L306" s="142"/>
      <c r="M306" s="142"/>
      <c r="N306" s="142"/>
    </row>
    <row r="307" ht="13.65" customHeight="1">
      <c r="A307" t="s" s="338">
        <v>1957</v>
      </c>
      <c r="B307" t="s" s="338">
        <v>1958</v>
      </c>
      <c r="C307" t="s" s="1271">
        <v>129</v>
      </c>
      <c r="D307" s="1267"/>
      <c r="E307" s="142"/>
      <c r="F307" s="142"/>
      <c r="G307" s="142"/>
      <c r="H307" s="142"/>
      <c r="I307" s="142"/>
      <c r="J307" s="142"/>
      <c r="K307" s="142"/>
      <c r="L307" s="142"/>
      <c r="M307" s="142"/>
      <c r="N307" s="142"/>
    </row>
    <row r="308" ht="25.5" customHeight="1">
      <c r="A308" s="1280"/>
      <c r="B308" t="s" s="1271">
        <v>388</v>
      </c>
      <c r="C308" t="s" s="1271">
        <v>362</v>
      </c>
      <c r="D308" s="1267"/>
      <c r="E308" s="142"/>
      <c r="F308" s="142"/>
      <c r="G308" s="142"/>
      <c r="H308" s="142"/>
      <c r="I308" s="142"/>
      <c r="J308" s="142"/>
      <c r="K308" s="142"/>
      <c r="L308" s="142"/>
      <c r="M308" s="142"/>
      <c r="N308" s="142"/>
    </row>
    <row r="309" ht="13.65" customHeight="1">
      <c r="A309" s="1266"/>
      <c r="B309" t="s" s="1271">
        <v>1959</v>
      </c>
      <c r="C309" t="s" s="1271">
        <v>1960</v>
      </c>
      <c r="D309" s="1267"/>
      <c r="E309" s="142"/>
      <c r="F309" s="142"/>
      <c r="G309" s="142"/>
      <c r="H309" s="142"/>
      <c r="I309" s="142"/>
      <c r="J309" s="142"/>
      <c r="K309" s="142"/>
      <c r="L309" s="142"/>
      <c r="M309" s="142"/>
      <c r="N309" s="142"/>
    </row>
    <row r="310" ht="13.65" customHeight="1">
      <c r="A310" s="1266"/>
      <c r="B310" t="s" s="1271">
        <v>1961</v>
      </c>
      <c r="C310" t="s" s="1271">
        <v>25</v>
      </c>
      <c r="D310" s="1267"/>
      <c r="E310" s="142"/>
      <c r="F310" s="142"/>
      <c r="G310" s="142"/>
      <c r="H310" s="142"/>
      <c r="I310" s="142"/>
      <c r="J310" s="142"/>
      <c r="K310" s="142"/>
      <c r="L310" s="142"/>
      <c r="M310" s="142"/>
      <c r="N310" s="142"/>
    </row>
    <row r="311" ht="13.65" customHeight="1">
      <c r="A311" s="1266"/>
      <c r="B311" t="s" s="1271">
        <v>1962</v>
      </c>
      <c r="C311" t="s" s="1271">
        <v>27</v>
      </c>
      <c r="D311" s="1267"/>
      <c r="E311" s="142"/>
      <c r="F311" s="142"/>
      <c r="G311" s="142"/>
      <c r="H311" s="142"/>
      <c r="I311" s="142"/>
      <c r="J311" s="142"/>
      <c r="K311" s="142"/>
      <c r="L311" s="142"/>
      <c r="M311" s="142"/>
      <c r="N311" s="142"/>
    </row>
    <row r="312" ht="13.65" customHeight="1">
      <c r="A312" s="1266"/>
      <c r="B312" t="s" s="338">
        <v>1963</v>
      </c>
      <c r="C312" t="s" s="1271">
        <v>394</v>
      </c>
      <c r="D312" s="1267"/>
      <c r="E312" s="142"/>
      <c r="F312" s="142"/>
      <c r="G312" s="142"/>
      <c r="H312" s="142"/>
      <c r="I312" s="142"/>
      <c r="J312" s="142"/>
      <c r="K312" s="142"/>
      <c r="L312" s="142"/>
      <c r="M312" s="142"/>
      <c r="N312" s="142"/>
    </row>
    <row r="313" ht="25.5" customHeight="1">
      <c r="A313" s="1266"/>
      <c r="B313" t="s" s="1271">
        <v>1964</v>
      </c>
      <c r="C313" s="860"/>
      <c r="D313" s="1267"/>
      <c r="E313" s="142"/>
      <c r="F313" s="142"/>
      <c r="G313" s="142"/>
      <c r="H313" s="142"/>
      <c r="I313" s="142"/>
      <c r="J313" s="142"/>
      <c r="K313" s="142"/>
      <c r="L313" s="142"/>
      <c r="M313" s="142"/>
      <c r="N313" s="142"/>
    </row>
    <row r="314" ht="38.25" customHeight="1">
      <c r="A314" s="1266"/>
      <c r="B314" t="s" s="1271">
        <v>1965</v>
      </c>
      <c r="C314" t="s" s="1271">
        <v>398</v>
      </c>
      <c r="D314" s="1267"/>
      <c r="E314" s="142"/>
      <c r="F314" s="142"/>
      <c r="G314" s="142"/>
      <c r="H314" s="142"/>
      <c r="I314" s="142"/>
      <c r="J314" s="142"/>
      <c r="K314" s="142"/>
      <c r="L314" s="142"/>
      <c r="M314" s="142"/>
      <c r="N314" s="142"/>
    </row>
    <row r="315" ht="25.5" customHeight="1">
      <c r="A315" s="1266"/>
      <c r="B315" t="s" s="1274">
        <v>1966</v>
      </c>
      <c r="C315" t="s" s="1274">
        <v>400</v>
      </c>
      <c r="D315" s="1267"/>
      <c r="E315" s="142"/>
      <c r="F315" s="142"/>
      <c r="G315" s="142"/>
      <c r="H315" s="142"/>
      <c r="I315" s="142"/>
      <c r="J315" s="142"/>
      <c r="K315" s="142"/>
      <c r="L315" s="142"/>
      <c r="M315" s="142"/>
      <c r="N315" s="142"/>
    </row>
    <row r="316" ht="25.5" customHeight="1">
      <c r="A316" s="1266"/>
      <c r="B316" t="s" s="1274">
        <v>1967</v>
      </c>
      <c r="C316" t="s" s="1271">
        <v>401</v>
      </c>
      <c r="D316" s="1267"/>
      <c r="E316" s="142"/>
      <c r="F316" s="142"/>
      <c r="G316" s="142"/>
      <c r="H316" s="142"/>
      <c r="I316" s="142"/>
      <c r="J316" s="142"/>
      <c r="K316" s="142"/>
      <c r="L316" s="142"/>
      <c r="M316" s="142"/>
      <c r="N316" s="142"/>
    </row>
    <row r="317" ht="13.65" customHeight="1">
      <c r="A317" s="1266"/>
      <c r="B317" t="s" s="338">
        <v>1968</v>
      </c>
      <c r="C317" t="s" s="1271">
        <v>402</v>
      </c>
      <c r="D317" s="1267"/>
      <c r="E317" s="142"/>
      <c r="F317" s="142"/>
      <c r="G317" s="142"/>
      <c r="H317" s="142"/>
      <c r="I317" s="142"/>
      <c r="J317" s="142"/>
      <c r="K317" s="142"/>
      <c r="L317" s="142"/>
      <c r="M317" s="142"/>
      <c r="N317" s="142"/>
    </row>
    <row r="318" ht="25.5" customHeight="1">
      <c r="A318" s="1266"/>
      <c r="B318" t="s" s="1274">
        <v>1969</v>
      </c>
      <c r="C318" t="s" s="1274">
        <v>404</v>
      </c>
      <c r="D318" s="1267"/>
      <c r="E318" s="142"/>
      <c r="F318" s="142"/>
      <c r="G318" s="142"/>
      <c r="H318" s="142"/>
      <c r="I318" s="142"/>
      <c r="J318" s="142"/>
      <c r="K318" s="142"/>
      <c r="L318" s="142"/>
      <c r="M318" s="142"/>
      <c r="N318" s="142"/>
    </row>
    <row r="319" ht="38.25" customHeight="1">
      <c r="A319" s="1266"/>
      <c r="B319" t="s" s="1274">
        <v>1970</v>
      </c>
      <c r="C319" t="s" s="1271">
        <v>405</v>
      </c>
      <c r="D319" s="1267"/>
      <c r="E319" s="142"/>
      <c r="F319" s="142"/>
      <c r="G319" s="142"/>
      <c r="H319" s="142"/>
      <c r="I319" s="142"/>
      <c r="J319" s="142"/>
      <c r="K319" s="142"/>
      <c r="L319" s="142"/>
      <c r="M319" s="142"/>
      <c r="N319" s="142"/>
    </row>
    <row r="320" ht="25.5" customHeight="1">
      <c r="A320" s="1266"/>
      <c r="B320" t="s" s="1271">
        <v>1971</v>
      </c>
      <c r="C320" t="s" s="1271">
        <v>406</v>
      </c>
      <c r="D320" s="1267"/>
      <c r="E320" s="142"/>
      <c r="F320" s="142"/>
      <c r="G320" s="142"/>
      <c r="H320" s="142"/>
      <c r="I320" s="142"/>
      <c r="J320" s="142"/>
      <c r="K320" s="142"/>
      <c r="L320" s="142"/>
      <c r="M320" s="142"/>
      <c r="N320" s="142"/>
    </row>
    <row r="321" ht="38.25" customHeight="1">
      <c r="A321" s="1266"/>
      <c r="B321" t="s" s="1274">
        <v>1972</v>
      </c>
      <c r="C321" t="s" s="1271">
        <v>407</v>
      </c>
      <c r="D321" s="1267"/>
      <c r="E321" s="142"/>
      <c r="F321" s="142"/>
      <c r="G321" s="142"/>
      <c r="H321" s="142"/>
      <c r="I321" s="142"/>
      <c r="J321" s="142"/>
      <c r="K321" s="142"/>
      <c r="L321" s="142"/>
      <c r="M321" s="142"/>
      <c r="N321" s="142"/>
    </row>
    <row r="322" ht="13.65" customHeight="1">
      <c r="A322" s="1266"/>
      <c r="B322" t="s" s="338">
        <v>1973</v>
      </c>
      <c r="C322" t="s" s="1271">
        <v>1974</v>
      </c>
      <c r="D322" s="1267"/>
      <c r="E322" s="142"/>
      <c r="F322" s="142"/>
      <c r="G322" s="142"/>
      <c r="H322" s="142"/>
      <c r="I322" s="142"/>
      <c r="J322" s="142"/>
      <c r="K322" s="142"/>
      <c r="L322" s="142"/>
      <c r="M322" s="142"/>
      <c r="N322" s="142"/>
    </row>
    <row r="323" ht="13.65" customHeight="1">
      <c r="A323" s="1266"/>
      <c r="B323" t="s" s="338">
        <v>1975</v>
      </c>
      <c r="C323" t="s" s="1271">
        <v>409</v>
      </c>
      <c r="D323" s="1267"/>
      <c r="E323" s="142"/>
      <c r="F323" s="142"/>
      <c r="G323" s="142"/>
      <c r="H323" s="142"/>
      <c r="I323" s="142"/>
      <c r="J323" s="142"/>
      <c r="K323" s="142"/>
      <c r="L323" s="142"/>
      <c r="M323" s="142"/>
      <c r="N323" s="142"/>
    </row>
    <row r="324" ht="13.65" customHeight="1">
      <c r="A324" s="1266"/>
      <c r="B324" t="s" s="1271">
        <v>1976</v>
      </c>
      <c r="C324" t="s" s="1271">
        <v>1977</v>
      </c>
      <c r="D324" s="1267"/>
      <c r="E324" s="142"/>
      <c r="F324" s="142"/>
      <c r="G324" s="142"/>
      <c r="H324" s="142"/>
      <c r="I324" s="142"/>
      <c r="J324" s="142"/>
      <c r="K324" s="142"/>
      <c r="L324" s="142"/>
      <c r="M324" s="142"/>
      <c r="N324" s="142"/>
    </row>
    <row r="325" ht="25.5" customHeight="1">
      <c r="A325" s="1266"/>
      <c r="B325" t="s" s="1271">
        <v>1978</v>
      </c>
      <c r="C325" t="s" s="1271">
        <v>146</v>
      </c>
      <c r="D325" s="1267"/>
      <c r="E325" s="142"/>
      <c r="F325" s="142"/>
      <c r="G325" s="142"/>
      <c r="H325" s="142"/>
      <c r="I325" s="142"/>
      <c r="J325" s="142"/>
      <c r="K325" s="142"/>
      <c r="L325" s="142"/>
      <c r="M325" s="142"/>
      <c r="N325" s="142"/>
    </row>
    <row r="326" ht="13.65" customHeight="1">
      <c r="A326" s="1266"/>
      <c r="B326" t="s" s="338">
        <v>1979</v>
      </c>
      <c r="C326" t="s" s="1271">
        <v>408</v>
      </c>
      <c r="D326" s="1267"/>
      <c r="E326" s="142"/>
      <c r="F326" s="142"/>
      <c r="G326" s="142"/>
      <c r="H326" s="142"/>
      <c r="I326" s="142"/>
      <c r="J326" s="142"/>
      <c r="K326" s="142"/>
      <c r="L326" s="142"/>
      <c r="M326" s="142"/>
      <c r="N326" s="142"/>
    </row>
    <row r="327" ht="13.65" customHeight="1">
      <c r="A327" s="1266"/>
      <c r="B327" t="s" s="338">
        <v>1980</v>
      </c>
      <c r="C327" t="s" s="1271">
        <v>411</v>
      </c>
      <c r="D327" s="1267"/>
      <c r="E327" s="142"/>
      <c r="F327" s="142"/>
      <c r="G327" s="142"/>
      <c r="H327" s="142"/>
      <c r="I327" s="142"/>
      <c r="J327" s="142"/>
      <c r="K327" s="142"/>
      <c r="L327" s="142"/>
      <c r="M327" s="142"/>
      <c r="N327" s="142"/>
    </row>
    <row r="328" ht="13.65" customHeight="1">
      <c r="A328" s="1266"/>
      <c r="B328" t="s" s="338">
        <v>1981</v>
      </c>
      <c r="C328" t="s" s="1271">
        <v>412</v>
      </c>
      <c r="D328" s="1267"/>
      <c r="E328" s="142"/>
      <c r="F328" s="142"/>
      <c r="G328" s="142"/>
      <c r="H328" s="142"/>
      <c r="I328" s="142"/>
      <c r="J328" s="142"/>
      <c r="K328" s="142"/>
      <c r="L328" s="142"/>
      <c r="M328" s="142"/>
      <c r="N328" s="142"/>
    </row>
    <row r="329" ht="25.5" customHeight="1">
      <c r="A329" s="1266"/>
      <c r="B329" t="s" s="1271">
        <v>1982</v>
      </c>
      <c r="C329" t="s" s="1271">
        <v>413</v>
      </c>
      <c r="D329" s="1267"/>
      <c r="E329" s="142"/>
      <c r="F329" s="142"/>
      <c r="G329" s="142"/>
      <c r="H329" s="142"/>
      <c r="I329" s="142"/>
      <c r="J329" s="142"/>
      <c r="K329" s="142"/>
      <c r="L329" s="142"/>
      <c r="M329" s="142"/>
      <c r="N329" s="142"/>
    </row>
    <row r="330" ht="25.5" customHeight="1">
      <c r="A330" s="1266"/>
      <c r="B330" t="s" s="1271">
        <v>1983</v>
      </c>
      <c r="C330" t="s" s="1271">
        <v>414</v>
      </c>
      <c r="D330" s="1267"/>
      <c r="E330" s="142"/>
      <c r="F330" s="142"/>
      <c r="G330" s="142"/>
      <c r="H330" s="142"/>
      <c r="I330" s="142"/>
      <c r="J330" s="142"/>
      <c r="K330" s="142"/>
      <c r="L330" s="142"/>
      <c r="M330" s="142"/>
      <c r="N330" s="142"/>
    </row>
    <row r="331" ht="13.65" customHeight="1">
      <c r="A331" s="1266"/>
      <c r="B331" t="s" s="338">
        <v>1984</v>
      </c>
      <c r="C331" t="s" s="1271">
        <v>415</v>
      </c>
      <c r="D331" s="1267"/>
      <c r="E331" s="142"/>
      <c r="F331" s="142"/>
      <c r="G331" s="142"/>
      <c r="H331" s="142"/>
      <c r="I331" s="142"/>
      <c r="J331" s="142"/>
      <c r="K331" s="142"/>
      <c r="L331" s="142"/>
      <c r="M331" s="142"/>
      <c r="N331" s="142"/>
    </row>
    <row r="332" ht="13.65" customHeight="1">
      <c r="A332" s="1266"/>
      <c r="B332" t="s" s="338">
        <v>1985</v>
      </c>
      <c r="C332" t="s" s="1271">
        <v>426</v>
      </c>
      <c r="D332" s="1267"/>
      <c r="E332" s="142"/>
      <c r="F332" s="142"/>
      <c r="G332" s="142"/>
      <c r="H332" s="142"/>
      <c r="I332" s="142"/>
      <c r="J332" s="142"/>
      <c r="K332" s="142"/>
      <c r="L332" s="142"/>
      <c r="M332" s="142"/>
      <c r="N332" s="142"/>
    </row>
    <row r="333" ht="13.65" customHeight="1">
      <c r="A333" s="1266"/>
      <c r="B333" t="s" s="338">
        <v>1986</v>
      </c>
      <c r="C333" t="s" s="1271">
        <v>1987</v>
      </c>
      <c r="D333" s="1267"/>
      <c r="E333" s="142"/>
      <c r="F333" s="142"/>
      <c r="G333" s="142"/>
      <c r="H333" s="142"/>
      <c r="I333" s="142"/>
      <c r="J333" s="142"/>
      <c r="K333" s="142"/>
      <c r="L333" s="142"/>
      <c r="M333" s="142"/>
      <c r="N333" s="142"/>
    </row>
    <row r="334" ht="13.65" customHeight="1">
      <c r="A334" s="1266"/>
      <c r="B334" t="s" s="338">
        <v>1988</v>
      </c>
      <c r="C334" t="s" s="1271">
        <v>1989</v>
      </c>
      <c r="D334" s="1267"/>
      <c r="E334" s="142"/>
      <c r="F334" s="142"/>
      <c r="G334" s="142"/>
      <c r="H334" s="142"/>
      <c r="I334" s="142"/>
      <c r="J334" s="142"/>
      <c r="K334" s="142"/>
      <c r="L334" s="142"/>
      <c r="M334" s="142"/>
      <c r="N334" s="142"/>
    </row>
    <row r="335" ht="13.65" customHeight="1">
      <c r="A335" s="1266"/>
      <c r="B335" t="s" s="338">
        <v>1990</v>
      </c>
      <c r="C335" t="s" s="1271">
        <v>1991</v>
      </c>
      <c r="D335" s="1267"/>
      <c r="E335" s="142"/>
      <c r="F335" s="142"/>
      <c r="G335" s="142"/>
      <c r="H335" s="142"/>
      <c r="I335" s="142"/>
      <c r="J335" s="142"/>
      <c r="K335" s="142"/>
      <c r="L335" s="142"/>
      <c r="M335" s="142"/>
      <c r="N335" s="142"/>
    </row>
    <row r="336" ht="13.65" customHeight="1">
      <c r="A336" s="1266"/>
      <c r="B336" t="s" s="338">
        <v>1992</v>
      </c>
      <c r="C336" t="s" s="1271">
        <v>56</v>
      </c>
      <c r="D336" s="1267"/>
      <c r="E336" s="142"/>
      <c r="F336" s="142"/>
      <c r="G336" s="142"/>
      <c r="H336" s="142"/>
      <c r="I336" s="142"/>
      <c r="J336" s="142"/>
      <c r="K336" s="142"/>
      <c r="L336" s="142"/>
      <c r="M336" s="142"/>
      <c r="N336" s="142"/>
    </row>
    <row r="337" ht="13.65" customHeight="1">
      <c r="A337" s="1266"/>
      <c r="B337" t="s" s="338">
        <v>1993</v>
      </c>
      <c r="C337" t="s" s="1281">
        <v>1994</v>
      </c>
      <c r="D337" s="1267"/>
      <c r="E337" s="142"/>
      <c r="F337" s="142"/>
      <c r="G337" s="142"/>
      <c r="H337" s="142"/>
      <c r="I337" s="142"/>
      <c r="J337" s="142"/>
      <c r="K337" s="142"/>
      <c r="L337" s="142"/>
      <c r="M337" s="142"/>
      <c r="N337" s="142"/>
    </row>
    <row r="338" ht="13.65" customHeight="1">
      <c r="A338" s="1266"/>
      <c r="B338" t="s" s="338">
        <v>1995</v>
      </c>
      <c r="C338" t="s" s="1271">
        <v>60</v>
      </c>
      <c r="D338" s="1267"/>
      <c r="E338" s="142"/>
      <c r="F338" s="142"/>
      <c r="G338" s="142"/>
      <c r="H338" s="142"/>
      <c r="I338" s="142"/>
      <c r="J338" s="142"/>
      <c r="K338" s="142"/>
      <c r="L338" s="142"/>
      <c r="M338" s="142"/>
      <c r="N338" s="142"/>
    </row>
    <row r="339" ht="13.65" customHeight="1">
      <c r="A339" s="1266"/>
      <c r="B339" t="s" s="338">
        <v>1996</v>
      </c>
      <c r="C339" t="s" s="1281">
        <v>1997</v>
      </c>
      <c r="D339" s="1267"/>
      <c r="E339" s="142"/>
      <c r="F339" s="142"/>
      <c r="G339" s="142"/>
      <c r="H339" s="142"/>
      <c r="I339" s="142"/>
      <c r="J339" s="142"/>
      <c r="K339" s="142"/>
      <c r="L339" s="142"/>
      <c r="M339" s="142"/>
      <c r="N339" s="142"/>
    </row>
    <row r="340" ht="13.65" customHeight="1">
      <c r="A340" s="1266"/>
      <c r="B340" t="s" s="338">
        <v>1998</v>
      </c>
      <c r="C340" t="s" s="1271">
        <v>63</v>
      </c>
      <c r="D340" s="1267"/>
      <c r="E340" s="142"/>
      <c r="F340" s="142"/>
      <c r="G340" s="142"/>
      <c r="H340" s="142"/>
      <c r="I340" s="142"/>
      <c r="J340" s="142"/>
      <c r="K340" s="142"/>
      <c r="L340" s="142"/>
      <c r="M340" s="142"/>
      <c r="N340" s="142"/>
    </row>
    <row r="341" ht="13.65" customHeight="1">
      <c r="A341" s="1266"/>
      <c r="B341" t="s" s="338">
        <v>1999</v>
      </c>
      <c r="C341" t="s" s="1271">
        <v>69</v>
      </c>
      <c r="D341" s="1267"/>
      <c r="E341" s="142"/>
      <c r="F341" s="142"/>
      <c r="G341" s="142"/>
      <c r="H341" s="142"/>
      <c r="I341" s="142"/>
      <c r="J341" s="142"/>
      <c r="K341" s="142"/>
      <c r="L341" s="142"/>
      <c r="M341" s="142"/>
      <c r="N341" s="142"/>
    </row>
    <row r="342" ht="13.65" customHeight="1">
      <c r="A342" s="1266"/>
      <c r="B342" t="s" s="338">
        <v>1815</v>
      </c>
      <c r="C342" t="s" s="1271">
        <v>72</v>
      </c>
      <c r="D342" s="1267"/>
      <c r="E342" s="142"/>
      <c r="F342" s="142"/>
      <c r="G342" s="142"/>
      <c r="H342" s="142"/>
      <c r="I342" s="142"/>
      <c r="J342" s="142"/>
      <c r="K342" s="142"/>
      <c r="L342" s="142"/>
      <c r="M342" s="142"/>
      <c r="N342" s="142"/>
    </row>
    <row r="343" ht="13.65" customHeight="1">
      <c r="A343" s="1266"/>
      <c r="B343" t="s" s="338">
        <v>2000</v>
      </c>
      <c r="C343" t="s" s="1271">
        <v>77</v>
      </c>
      <c r="D343" s="1267"/>
      <c r="E343" s="142"/>
      <c r="F343" s="142"/>
      <c r="G343" s="142"/>
      <c r="H343" s="142"/>
      <c r="I343" s="142"/>
      <c r="J343" s="142"/>
      <c r="K343" s="142"/>
      <c r="L343" s="142"/>
      <c r="M343" s="142"/>
      <c r="N343" s="142"/>
    </row>
    <row r="344" ht="13.65" customHeight="1">
      <c r="A344" s="1266"/>
      <c r="B344" t="s" s="338">
        <v>2001</v>
      </c>
      <c r="C344" t="s" s="1271">
        <v>74</v>
      </c>
      <c r="D344" s="1267"/>
      <c r="E344" s="142"/>
      <c r="F344" s="142"/>
      <c r="G344" s="142"/>
      <c r="H344" s="142"/>
      <c r="I344" s="142"/>
      <c r="J344" s="142"/>
      <c r="K344" s="142"/>
      <c r="L344" s="142"/>
      <c r="M344" s="142"/>
      <c r="N344" s="142"/>
    </row>
    <row r="345" ht="13.65" customHeight="1">
      <c r="A345" s="1266"/>
      <c r="B345" t="s" s="338">
        <v>2002</v>
      </c>
      <c r="C345" t="s" s="1271">
        <v>79</v>
      </c>
      <c r="D345" s="1267"/>
      <c r="E345" s="142"/>
      <c r="F345" s="142"/>
      <c r="G345" s="142"/>
      <c r="H345" s="142"/>
      <c r="I345" s="142"/>
      <c r="J345" s="142"/>
      <c r="K345" s="142"/>
      <c r="L345" s="142"/>
      <c r="M345" s="142"/>
      <c r="N345" s="142"/>
    </row>
    <row r="346" ht="13.65" customHeight="1">
      <c r="A346" s="1266"/>
      <c r="B346" t="s" s="338">
        <v>2003</v>
      </c>
      <c r="C346" t="s" s="1271">
        <v>82</v>
      </c>
      <c r="D346" s="1267"/>
      <c r="E346" s="142"/>
      <c r="F346" s="142"/>
      <c r="G346" s="142"/>
      <c r="H346" s="142"/>
      <c r="I346" s="142"/>
      <c r="J346" s="142"/>
      <c r="K346" s="142"/>
      <c r="L346" s="142"/>
      <c r="M346" s="142"/>
      <c r="N346" s="142"/>
    </row>
    <row r="347" ht="13.65" customHeight="1">
      <c r="A347" s="1266"/>
      <c r="B347" t="s" s="338">
        <v>2004</v>
      </c>
      <c r="C347" t="s" s="1271">
        <v>2005</v>
      </c>
      <c r="D347" s="1267"/>
      <c r="E347" s="142"/>
      <c r="F347" s="142"/>
      <c r="G347" s="142"/>
      <c r="H347" s="142"/>
      <c r="I347" s="142"/>
      <c r="J347" s="142"/>
      <c r="K347" s="142"/>
      <c r="L347" s="142"/>
      <c r="M347" s="142"/>
      <c r="N347" s="142"/>
    </row>
    <row r="348" ht="13.65" customHeight="1">
      <c r="A348" s="1266"/>
      <c r="B348" t="s" s="1271">
        <v>2006</v>
      </c>
      <c r="C348" t="s" s="1271">
        <v>429</v>
      </c>
      <c r="D348" s="1267"/>
      <c r="E348" s="142"/>
      <c r="F348" s="142"/>
      <c r="G348" s="142"/>
      <c r="H348" s="142"/>
      <c r="I348" s="142"/>
      <c r="J348" s="142"/>
      <c r="K348" s="142"/>
      <c r="L348" s="142"/>
      <c r="M348" s="142"/>
      <c r="N348" s="142"/>
    </row>
    <row r="349" ht="13.65" customHeight="1">
      <c r="A349" s="1266"/>
      <c r="B349" t="s" s="338">
        <v>2007</v>
      </c>
      <c r="C349" t="s" s="1271">
        <v>212</v>
      </c>
      <c r="D349" s="1267"/>
      <c r="E349" s="142"/>
      <c r="F349" s="142"/>
      <c r="G349" s="142"/>
      <c r="H349" s="142"/>
      <c r="I349" s="142"/>
      <c r="J349" s="142"/>
      <c r="K349" s="142"/>
      <c r="L349" s="142"/>
      <c r="M349" s="142"/>
      <c r="N349" s="142"/>
    </row>
    <row r="350" ht="13.65" customHeight="1">
      <c r="A350" s="1266"/>
      <c r="B350" t="s" s="338">
        <v>2008</v>
      </c>
      <c r="C350" t="s" s="1271">
        <v>430</v>
      </c>
      <c r="D350" s="1267"/>
      <c r="E350" s="142"/>
      <c r="F350" s="142"/>
      <c r="G350" s="142"/>
      <c r="H350" s="142"/>
      <c r="I350" s="142"/>
      <c r="J350" s="142"/>
      <c r="K350" s="142"/>
      <c r="L350" s="142"/>
      <c r="M350" s="142"/>
      <c r="N350" s="142"/>
    </row>
    <row r="351" ht="13.65" customHeight="1">
      <c r="A351" s="1266"/>
      <c r="B351" t="s" s="1271">
        <v>2009</v>
      </c>
      <c r="C351" t="s" s="1271">
        <v>431</v>
      </c>
      <c r="D351" s="1267"/>
      <c r="E351" s="142"/>
      <c r="F351" s="142"/>
      <c r="G351" s="142"/>
      <c r="H351" s="142"/>
      <c r="I351" s="142"/>
      <c r="J351" s="142"/>
      <c r="K351" s="142"/>
      <c r="L351" s="142"/>
      <c r="M351" s="142"/>
      <c r="N351" s="142"/>
    </row>
    <row r="352" ht="13.65" customHeight="1">
      <c r="A352" s="1266"/>
      <c r="B352" t="s" s="338">
        <v>2010</v>
      </c>
      <c r="C352" t="s" s="1271">
        <v>432</v>
      </c>
      <c r="D352" s="1267"/>
      <c r="E352" s="142"/>
      <c r="F352" s="142"/>
      <c r="G352" s="142"/>
      <c r="H352" s="142"/>
      <c r="I352" s="142"/>
      <c r="J352" s="142"/>
      <c r="K352" s="142"/>
      <c r="L352" s="142"/>
      <c r="M352" s="142"/>
      <c r="N352" s="142"/>
    </row>
    <row r="353" ht="25.5" customHeight="1">
      <c r="A353" s="1266"/>
      <c r="B353" t="s" s="1271">
        <v>2011</v>
      </c>
      <c r="C353" t="s" s="1274">
        <v>2012</v>
      </c>
      <c r="D353" s="1267"/>
      <c r="E353" s="142"/>
      <c r="F353" s="142"/>
      <c r="G353" s="142"/>
      <c r="H353" s="142"/>
      <c r="I353" s="142"/>
      <c r="J353" s="142"/>
      <c r="K353" s="142"/>
      <c r="L353" s="142"/>
      <c r="M353" s="142"/>
      <c r="N353" s="142"/>
    </row>
    <row r="354" ht="13.65" customHeight="1">
      <c r="A354" s="1266"/>
      <c r="B354" t="s" s="338">
        <v>2013</v>
      </c>
      <c r="C354" t="s" s="1271">
        <v>403</v>
      </c>
      <c r="D354" s="1267"/>
      <c r="E354" s="142"/>
      <c r="F354" s="142"/>
      <c r="G354" s="142"/>
      <c r="H354" s="142"/>
      <c r="I354" s="142"/>
      <c r="J354" s="142"/>
      <c r="K354" s="142"/>
      <c r="L354" s="142"/>
      <c r="M354" s="142"/>
      <c r="N354" s="142"/>
    </row>
    <row r="355" ht="38.25" customHeight="1">
      <c r="A355" s="1266"/>
      <c r="B355" t="s" s="1274">
        <v>2014</v>
      </c>
      <c r="C355" t="s" s="1274">
        <v>437</v>
      </c>
      <c r="D355" s="1267"/>
      <c r="E355" s="142"/>
      <c r="F355" s="142"/>
      <c r="G355" s="142"/>
      <c r="H355" s="142"/>
      <c r="I355" s="142"/>
      <c r="J355" s="142"/>
      <c r="K355" s="142"/>
      <c r="L355" s="142"/>
      <c r="M355" s="142"/>
      <c r="N355" s="142"/>
    </row>
    <row r="356" ht="25.5" customHeight="1">
      <c r="A356" s="1266"/>
      <c r="B356" t="s" s="1274">
        <v>2015</v>
      </c>
      <c r="C356" t="s" s="1274">
        <v>438</v>
      </c>
      <c r="D356" s="1267"/>
      <c r="E356" s="142"/>
      <c r="F356" s="142"/>
      <c r="G356" s="142"/>
      <c r="H356" s="142"/>
      <c r="I356" s="142"/>
      <c r="J356" s="142"/>
      <c r="K356" s="142"/>
      <c r="L356" s="142"/>
      <c r="M356" s="142"/>
      <c r="N356" s="142"/>
    </row>
    <row r="357" ht="38.25" customHeight="1">
      <c r="A357" s="1266"/>
      <c r="B357" t="s" s="1274">
        <v>2016</v>
      </c>
      <c r="C357" t="s" s="1274">
        <v>439</v>
      </c>
      <c r="D357" s="1267"/>
      <c r="E357" s="142"/>
      <c r="F357" s="142"/>
      <c r="G357" s="142"/>
      <c r="H357" s="142"/>
      <c r="I357" s="142"/>
      <c r="J357" s="142"/>
      <c r="K357" s="142"/>
      <c r="L357" s="142"/>
      <c r="M357" s="142"/>
      <c r="N357" s="142"/>
    </row>
    <row r="358" ht="13.65" customHeight="1">
      <c r="A358" s="1266"/>
      <c r="B358" t="s" s="1274">
        <v>2017</v>
      </c>
      <c r="C358" t="s" s="1271">
        <v>440</v>
      </c>
      <c r="D358" s="1267"/>
      <c r="E358" s="142"/>
      <c r="F358" s="142"/>
      <c r="G358" s="142"/>
      <c r="H358" s="142"/>
      <c r="I358" s="142"/>
      <c r="J358" s="142"/>
      <c r="K358" s="142"/>
      <c r="L358" s="142"/>
      <c r="M358" s="142"/>
      <c r="N358" s="142"/>
    </row>
    <row r="359" ht="39.75" customHeight="1">
      <c r="A359" s="1266"/>
      <c r="B359" t="s" s="1271">
        <v>2018</v>
      </c>
      <c r="C359" t="s" s="1274">
        <v>441</v>
      </c>
      <c r="D359" s="1267"/>
      <c r="E359" s="142"/>
      <c r="F359" s="142"/>
      <c r="G359" s="142"/>
      <c r="H359" s="142"/>
      <c r="I359" s="142"/>
      <c r="J359" s="142"/>
      <c r="K359" s="142"/>
      <c r="L359" s="142"/>
      <c r="M359" s="142"/>
      <c r="N359" s="142"/>
    </row>
    <row r="360" ht="13.65" customHeight="1">
      <c r="A360" s="1266"/>
      <c r="B360" t="s" s="1274">
        <v>2019</v>
      </c>
      <c r="C360" t="s" s="1274">
        <v>466</v>
      </c>
      <c r="D360" s="1267"/>
      <c r="E360" s="142"/>
      <c r="F360" s="142"/>
      <c r="G360" s="142"/>
      <c r="H360" s="142"/>
      <c r="I360" s="142"/>
      <c r="J360" s="142"/>
      <c r="K360" s="142"/>
      <c r="L360" s="142"/>
      <c r="M360" s="142"/>
      <c r="N360" s="142"/>
    </row>
    <row r="361" ht="25.5" customHeight="1">
      <c r="A361" s="1266"/>
      <c r="B361" t="s" s="1274">
        <v>2020</v>
      </c>
      <c r="C361" t="s" s="1274">
        <v>467</v>
      </c>
      <c r="D361" s="1267"/>
      <c r="E361" s="142"/>
      <c r="F361" s="142"/>
      <c r="G361" s="142"/>
      <c r="H361" s="142"/>
      <c r="I361" s="142"/>
      <c r="J361" s="142"/>
      <c r="K361" s="142"/>
      <c r="L361" s="142"/>
      <c r="M361" s="142"/>
      <c r="N361" s="142"/>
    </row>
    <row r="362" ht="13.65" customHeight="1">
      <c r="A362" s="1266"/>
      <c r="B362" t="s" s="1274">
        <v>2021</v>
      </c>
      <c r="C362" t="s" s="1274">
        <v>2022</v>
      </c>
      <c r="D362" s="1267"/>
      <c r="E362" s="142"/>
      <c r="F362" s="142"/>
      <c r="G362" s="142"/>
      <c r="H362" s="142"/>
      <c r="I362" s="142"/>
      <c r="J362" s="142"/>
      <c r="K362" s="142"/>
      <c r="L362" s="142"/>
      <c r="M362" s="142"/>
      <c r="N362" s="142"/>
    </row>
    <row r="363" ht="25.5" customHeight="1">
      <c r="A363" s="1266"/>
      <c r="B363" t="s" s="1274">
        <v>2023</v>
      </c>
      <c r="C363" t="s" s="1274">
        <v>488</v>
      </c>
      <c r="D363" s="1267"/>
      <c r="E363" s="142"/>
      <c r="F363" s="142"/>
      <c r="G363" s="142"/>
      <c r="H363" s="142"/>
      <c r="I363" s="142"/>
      <c r="J363" s="142"/>
      <c r="K363" s="142"/>
      <c r="L363" s="142"/>
      <c r="M363" s="142"/>
      <c r="N363" s="142"/>
    </row>
    <row r="364" ht="13.65" customHeight="1">
      <c r="A364" s="1266"/>
      <c r="B364" t="s" s="1274">
        <v>2024</v>
      </c>
      <c r="C364" t="s" s="1274">
        <v>474</v>
      </c>
      <c r="D364" s="1267"/>
      <c r="E364" s="142"/>
      <c r="F364" s="142"/>
      <c r="G364" s="142"/>
      <c r="H364" s="142"/>
      <c r="I364" s="142"/>
      <c r="J364" s="142"/>
      <c r="K364" s="142"/>
      <c r="L364" s="142"/>
      <c r="M364" s="142"/>
      <c r="N364" s="142"/>
    </row>
    <row r="365" ht="13.65" customHeight="1">
      <c r="A365" s="1266"/>
      <c r="B365" t="s" s="1274">
        <v>2025</v>
      </c>
      <c r="C365" t="s" s="1274">
        <v>491</v>
      </c>
      <c r="D365" s="1267"/>
      <c r="E365" s="142"/>
      <c r="F365" s="142"/>
      <c r="G365" s="142"/>
      <c r="H365" s="142"/>
      <c r="I365" s="142"/>
      <c r="J365" s="142"/>
      <c r="K365" s="142"/>
      <c r="L365" s="142"/>
      <c r="M365" s="142"/>
      <c r="N365" s="142"/>
    </row>
    <row r="366" ht="25.5" customHeight="1">
      <c r="A366" s="1266"/>
      <c r="B366" t="s" s="1271">
        <v>2026</v>
      </c>
      <c r="C366" t="s" s="1274">
        <v>494</v>
      </c>
      <c r="D366" s="1267"/>
      <c r="E366" s="142"/>
      <c r="F366" s="142"/>
      <c r="G366" s="142"/>
      <c r="H366" s="142"/>
      <c r="I366" s="142"/>
      <c r="J366" s="142"/>
      <c r="K366" s="142"/>
      <c r="L366" s="142"/>
      <c r="M366" s="142"/>
      <c r="N366" s="142"/>
    </row>
    <row r="367" ht="25.5" customHeight="1">
      <c r="A367" s="1266"/>
      <c r="B367" t="s" s="1271">
        <v>2027</v>
      </c>
      <c r="C367" t="s" s="1274">
        <v>497</v>
      </c>
      <c r="D367" s="1267"/>
      <c r="E367" s="142"/>
      <c r="F367" s="142"/>
      <c r="G367" s="142"/>
      <c r="H367" s="142"/>
      <c r="I367" s="142"/>
      <c r="J367" s="142"/>
      <c r="K367" s="142"/>
      <c r="L367" s="142"/>
      <c r="M367" s="142"/>
      <c r="N367" s="142"/>
    </row>
    <row r="368" ht="13.65" customHeight="1">
      <c r="A368" s="1266"/>
      <c r="B368" t="s" s="1274">
        <v>2028</v>
      </c>
      <c r="C368" t="s" s="1274">
        <v>269</v>
      </c>
      <c r="D368" s="1267"/>
      <c r="E368" s="142"/>
      <c r="F368" s="142"/>
      <c r="G368" s="142"/>
      <c r="H368" s="142"/>
      <c r="I368" s="142"/>
      <c r="J368" s="142"/>
      <c r="K368" s="142"/>
      <c r="L368" s="142"/>
      <c r="M368" s="142"/>
      <c r="N368" s="142"/>
    </row>
    <row r="369" ht="13.65" customHeight="1">
      <c r="A369" s="1266"/>
      <c r="B369" t="s" s="1274">
        <v>2029</v>
      </c>
      <c r="C369" t="s" s="1271">
        <v>500</v>
      </c>
      <c r="D369" s="1267"/>
      <c r="E369" s="142"/>
      <c r="F369" s="142"/>
      <c r="G369" s="142"/>
      <c r="H369" s="142"/>
      <c r="I369" s="142"/>
      <c r="J369" s="142"/>
      <c r="K369" s="142"/>
      <c r="L369" s="142"/>
      <c r="M369" s="142"/>
      <c r="N369" s="142"/>
    </row>
    <row r="370" ht="13.65" customHeight="1">
      <c r="A370" s="1266"/>
      <c r="B370" t="s" s="338">
        <v>2030</v>
      </c>
      <c r="C370" t="s" s="1271">
        <v>501</v>
      </c>
      <c r="D370" s="1267"/>
      <c r="E370" s="142"/>
      <c r="F370" s="142"/>
      <c r="G370" s="142"/>
      <c r="H370" s="142"/>
      <c r="I370" s="142"/>
      <c r="J370" s="142"/>
      <c r="K370" s="142"/>
      <c r="L370" s="142"/>
      <c r="M370" s="142"/>
      <c r="N370" s="142"/>
    </row>
    <row r="371" ht="63.75" customHeight="1">
      <c r="A371" s="1266"/>
      <c r="B371" t="s" s="1274">
        <v>2031</v>
      </c>
      <c r="C371" t="s" s="1274">
        <v>505</v>
      </c>
      <c r="D371" s="1267"/>
      <c r="E371" s="142"/>
      <c r="F371" s="142"/>
      <c r="G371" s="142"/>
      <c r="H371" s="142"/>
      <c r="I371" s="142"/>
      <c r="J371" s="142"/>
      <c r="K371" s="142"/>
      <c r="L371" s="142"/>
      <c r="M371" s="142"/>
      <c r="N371" s="142"/>
    </row>
    <row r="372" ht="13.65" customHeight="1">
      <c r="A372" s="1266"/>
      <c r="B372" t="s" s="338">
        <v>2032</v>
      </c>
      <c r="C372" t="s" s="1271">
        <v>963</v>
      </c>
      <c r="D372" s="1267"/>
      <c r="E372" s="142"/>
      <c r="F372" s="142"/>
      <c r="G372" s="142"/>
      <c r="H372" s="142"/>
      <c r="I372" s="142"/>
      <c r="J372" s="142"/>
      <c r="K372" s="142"/>
      <c r="L372" s="142"/>
      <c r="M372" s="142"/>
      <c r="N372" s="142"/>
    </row>
    <row r="373" ht="13.65" customHeight="1">
      <c r="A373" s="1266"/>
      <c r="B373" t="s" s="338">
        <v>2033</v>
      </c>
      <c r="C373" t="s" s="1271">
        <v>277</v>
      </c>
      <c r="D373" s="1267"/>
      <c r="E373" s="142"/>
      <c r="F373" s="142"/>
      <c r="G373" s="142"/>
      <c r="H373" s="142"/>
      <c r="I373" s="142"/>
      <c r="J373" s="142"/>
      <c r="K373" s="142"/>
      <c r="L373" s="142"/>
      <c r="M373" s="142"/>
      <c r="N373" s="142"/>
    </row>
    <row r="374" ht="13.65" customHeight="1">
      <c r="A374" s="1266"/>
      <c r="B374" t="s" s="338">
        <v>2034</v>
      </c>
      <c r="C374" t="s" s="1274">
        <v>507</v>
      </c>
      <c r="D374" s="1267"/>
      <c r="E374" s="142"/>
      <c r="F374" s="142"/>
      <c r="G374" s="142"/>
      <c r="H374" s="142"/>
      <c r="I374" s="142"/>
      <c r="J374" s="142"/>
      <c r="K374" s="142"/>
      <c r="L374" s="142"/>
      <c r="M374" s="142"/>
      <c r="N374" s="142"/>
    </row>
    <row r="375" ht="13.65" customHeight="1">
      <c r="A375" s="1266"/>
      <c r="B375" t="s" s="338">
        <v>2035</v>
      </c>
      <c r="C375" t="s" s="1271">
        <v>509</v>
      </c>
      <c r="D375" s="1267"/>
      <c r="E375" s="142"/>
      <c r="F375" s="142"/>
      <c r="G375" s="142"/>
      <c r="H375" s="142"/>
      <c r="I375" s="142"/>
      <c r="J375" s="142"/>
      <c r="K375" s="142"/>
      <c r="L375" s="142"/>
      <c r="M375" s="142"/>
      <c r="N375" s="142"/>
    </row>
    <row r="376" ht="25.5" customHeight="1">
      <c r="A376" s="1266"/>
      <c r="B376" t="s" s="1271">
        <v>2036</v>
      </c>
      <c r="C376" t="s" s="1271">
        <v>510</v>
      </c>
      <c r="D376" s="1267"/>
      <c r="E376" s="142"/>
      <c r="F376" s="142"/>
      <c r="G376" s="142"/>
      <c r="H376" s="142"/>
      <c r="I376" s="142"/>
      <c r="J376" s="142"/>
      <c r="K376" s="142"/>
      <c r="L376" s="142"/>
      <c r="M376" s="142"/>
      <c r="N376" s="142"/>
    </row>
    <row r="377" ht="13.65" customHeight="1">
      <c r="A377" s="1266"/>
      <c r="B377" t="s" s="1271">
        <v>2037</v>
      </c>
      <c r="C377" t="s" s="1271">
        <v>2038</v>
      </c>
      <c r="D377" s="1267"/>
      <c r="E377" s="142"/>
      <c r="F377" s="142"/>
      <c r="G377" s="142"/>
      <c r="H377" s="142"/>
      <c r="I377" s="142"/>
      <c r="J377" s="142"/>
      <c r="K377" s="142"/>
      <c r="L377" s="142"/>
      <c r="M377" s="142"/>
      <c r="N377" s="142"/>
    </row>
    <row r="378" ht="51" customHeight="1">
      <c r="A378" s="1266"/>
      <c r="B378" t="s" s="1271">
        <v>2039</v>
      </c>
      <c r="C378" t="s" s="1274">
        <v>511</v>
      </c>
      <c r="D378" s="1267"/>
      <c r="E378" s="142"/>
      <c r="F378" s="142"/>
      <c r="G378" s="142"/>
      <c r="H378" s="142"/>
      <c r="I378" s="142"/>
      <c r="J378" s="142"/>
      <c r="K378" s="142"/>
      <c r="L378" s="142"/>
      <c r="M378" s="142"/>
      <c r="N378" s="142"/>
    </row>
    <row r="379" ht="25.5" customHeight="1">
      <c r="A379" s="1266"/>
      <c r="B379" t="s" s="1271">
        <v>2040</v>
      </c>
      <c r="C379" t="s" s="1274">
        <v>512</v>
      </c>
      <c r="D379" s="1267"/>
      <c r="E379" s="142"/>
      <c r="F379" s="142"/>
      <c r="G379" s="142"/>
      <c r="H379" s="142"/>
      <c r="I379" s="142"/>
      <c r="J379" s="142"/>
      <c r="K379" s="142"/>
      <c r="L379" s="142"/>
      <c r="M379" s="142"/>
      <c r="N379" s="142"/>
    </row>
    <row r="380" ht="25.5" customHeight="1">
      <c r="A380" s="1266"/>
      <c r="B380" t="s" s="1271">
        <v>2041</v>
      </c>
      <c r="C380" t="s" s="1274">
        <v>513</v>
      </c>
      <c r="D380" s="1267"/>
      <c r="E380" s="142"/>
      <c r="F380" s="142"/>
      <c r="G380" s="142"/>
      <c r="H380" s="142"/>
      <c r="I380" s="142"/>
      <c r="J380" s="142"/>
      <c r="K380" s="142"/>
      <c r="L380" s="142"/>
      <c r="M380" s="142"/>
      <c r="N380" s="142"/>
    </row>
    <row r="381" ht="13.65" customHeight="1">
      <c r="A381" s="1266"/>
      <c r="B381" t="s" s="1271">
        <v>2042</v>
      </c>
      <c r="C381" t="s" s="1271">
        <v>514</v>
      </c>
      <c r="D381" s="1267"/>
      <c r="E381" s="142"/>
      <c r="F381" s="142"/>
      <c r="G381" s="142"/>
      <c r="H381" s="142"/>
      <c r="I381" s="142"/>
      <c r="J381" s="142"/>
      <c r="K381" s="142"/>
      <c r="L381" s="142"/>
      <c r="M381" s="142"/>
      <c r="N381" s="142"/>
    </row>
    <row r="382" ht="13.65" customHeight="1">
      <c r="A382" s="1266"/>
      <c r="B382" t="s" s="1271">
        <v>2043</v>
      </c>
      <c r="C382" t="s" s="1271">
        <v>515</v>
      </c>
      <c r="D382" s="1267"/>
      <c r="E382" s="142"/>
      <c r="F382" s="142"/>
      <c r="G382" s="142"/>
      <c r="H382" s="142"/>
      <c r="I382" s="142"/>
      <c r="J382" s="142"/>
      <c r="K382" s="142"/>
      <c r="L382" s="142"/>
      <c r="M382" s="142"/>
      <c r="N382" s="142"/>
    </row>
    <row r="383" ht="13.65" customHeight="1">
      <c r="A383" s="1266"/>
      <c r="B383" t="s" s="1271">
        <v>2044</v>
      </c>
      <c r="C383" t="s" s="1271">
        <v>303</v>
      </c>
      <c r="D383" s="1267"/>
      <c r="E383" s="142"/>
      <c r="F383" s="142"/>
      <c r="G383" s="142"/>
      <c r="H383" s="142"/>
      <c r="I383" s="142"/>
      <c r="J383" s="142"/>
      <c r="K383" s="142"/>
      <c r="L383" s="142"/>
      <c r="M383" s="142"/>
      <c r="N383" s="142"/>
    </row>
    <row r="384" ht="25.5" customHeight="1">
      <c r="A384" s="1266"/>
      <c r="B384" t="s" s="1271">
        <v>2045</v>
      </c>
      <c r="C384" t="s" s="1271">
        <v>518</v>
      </c>
      <c r="D384" s="1267"/>
      <c r="E384" s="142"/>
      <c r="F384" s="142"/>
      <c r="G384" s="142"/>
      <c r="H384" s="142"/>
      <c r="I384" s="142"/>
      <c r="J384" s="142"/>
      <c r="K384" s="142"/>
      <c r="L384" s="142"/>
      <c r="M384" s="142"/>
      <c r="N384" s="142"/>
    </row>
    <row r="385" ht="13.65" customHeight="1">
      <c r="A385" s="1266"/>
      <c r="B385" t="s" s="1271">
        <v>2046</v>
      </c>
      <c r="C385" t="s" s="1271">
        <v>520</v>
      </c>
      <c r="D385" s="1267"/>
      <c r="E385" s="142"/>
      <c r="F385" s="142"/>
      <c r="G385" s="142"/>
      <c r="H385" s="142"/>
      <c r="I385" s="142"/>
      <c r="J385" s="142"/>
      <c r="K385" s="142"/>
      <c r="L385" s="142"/>
      <c r="M385" s="142"/>
      <c r="N385" s="142"/>
    </row>
    <row r="386" ht="38.25" customHeight="1">
      <c r="A386" s="1266"/>
      <c r="B386" t="s" s="1274">
        <v>2047</v>
      </c>
      <c r="C386" t="s" s="1271">
        <v>521</v>
      </c>
      <c r="D386" s="1267"/>
      <c r="E386" s="142"/>
      <c r="F386" s="142"/>
      <c r="G386" s="142"/>
      <c r="H386" s="142"/>
      <c r="I386" s="142"/>
      <c r="J386" s="142"/>
      <c r="K386" s="142"/>
      <c r="L386" s="142"/>
      <c r="M386" s="142"/>
      <c r="N386" s="142"/>
    </row>
    <row r="387" ht="25.5" customHeight="1">
      <c r="A387" s="1266"/>
      <c r="B387" t="s" s="1274">
        <v>2048</v>
      </c>
      <c r="C387" t="s" s="1271">
        <v>528</v>
      </c>
      <c r="D387" s="1267"/>
      <c r="E387" s="142"/>
      <c r="F387" s="142"/>
      <c r="G387" s="142"/>
      <c r="H387" s="142"/>
      <c r="I387" s="142"/>
      <c r="J387" s="142"/>
      <c r="K387" s="142"/>
      <c r="L387" s="142"/>
      <c r="M387" s="142"/>
      <c r="N387" s="142"/>
    </row>
    <row r="388" ht="25.5" customHeight="1">
      <c r="A388" s="1266"/>
      <c r="B388" t="s" s="1271">
        <v>2049</v>
      </c>
      <c r="C388" t="s" s="1271">
        <v>529</v>
      </c>
      <c r="D388" s="1267"/>
      <c r="E388" s="142"/>
      <c r="F388" s="142"/>
      <c r="G388" s="142"/>
      <c r="H388" s="142"/>
      <c r="I388" s="142"/>
      <c r="J388" s="142"/>
      <c r="K388" s="142"/>
      <c r="L388" s="142"/>
      <c r="M388" s="142"/>
      <c r="N388" s="142"/>
    </row>
    <row r="389" ht="25.5" customHeight="1">
      <c r="A389" s="1266"/>
      <c r="B389" t="s" s="1271">
        <v>2050</v>
      </c>
      <c r="C389" t="s" s="1274">
        <v>530</v>
      </c>
      <c r="D389" s="1267"/>
      <c r="E389" s="142"/>
      <c r="F389" s="142"/>
      <c r="G389" s="142"/>
      <c r="H389" s="142"/>
      <c r="I389" s="142"/>
      <c r="J389" s="142"/>
      <c r="K389" s="142"/>
      <c r="L389" s="142"/>
      <c r="M389" s="142"/>
      <c r="N389" s="142"/>
    </row>
    <row r="390" ht="13.65" customHeight="1">
      <c r="A390" s="1266"/>
      <c r="B390" t="s" s="1271">
        <v>2051</v>
      </c>
      <c r="C390" t="s" s="1274">
        <v>533</v>
      </c>
      <c r="D390" s="1267"/>
      <c r="E390" s="142"/>
      <c r="F390" s="142"/>
      <c r="G390" s="142"/>
      <c r="H390" s="142"/>
      <c r="I390" s="142"/>
      <c r="J390" s="142"/>
      <c r="K390" s="142"/>
      <c r="L390" s="142"/>
      <c r="M390" s="142"/>
      <c r="N390" s="142"/>
    </row>
    <row r="391" ht="13.65" customHeight="1">
      <c r="A391" s="1266"/>
      <c r="B391" t="s" s="1271">
        <v>2052</v>
      </c>
      <c r="C391" t="s" s="1274">
        <v>534</v>
      </c>
      <c r="D391" s="1267"/>
      <c r="E391" s="142"/>
      <c r="F391" s="142"/>
      <c r="G391" s="142"/>
      <c r="H391" s="142"/>
      <c r="I391" s="142"/>
      <c r="J391" s="142"/>
      <c r="K391" s="142"/>
      <c r="L391" s="142"/>
      <c r="M391" s="142"/>
      <c r="N391" s="142"/>
    </row>
    <row r="392" ht="13.65" customHeight="1">
      <c r="A392" s="1266"/>
      <c r="B392" t="s" s="1271">
        <v>2053</v>
      </c>
      <c r="C392" t="s" s="1274">
        <v>535</v>
      </c>
      <c r="D392" s="1267"/>
      <c r="E392" s="142"/>
      <c r="F392" s="142"/>
      <c r="G392" s="142"/>
      <c r="H392" s="142"/>
      <c r="I392" s="142"/>
      <c r="J392" s="142"/>
      <c r="K392" s="142"/>
      <c r="L392" s="142"/>
      <c r="M392" s="142"/>
      <c r="N392" s="142"/>
    </row>
    <row r="393" ht="13.65" customHeight="1">
      <c r="A393" s="1266"/>
      <c r="B393" t="s" s="1271">
        <v>2054</v>
      </c>
      <c r="C393" t="s" s="1274">
        <v>531</v>
      </c>
      <c r="D393" s="1267"/>
      <c r="E393" s="142"/>
      <c r="F393" s="142"/>
      <c r="G393" s="142"/>
      <c r="H393" s="142"/>
      <c r="I393" s="142"/>
      <c r="J393" s="142"/>
      <c r="K393" s="142"/>
      <c r="L393" s="142"/>
      <c r="M393" s="142"/>
      <c r="N393" s="142"/>
    </row>
    <row r="394" ht="13.65" customHeight="1">
      <c r="A394" s="1266"/>
      <c r="B394" t="s" s="1271">
        <v>2055</v>
      </c>
      <c r="C394" t="s" s="1274">
        <v>537</v>
      </c>
      <c r="D394" s="1267"/>
      <c r="E394" s="142"/>
      <c r="F394" s="142"/>
      <c r="G394" s="142"/>
      <c r="H394" s="142"/>
      <c r="I394" s="142"/>
      <c r="J394" s="142"/>
      <c r="K394" s="142"/>
      <c r="L394" s="142"/>
      <c r="M394" s="142"/>
      <c r="N394" s="142"/>
    </row>
    <row r="395" ht="13.65" customHeight="1">
      <c r="A395" s="1266"/>
      <c r="B395" t="s" s="1271">
        <v>2056</v>
      </c>
      <c r="C395" t="s" s="1274">
        <v>539</v>
      </c>
      <c r="D395" s="1267"/>
      <c r="E395" s="142"/>
      <c r="F395" s="142"/>
      <c r="G395" s="142"/>
      <c r="H395" s="142"/>
      <c r="I395" s="142"/>
      <c r="J395" s="142"/>
      <c r="K395" s="142"/>
      <c r="L395" s="142"/>
      <c r="M395" s="142"/>
      <c r="N395" s="142"/>
    </row>
    <row r="396" ht="42" customHeight="1">
      <c r="A396" s="1266"/>
      <c r="B396" t="s" s="1271">
        <v>2057</v>
      </c>
      <c r="C396" t="s" s="1274">
        <v>541</v>
      </c>
      <c r="D396" s="1267"/>
      <c r="E396" s="142"/>
      <c r="F396" s="142"/>
      <c r="G396" s="142"/>
      <c r="H396" s="142"/>
      <c r="I396" s="142"/>
      <c r="J396" s="142"/>
      <c r="K396" s="142"/>
      <c r="L396" s="142"/>
      <c r="M396" s="142"/>
      <c r="N396" s="142"/>
    </row>
    <row r="397" ht="25.5" customHeight="1">
      <c r="A397" s="1266"/>
      <c r="B397" t="s" s="1271">
        <v>2058</v>
      </c>
      <c r="C397" t="s" s="1274">
        <v>542</v>
      </c>
      <c r="D397" s="1267"/>
      <c r="E397" s="142"/>
      <c r="F397" s="142"/>
      <c r="G397" s="142"/>
      <c r="H397" s="142"/>
      <c r="I397" s="142"/>
      <c r="J397" s="142"/>
      <c r="K397" s="142"/>
      <c r="L397" s="142"/>
      <c r="M397" s="142"/>
      <c r="N397" s="142"/>
    </row>
    <row r="398" ht="25.5" customHeight="1">
      <c r="A398" s="1266"/>
      <c r="B398" t="s" s="1271">
        <v>2059</v>
      </c>
      <c r="C398" t="s" s="1274">
        <v>543</v>
      </c>
      <c r="D398" s="1267"/>
      <c r="E398" s="142"/>
      <c r="F398" s="142"/>
      <c r="G398" s="142"/>
      <c r="H398" s="142"/>
      <c r="I398" s="142"/>
      <c r="J398" s="142"/>
      <c r="K398" s="142"/>
      <c r="L398" s="142"/>
      <c r="M398" s="142"/>
      <c r="N398" s="142"/>
    </row>
    <row r="399" ht="25.5" customHeight="1">
      <c r="A399" s="1266"/>
      <c r="B399" t="s" s="1271">
        <v>2060</v>
      </c>
      <c r="C399" t="s" s="1274">
        <v>544</v>
      </c>
      <c r="D399" s="1267"/>
      <c r="E399" s="142"/>
      <c r="F399" s="142"/>
      <c r="G399" s="142"/>
      <c r="H399" s="142"/>
      <c r="I399" s="142"/>
      <c r="J399" s="142"/>
      <c r="K399" s="142"/>
      <c r="L399" s="142"/>
      <c r="M399" s="142"/>
      <c r="N399" s="142"/>
    </row>
    <row r="400" ht="57.75" customHeight="1">
      <c r="A400" s="1266"/>
      <c r="B400" t="s" s="1271">
        <v>2061</v>
      </c>
      <c r="C400" t="s" s="1274">
        <v>553</v>
      </c>
      <c r="D400" s="1267"/>
      <c r="E400" s="142"/>
      <c r="F400" s="142"/>
      <c r="G400" s="142"/>
      <c r="H400" s="142"/>
      <c r="I400" s="142"/>
      <c r="J400" s="142"/>
      <c r="K400" s="142"/>
      <c r="L400" s="142"/>
      <c r="M400" s="142"/>
      <c r="N400" s="142"/>
    </row>
    <row r="401" ht="13.65" customHeight="1">
      <c r="A401" s="1266"/>
      <c r="B401" t="s" s="1271">
        <v>2062</v>
      </c>
      <c r="C401" t="s" s="1271">
        <v>550</v>
      </c>
      <c r="D401" s="1267"/>
      <c r="E401" s="142"/>
      <c r="F401" s="142"/>
      <c r="G401" s="142"/>
      <c r="H401" s="142"/>
      <c r="I401" s="142"/>
      <c r="J401" s="142"/>
      <c r="K401" s="142"/>
      <c r="L401" s="142"/>
      <c r="M401" s="142"/>
      <c r="N401" s="142"/>
    </row>
    <row r="402" ht="13.65" customHeight="1">
      <c r="A402" s="1266"/>
      <c r="B402" t="s" s="1271">
        <v>2063</v>
      </c>
      <c r="C402" t="s" s="1271">
        <v>545</v>
      </c>
      <c r="D402" s="1267"/>
      <c r="E402" s="142"/>
      <c r="F402" s="142"/>
      <c r="G402" s="142"/>
      <c r="H402" s="142"/>
      <c r="I402" s="142"/>
      <c r="J402" s="142"/>
      <c r="K402" s="142"/>
      <c r="L402" s="142"/>
      <c r="M402" s="142"/>
      <c r="N402" s="142"/>
    </row>
    <row r="403" ht="13.65" customHeight="1">
      <c r="A403" s="1266"/>
      <c r="B403" t="s" s="1271">
        <v>2064</v>
      </c>
      <c r="C403" t="s" s="1271">
        <v>555</v>
      </c>
      <c r="D403" s="1267"/>
      <c r="E403" s="142"/>
      <c r="F403" s="142"/>
      <c r="G403" s="142"/>
      <c r="H403" s="142"/>
      <c r="I403" s="142"/>
      <c r="J403" s="142"/>
      <c r="K403" s="142"/>
      <c r="L403" s="142"/>
      <c r="M403" s="142"/>
      <c r="N403" s="142"/>
    </row>
    <row r="404" ht="13.65" customHeight="1">
      <c r="A404" s="1266"/>
      <c r="B404" t="s" s="1271">
        <v>2065</v>
      </c>
      <c r="C404" t="s" s="1271">
        <v>558</v>
      </c>
      <c r="D404" s="1267"/>
      <c r="E404" s="142"/>
      <c r="F404" s="142"/>
      <c r="G404" s="142"/>
      <c r="H404" s="142"/>
      <c r="I404" s="142"/>
      <c r="J404" s="142"/>
      <c r="K404" s="142"/>
      <c r="L404" s="142"/>
      <c r="M404" s="142"/>
      <c r="N404" s="142"/>
    </row>
    <row r="405" ht="13.65" customHeight="1">
      <c r="A405" s="1266"/>
      <c r="B405" t="s" s="1271">
        <v>2066</v>
      </c>
      <c r="C405" t="s" s="1271">
        <v>560</v>
      </c>
      <c r="D405" s="1267"/>
      <c r="E405" s="142"/>
      <c r="F405" s="142"/>
      <c r="G405" s="142"/>
      <c r="H405" s="142"/>
      <c r="I405" s="142"/>
      <c r="J405" s="142"/>
      <c r="K405" s="142"/>
      <c r="L405" s="142"/>
      <c r="M405" s="142"/>
      <c r="N405" s="142"/>
    </row>
    <row r="406" ht="13.65" customHeight="1">
      <c r="A406" s="1266"/>
      <c r="B406" t="s" s="1271">
        <v>2067</v>
      </c>
      <c r="C406" t="s" s="1271">
        <v>561</v>
      </c>
      <c r="D406" s="1267"/>
      <c r="E406" s="142"/>
      <c r="F406" s="142"/>
      <c r="G406" s="142"/>
      <c r="H406" s="142"/>
      <c r="I406" s="142"/>
      <c r="J406" s="142"/>
      <c r="K406" s="142"/>
      <c r="L406" s="142"/>
      <c r="M406" s="142"/>
      <c r="N406" s="142"/>
    </row>
    <row r="407" ht="25.5" customHeight="1">
      <c r="A407" s="1266"/>
      <c r="B407" t="s" s="1271">
        <v>2068</v>
      </c>
      <c r="C407" t="s" s="1271">
        <v>562</v>
      </c>
      <c r="D407" s="1267"/>
      <c r="E407" s="142"/>
      <c r="F407" s="142"/>
      <c r="G407" s="142"/>
      <c r="H407" s="142"/>
      <c r="I407" s="142"/>
      <c r="J407" s="142"/>
      <c r="K407" s="142"/>
      <c r="L407" s="142"/>
      <c r="M407" s="142"/>
      <c r="N407" s="142"/>
    </row>
    <row r="408" ht="25.5" customHeight="1">
      <c r="A408" s="1266"/>
      <c r="B408" t="s" s="1271">
        <v>2069</v>
      </c>
      <c r="C408" t="s" s="1271">
        <v>586</v>
      </c>
      <c r="D408" s="1267"/>
      <c r="E408" s="142"/>
      <c r="F408" s="142"/>
      <c r="G408" s="142"/>
      <c r="H408" s="142"/>
      <c r="I408" s="142"/>
      <c r="J408" s="142"/>
      <c r="K408" s="142"/>
      <c r="L408" s="142"/>
      <c r="M408" s="142"/>
      <c r="N408" s="142"/>
    </row>
    <row r="409" ht="13.65" customHeight="1">
      <c r="A409" s="1266"/>
      <c r="B409" t="s" s="733">
        <v>2070</v>
      </c>
      <c r="C409" t="s" s="461">
        <v>564</v>
      </c>
      <c r="D409" s="1267"/>
      <c r="E409" s="142"/>
      <c r="F409" s="142"/>
      <c r="G409" s="142"/>
      <c r="H409" s="142"/>
      <c r="I409" s="142"/>
      <c r="J409" s="142"/>
      <c r="K409" s="142"/>
      <c r="L409" s="142"/>
      <c r="M409" s="142"/>
      <c r="N409" s="142"/>
    </row>
    <row r="410" ht="13.65" customHeight="1">
      <c r="A410" s="1266"/>
      <c r="B410" t="s" s="733">
        <v>2071</v>
      </c>
      <c r="C410" t="s" s="461">
        <v>565</v>
      </c>
      <c r="D410" s="1267"/>
      <c r="E410" s="142"/>
      <c r="F410" s="142"/>
      <c r="G410" s="142"/>
      <c r="H410" s="142"/>
      <c r="I410" s="142"/>
      <c r="J410" s="142"/>
      <c r="K410" s="142"/>
      <c r="L410" s="142"/>
      <c r="M410" s="142"/>
      <c r="N410" s="142"/>
    </row>
    <row r="411" ht="13.65" customHeight="1">
      <c r="A411" s="1266"/>
      <c r="B411" t="s" s="733">
        <v>2072</v>
      </c>
      <c r="C411" t="s" s="461">
        <v>566</v>
      </c>
      <c r="D411" s="1267"/>
      <c r="E411" s="142"/>
      <c r="F411" s="142"/>
      <c r="G411" s="142"/>
      <c r="H411" s="142"/>
      <c r="I411" s="142"/>
      <c r="J411" s="142"/>
      <c r="K411" s="142"/>
      <c r="L411" s="142"/>
      <c r="M411" s="142"/>
      <c r="N411" s="142"/>
    </row>
    <row r="412" ht="13.65" customHeight="1">
      <c r="A412" s="1266"/>
      <c r="B412" t="s" s="733">
        <v>2073</v>
      </c>
      <c r="C412" t="s" s="461">
        <v>567</v>
      </c>
      <c r="D412" s="1267"/>
      <c r="E412" s="142"/>
      <c r="F412" s="142"/>
      <c r="G412" s="142"/>
      <c r="H412" s="142"/>
      <c r="I412" s="142"/>
      <c r="J412" s="142"/>
      <c r="K412" s="142"/>
      <c r="L412" s="142"/>
      <c r="M412" s="142"/>
      <c r="N412" s="142"/>
    </row>
    <row r="413" ht="13.65" customHeight="1">
      <c r="A413" s="1266"/>
      <c r="B413" t="s" s="733">
        <v>2074</v>
      </c>
      <c r="C413" t="s" s="461">
        <v>568</v>
      </c>
      <c r="D413" s="1267"/>
      <c r="E413" s="142"/>
      <c r="F413" s="142"/>
      <c r="G413" s="142"/>
      <c r="H413" s="142"/>
      <c r="I413" s="142"/>
      <c r="J413" s="142"/>
      <c r="K413" s="142"/>
      <c r="L413" s="142"/>
      <c r="M413" s="142"/>
      <c r="N413" s="142"/>
    </row>
    <row r="414" ht="51" customHeight="1">
      <c r="A414" s="1266"/>
      <c r="B414" t="s" s="733">
        <v>2075</v>
      </c>
      <c r="C414" t="s" s="461">
        <v>569</v>
      </c>
      <c r="D414" s="1267"/>
      <c r="E414" s="142"/>
      <c r="F414" s="142"/>
      <c r="G414" s="142"/>
      <c r="H414" s="142"/>
      <c r="I414" s="142"/>
      <c r="J414" s="142"/>
      <c r="K414" s="142"/>
      <c r="L414" s="142"/>
      <c r="M414" s="142"/>
      <c r="N414" s="142"/>
    </row>
    <row r="415" ht="13.65" customHeight="1">
      <c r="A415" s="1266"/>
      <c r="B415" t="s" s="733">
        <v>2076</v>
      </c>
      <c r="C415" t="s" s="461">
        <v>571</v>
      </c>
      <c r="D415" s="1267"/>
      <c r="E415" s="142"/>
      <c r="F415" s="142"/>
      <c r="G415" s="142"/>
      <c r="H415" s="142"/>
      <c r="I415" s="142"/>
      <c r="J415" s="142"/>
      <c r="K415" s="142"/>
      <c r="L415" s="142"/>
      <c r="M415" s="142"/>
      <c r="N415" s="142"/>
    </row>
    <row r="416" ht="13.65" customHeight="1">
      <c r="A416" s="1266"/>
      <c r="B416" t="s" s="733">
        <v>2077</v>
      </c>
      <c r="C416" t="s" s="461">
        <v>572</v>
      </c>
      <c r="D416" s="1267"/>
      <c r="E416" s="142"/>
      <c r="F416" s="142"/>
      <c r="G416" s="142"/>
      <c r="H416" s="142"/>
      <c r="I416" s="142"/>
      <c r="J416" s="142"/>
      <c r="K416" s="142"/>
      <c r="L416" s="142"/>
      <c r="M416" s="142"/>
      <c r="N416" s="142"/>
    </row>
    <row r="417" ht="13.65" customHeight="1">
      <c r="A417" s="1266"/>
      <c r="B417" t="s" s="733">
        <v>2078</v>
      </c>
      <c r="C417" t="s" s="461">
        <v>573</v>
      </c>
      <c r="D417" s="1267"/>
      <c r="E417" s="142"/>
      <c r="F417" s="142"/>
      <c r="G417" s="142"/>
      <c r="H417" s="142"/>
      <c r="I417" s="142"/>
      <c r="J417" s="142"/>
      <c r="K417" s="142"/>
      <c r="L417" s="142"/>
      <c r="M417" s="142"/>
      <c r="N417" s="142"/>
    </row>
    <row r="418" ht="13.65" customHeight="1">
      <c r="A418" s="1266"/>
      <c r="B418" t="s" s="733">
        <v>2079</v>
      </c>
      <c r="C418" t="s" s="461">
        <v>574</v>
      </c>
      <c r="D418" s="1267"/>
      <c r="E418" s="142"/>
      <c r="F418" s="142"/>
      <c r="G418" s="142"/>
      <c r="H418" s="142"/>
      <c r="I418" s="142"/>
      <c r="J418" s="142"/>
      <c r="K418" s="142"/>
      <c r="L418" s="142"/>
      <c r="M418" s="142"/>
      <c r="N418" s="142"/>
    </row>
    <row r="419" ht="13.65" customHeight="1">
      <c r="A419" s="1266"/>
      <c r="B419" t="s" s="733">
        <v>2080</v>
      </c>
      <c r="C419" t="s" s="461">
        <v>575</v>
      </c>
      <c r="D419" s="1267"/>
      <c r="E419" s="142"/>
      <c r="F419" s="142"/>
      <c r="G419" s="142"/>
      <c r="H419" s="142"/>
      <c r="I419" s="142"/>
      <c r="J419" s="142"/>
      <c r="K419" s="142"/>
      <c r="L419" s="142"/>
      <c r="M419" s="142"/>
      <c r="N419" s="142"/>
    </row>
    <row r="420" ht="13.65" customHeight="1">
      <c r="A420" s="1266"/>
      <c r="B420" t="s" s="733">
        <v>2081</v>
      </c>
      <c r="C420" t="s" s="461">
        <v>576</v>
      </c>
      <c r="D420" s="1267"/>
      <c r="E420" s="142"/>
      <c r="F420" s="142"/>
      <c r="G420" s="142"/>
      <c r="H420" s="142"/>
      <c r="I420" s="142"/>
      <c r="J420" s="142"/>
      <c r="K420" s="142"/>
      <c r="L420" s="142"/>
      <c r="M420" s="142"/>
      <c r="N420" s="142"/>
    </row>
    <row r="421" ht="13.65" customHeight="1">
      <c r="A421" s="1266"/>
      <c r="B421" t="s" s="733">
        <v>2082</v>
      </c>
      <c r="C421" t="s" s="461">
        <v>577</v>
      </c>
      <c r="D421" s="1267"/>
      <c r="E421" s="142"/>
      <c r="F421" s="142"/>
      <c r="G421" s="142"/>
      <c r="H421" s="142"/>
      <c r="I421" s="142"/>
      <c r="J421" s="142"/>
      <c r="K421" s="142"/>
      <c r="L421" s="142"/>
      <c r="M421" s="142"/>
      <c r="N421" s="142"/>
    </row>
    <row r="422" ht="13.65" customHeight="1">
      <c r="A422" s="1266"/>
      <c r="B422" t="s" s="733">
        <v>2083</v>
      </c>
      <c r="C422" t="s" s="461">
        <v>578</v>
      </c>
      <c r="D422" s="1267"/>
      <c r="E422" s="142"/>
      <c r="F422" s="142"/>
      <c r="G422" s="142"/>
      <c r="H422" s="142"/>
      <c r="I422" s="142"/>
      <c r="J422" s="142"/>
      <c r="K422" s="142"/>
      <c r="L422" s="142"/>
      <c r="M422" s="142"/>
      <c r="N422" s="142"/>
    </row>
    <row r="423" ht="13.65" customHeight="1">
      <c r="A423" s="1266"/>
      <c r="B423" t="s" s="733">
        <v>2084</v>
      </c>
      <c r="C423" t="s" s="461">
        <v>579</v>
      </c>
      <c r="D423" s="1267"/>
      <c r="E423" s="142"/>
      <c r="F423" s="142"/>
      <c r="G423" s="142"/>
      <c r="H423" s="142"/>
      <c r="I423" s="142"/>
      <c r="J423" s="142"/>
      <c r="K423" s="142"/>
      <c r="L423" s="142"/>
      <c r="M423" s="142"/>
      <c r="N423" s="142"/>
    </row>
    <row r="424" ht="13.65" customHeight="1">
      <c r="A424" s="1266"/>
      <c r="B424" t="s" s="733">
        <v>2085</v>
      </c>
      <c r="C424" t="s" s="461">
        <v>580</v>
      </c>
      <c r="D424" s="1267"/>
      <c r="E424" s="142"/>
      <c r="F424" s="142"/>
      <c r="G424" s="142"/>
      <c r="H424" s="142"/>
      <c r="I424" s="142"/>
      <c r="J424" s="142"/>
      <c r="K424" s="142"/>
      <c r="L424" s="142"/>
      <c r="M424" s="142"/>
      <c r="N424" s="142"/>
    </row>
    <row r="425" ht="13.65" customHeight="1">
      <c r="A425" s="1266"/>
      <c r="B425" t="s" s="733">
        <v>2086</v>
      </c>
      <c r="C425" t="s" s="461">
        <v>582</v>
      </c>
      <c r="D425" s="1267"/>
      <c r="E425" s="142"/>
      <c r="F425" s="142"/>
      <c r="G425" s="142"/>
      <c r="H425" s="142"/>
      <c r="I425" s="142"/>
      <c r="J425" s="142"/>
      <c r="K425" s="142"/>
      <c r="L425" s="142"/>
      <c r="M425" s="142"/>
      <c r="N425" s="142"/>
    </row>
    <row r="426" ht="13.65" customHeight="1">
      <c r="A426" s="1266"/>
      <c r="B426" t="s" s="733">
        <v>2087</v>
      </c>
      <c r="C426" t="s" s="461">
        <v>583</v>
      </c>
      <c r="D426" s="1267"/>
      <c r="E426" s="142"/>
      <c r="F426" s="142"/>
      <c r="G426" s="142"/>
      <c r="H426" s="142"/>
      <c r="I426" s="142"/>
      <c r="J426" s="142"/>
      <c r="K426" s="142"/>
      <c r="L426" s="142"/>
      <c r="M426" s="142"/>
      <c r="N426" s="142"/>
    </row>
    <row r="427" ht="13.65" customHeight="1">
      <c r="A427" s="1266"/>
      <c r="B427" t="s" s="733">
        <v>2088</v>
      </c>
      <c r="C427" t="s" s="461">
        <v>584</v>
      </c>
      <c r="D427" s="1267"/>
      <c r="E427" s="142"/>
      <c r="F427" s="142"/>
      <c r="G427" s="142"/>
      <c r="H427" s="142"/>
      <c r="I427" s="142"/>
      <c r="J427" s="142"/>
      <c r="K427" s="142"/>
      <c r="L427" s="142"/>
      <c r="M427" s="142"/>
      <c r="N427" s="142"/>
    </row>
    <row r="428" ht="13.65" customHeight="1">
      <c r="A428" s="1266"/>
      <c r="B428" t="s" s="733">
        <v>2089</v>
      </c>
      <c r="C428" t="s" s="461">
        <v>585</v>
      </c>
      <c r="D428" s="1267"/>
      <c r="E428" s="142"/>
      <c r="F428" s="142"/>
      <c r="G428" s="142"/>
      <c r="H428" s="142"/>
      <c r="I428" s="142"/>
      <c r="J428" s="142"/>
      <c r="K428" s="142"/>
      <c r="L428" s="142"/>
      <c r="M428" s="142"/>
      <c r="N428" s="142"/>
    </row>
    <row r="429" ht="13.65" customHeight="1">
      <c r="A429" s="1266"/>
      <c r="B429" t="s" s="1271">
        <v>2090</v>
      </c>
      <c r="C429" t="s" s="1271">
        <v>589</v>
      </c>
      <c r="D429" s="1267"/>
      <c r="E429" s="142"/>
      <c r="F429" s="142"/>
      <c r="G429" s="142"/>
      <c r="H429" s="142"/>
      <c r="I429" s="142"/>
      <c r="J429" s="142"/>
      <c r="K429" s="142"/>
      <c r="L429" s="142"/>
      <c r="M429" s="142"/>
      <c r="N429" s="142"/>
    </row>
    <row r="430" ht="13.65" customHeight="1">
      <c r="A430" s="1266"/>
      <c r="B430" t="s" s="461">
        <v>2091</v>
      </c>
      <c r="C430" t="s" s="1271">
        <v>592</v>
      </c>
      <c r="D430" s="1267"/>
      <c r="E430" s="142"/>
      <c r="F430" s="142"/>
      <c r="G430" s="142"/>
      <c r="H430" s="142"/>
      <c r="I430" s="142"/>
      <c r="J430" s="142"/>
      <c r="K430" s="142"/>
      <c r="L430" s="142"/>
      <c r="M430" s="142"/>
      <c r="N430" s="142"/>
    </row>
    <row r="431" ht="13.65" customHeight="1">
      <c r="A431" s="1266"/>
      <c r="B431" t="s" s="461">
        <v>2092</v>
      </c>
      <c r="C431" t="s" s="1271">
        <v>594</v>
      </c>
      <c r="D431" s="1267"/>
      <c r="E431" s="142"/>
      <c r="F431" s="142"/>
      <c r="G431" s="142"/>
      <c r="H431" s="142"/>
      <c r="I431" s="142"/>
      <c r="J431" s="142"/>
      <c r="K431" s="142"/>
      <c r="L431" s="142"/>
      <c r="M431" s="142"/>
      <c r="N431" s="142"/>
    </row>
    <row r="432" ht="13.65" customHeight="1">
      <c r="A432" s="1266"/>
      <c r="B432" t="s" s="461">
        <v>2093</v>
      </c>
      <c r="C432" t="s" s="1271">
        <v>595</v>
      </c>
      <c r="D432" s="1267"/>
      <c r="E432" s="142"/>
      <c r="F432" s="142"/>
      <c r="G432" s="142"/>
      <c r="H432" s="142"/>
      <c r="I432" s="142"/>
      <c r="J432" s="142"/>
      <c r="K432" s="142"/>
      <c r="L432" s="142"/>
      <c r="M432" s="142"/>
      <c r="N432" s="142"/>
    </row>
    <row r="433" ht="13.65" customHeight="1">
      <c r="A433" s="1266"/>
      <c r="B433" t="s" s="338">
        <v>2094</v>
      </c>
      <c r="C433" t="s" s="1271">
        <v>806</v>
      </c>
      <c r="D433" s="1267"/>
      <c r="E433" s="142"/>
      <c r="F433" s="142"/>
      <c r="G433" s="142"/>
      <c r="H433" s="142"/>
      <c r="I433" s="142"/>
      <c r="J433" s="142"/>
      <c r="K433" s="142"/>
      <c r="L433" s="142"/>
      <c r="M433" s="142"/>
      <c r="N433" s="142"/>
    </row>
    <row r="434" ht="13.65" customHeight="1">
      <c r="A434" s="1266"/>
      <c r="B434" t="s" s="461">
        <v>2095</v>
      </c>
      <c r="C434" t="s" s="1271">
        <v>2096</v>
      </c>
      <c r="D434" s="1267"/>
      <c r="E434" s="142"/>
      <c r="F434" s="142"/>
      <c r="G434" s="142"/>
      <c r="H434" s="142"/>
      <c r="I434" s="142"/>
      <c r="J434" s="142"/>
      <c r="K434" s="142"/>
      <c r="L434" s="142"/>
      <c r="M434" s="142"/>
      <c r="N434" s="142"/>
    </row>
    <row r="435" ht="38.25" customHeight="1">
      <c r="A435" s="1266"/>
      <c r="B435" t="s" s="461">
        <v>2097</v>
      </c>
      <c r="C435" t="s" s="1271">
        <v>588</v>
      </c>
      <c r="D435" s="1267"/>
      <c r="E435" s="142"/>
      <c r="F435" s="142"/>
      <c r="G435" s="142"/>
      <c r="H435" s="142"/>
      <c r="I435" s="142"/>
      <c r="J435" s="142"/>
      <c r="K435" s="142"/>
      <c r="L435" s="142"/>
      <c r="M435" s="142"/>
      <c r="N435" s="142"/>
    </row>
    <row r="436" ht="13.65" customHeight="1">
      <c r="A436" s="1266"/>
      <c r="B436" t="s" s="461">
        <v>2098</v>
      </c>
      <c r="C436" t="s" s="1271">
        <v>596</v>
      </c>
      <c r="D436" s="1267"/>
      <c r="E436" s="142"/>
      <c r="F436" s="142"/>
      <c r="G436" s="142"/>
      <c r="H436" s="142"/>
      <c r="I436" s="142"/>
      <c r="J436" s="142"/>
      <c r="K436" s="142"/>
      <c r="L436" s="142"/>
      <c r="M436" s="142"/>
      <c r="N436" s="142"/>
    </row>
    <row r="437" ht="13.65" customHeight="1">
      <c r="A437" s="1266"/>
      <c r="B437" t="s" s="1271">
        <v>2099</v>
      </c>
      <c r="C437" t="s" s="1271">
        <v>628</v>
      </c>
      <c r="D437" s="1267"/>
      <c r="E437" s="142"/>
      <c r="F437" s="142"/>
      <c r="G437" s="142"/>
      <c r="H437" s="142"/>
      <c r="I437" s="142"/>
      <c r="J437" s="142"/>
      <c r="K437" s="142"/>
      <c r="L437" s="142"/>
      <c r="M437" s="142"/>
      <c r="N437" s="142"/>
    </row>
    <row r="438" ht="38.25" customHeight="1">
      <c r="A438" s="1266"/>
      <c r="B438" t="s" s="1271">
        <v>2100</v>
      </c>
      <c r="C438" t="s" s="1271">
        <v>2101</v>
      </c>
      <c r="D438" s="1267"/>
      <c r="E438" s="142"/>
      <c r="F438" s="142"/>
      <c r="G438" s="142"/>
      <c r="H438" s="142"/>
      <c r="I438" s="142"/>
      <c r="J438" s="142"/>
      <c r="K438" s="142"/>
      <c r="L438" s="142"/>
      <c r="M438" s="142"/>
      <c r="N438" s="142"/>
    </row>
    <row r="439" ht="13.65" customHeight="1">
      <c r="A439" s="1266"/>
      <c r="B439" t="s" s="1271">
        <v>2102</v>
      </c>
      <c r="C439" t="s" s="1271">
        <v>599</v>
      </c>
      <c r="D439" s="1267"/>
      <c r="E439" s="142"/>
      <c r="F439" s="142"/>
      <c r="G439" s="142"/>
      <c r="H439" s="142"/>
      <c r="I439" s="142"/>
      <c r="J439" s="142"/>
      <c r="K439" s="142"/>
      <c r="L439" s="142"/>
      <c r="M439" s="142"/>
      <c r="N439" s="142"/>
    </row>
    <row r="440" ht="13.65" customHeight="1">
      <c r="A440" s="1266"/>
      <c r="B440" t="s" s="1271">
        <v>2103</v>
      </c>
      <c r="C440" t="s" s="1271">
        <v>2104</v>
      </c>
      <c r="D440" s="1267"/>
      <c r="E440" s="142"/>
      <c r="F440" s="142"/>
      <c r="G440" s="142"/>
      <c r="H440" s="142"/>
      <c r="I440" s="142"/>
      <c r="J440" s="142"/>
      <c r="K440" s="142"/>
      <c r="L440" s="142"/>
      <c r="M440" s="142"/>
      <c r="N440" s="142"/>
    </row>
    <row r="441" ht="13.65" customHeight="1">
      <c r="A441" s="1266"/>
      <c r="B441" t="s" s="1271">
        <v>2105</v>
      </c>
      <c r="C441" t="s" s="1271">
        <v>2022</v>
      </c>
      <c r="D441" s="1267"/>
      <c r="E441" s="142"/>
      <c r="F441" s="142"/>
      <c r="G441" s="142"/>
      <c r="H441" s="142"/>
      <c r="I441" s="142"/>
      <c r="J441" s="142"/>
      <c r="K441" s="142"/>
      <c r="L441" s="142"/>
      <c r="M441" s="142"/>
      <c r="N441" s="142"/>
    </row>
    <row r="442" ht="13.65" customHeight="1">
      <c r="A442" s="1266"/>
      <c r="B442" t="s" s="1271">
        <v>2106</v>
      </c>
      <c r="C442" t="s" s="1271">
        <v>608</v>
      </c>
      <c r="D442" s="1267"/>
      <c r="E442" s="142"/>
      <c r="F442" s="142"/>
      <c r="G442" s="142"/>
      <c r="H442" s="142"/>
      <c r="I442" s="142"/>
      <c r="J442" s="142"/>
      <c r="K442" s="142"/>
      <c r="L442" s="142"/>
      <c r="M442" s="142"/>
      <c r="N442" s="142"/>
    </row>
    <row r="443" ht="38.25" customHeight="1">
      <c r="A443" s="1266"/>
      <c r="B443" t="s" s="1271">
        <v>2107</v>
      </c>
      <c r="C443" t="s" s="1271">
        <v>2108</v>
      </c>
      <c r="D443" s="1267"/>
      <c r="E443" s="142"/>
      <c r="F443" s="142"/>
      <c r="G443" s="142"/>
      <c r="H443" s="142"/>
      <c r="I443" s="142"/>
      <c r="J443" s="142"/>
      <c r="K443" s="142"/>
      <c r="L443" s="142"/>
      <c r="M443" s="142"/>
      <c r="N443" s="142"/>
    </row>
    <row r="444" ht="25.5" customHeight="1">
      <c r="A444" s="1266"/>
      <c r="B444" t="s" s="1271">
        <v>2109</v>
      </c>
      <c r="C444" t="s" s="1271">
        <v>2110</v>
      </c>
      <c r="D444" s="1267"/>
      <c r="E444" s="142"/>
      <c r="F444" s="142"/>
      <c r="G444" s="142"/>
      <c r="H444" s="142"/>
      <c r="I444" s="142"/>
      <c r="J444" s="142"/>
      <c r="K444" s="142"/>
      <c r="L444" s="142"/>
      <c r="M444" s="142"/>
      <c r="N444" s="142"/>
    </row>
    <row r="445" ht="13.65" customHeight="1">
      <c r="A445" s="1266"/>
      <c r="B445" t="s" s="1271">
        <v>2111</v>
      </c>
      <c r="C445" t="s" s="1271">
        <v>612</v>
      </c>
      <c r="D445" s="1267"/>
      <c r="E445" s="142"/>
      <c r="F445" s="142"/>
      <c r="G445" s="142"/>
      <c r="H445" s="142"/>
      <c r="I445" s="142"/>
      <c r="J445" s="142"/>
      <c r="K445" s="142"/>
      <c r="L445" s="142"/>
      <c r="M445" s="142"/>
      <c r="N445" s="142"/>
    </row>
    <row r="446" ht="13.65" customHeight="1">
      <c r="A446" s="1266"/>
      <c r="B446" t="s" s="1271">
        <v>2112</v>
      </c>
      <c r="C446" t="s" s="1271">
        <v>630</v>
      </c>
      <c r="D446" s="1267"/>
      <c r="E446" s="142"/>
      <c r="F446" s="142"/>
      <c r="G446" s="142"/>
      <c r="H446" s="142"/>
      <c r="I446" s="142"/>
      <c r="J446" s="142"/>
      <c r="K446" s="142"/>
      <c r="L446" s="142"/>
      <c r="M446" s="142"/>
      <c r="N446" s="142"/>
    </row>
    <row r="447" ht="13.65" customHeight="1">
      <c r="A447" s="1266"/>
      <c r="B447" t="s" s="1271">
        <v>2113</v>
      </c>
      <c r="C447" t="s" s="1271">
        <v>631</v>
      </c>
      <c r="D447" s="1267"/>
      <c r="E447" s="142"/>
      <c r="F447" s="142"/>
      <c r="G447" s="142"/>
      <c r="H447" s="142"/>
      <c r="I447" s="142"/>
      <c r="J447" s="142"/>
      <c r="K447" s="142"/>
      <c r="L447" s="142"/>
      <c r="M447" s="142"/>
      <c r="N447" s="142"/>
    </row>
    <row r="448" ht="63.75" customHeight="1">
      <c r="A448" s="1266"/>
      <c r="B448" t="s" s="1274">
        <v>2114</v>
      </c>
      <c r="C448" t="s" s="1274">
        <v>632</v>
      </c>
      <c r="D448" s="1267"/>
      <c r="E448" s="142"/>
      <c r="F448" s="142"/>
      <c r="G448" s="142"/>
      <c r="H448" s="142"/>
      <c r="I448" s="142"/>
      <c r="J448" s="142"/>
      <c r="K448" s="142"/>
      <c r="L448" s="142"/>
      <c r="M448" s="142"/>
      <c r="N448" s="142"/>
    </row>
    <row r="449" ht="13.65" customHeight="1">
      <c r="A449" s="1266"/>
      <c r="B449" t="s" s="1018">
        <v>2115</v>
      </c>
      <c r="C449" t="s" s="1271">
        <v>634</v>
      </c>
      <c r="D449" s="1267"/>
      <c r="E449" s="142"/>
      <c r="F449" s="142"/>
      <c r="G449" s="142"/>
      <c r="H449" s="142"/>
      <c r="I449" s="142"/>
      <c r="J449" s="142"/>
      <c r="K449" s="142"/>
      <c r="L449" s="142"/>
      <c r="M449" s="142"/>
      <c r="N449" s="142"/>
    </row>
    <row r="450" ht="13.65" customHeight="1">
      <c r="A450" s="1266"/>
      <c r="B450" t="s" s="1018">
        <v>2116</v>
      </c>
      <c r="C450" t="s" s="1271">
        <v>635</v>
      </c>
      <c r="D450" s="1267"/>
      <c r="E450" s="142"/>
      <c r="F450" s="142"/>
      <c r="G450" s="142"/>
      <c r="H450" s="142"/>
      <c r="I450" s="142"/>
      <c r="J450" s="142"/>
      <c r="K450" s="142"/>
      <c r="L450" s="142"/>
      <c r="M450" s="142"/>
      <c r="N450" s="142"/>
    </row>
    <row r="451" ht="13.65" customHeight="1">
      <c r="A451" s="1266"/>
      <c r="B451" t="s" s="461">
        <v>2117</v>
      </c>
      <c r="C451" t="s" s="1271">
        <v>637</v>
      </c>
      <c r="D451" s="1267"/>
      <c r="E451" s="142"/>
      <c r="F451" s="142"/>
      <c r="G451" s="142"/>
      <c r="H451" s="142"/>
      <c r="I451" s="142"/>
      <c r="J451" s="142"/>
      <c r="K451" s="142"/>
      <c r="L451" s="142"/>
      <c r="M451" s="142"/>
      <c r="N451" s="142"/>
    </row>
    <row r="452" ht="13.65" customHeight="1">
      <c r="A452" s="1266"/>
      <c r="B452" t="s" s="461">
        <v>2118</v>
      </c>
      <c r="C452" t="s" s="1271">
        <v>639</v>
      </c>
      <c r="D452" s="1267"/>
      <c r="E452" s="142"/>
      <c r="F452" s="142"/>
      <c r="G452" s="142"/>
      <c r="H452" s="142"/>
      <c r="I452" s="142"/>
      <c r="J452" s="142"/>
      <c r="K452" s="142"/>
      <c r="L452" s="142"/>
      <c r="M452" s="142"/>
      <c r="N452" s="142"/>
    </row>
    <row r="453" ht="13.65" customHeight="1">
      <c r="A453" s="1266"/>
      <c r="B453" t="s" s="461">
        <v>2119</v>
      </c>
      <c r="C453" t="s" s="1271">
        <v>641</v>
      </c>
      <c r="D453" s="1267"/>
      <c r="E453" s="142"/>
      <c r="F453" s="142"/>
      <c r="G453" s="142"/>
      <c r="H453" s="142"/>
      <c r="I453" s="142"/>
      <c r="J453" s="142"/>
      <c r="K453" s="142"/>
      <c r="L453" s="142"/>
      <c r="M453" s="142"/>
      <c r="N453" s="142"/>
    </row>
    <row r="454" ht="13.65" customHeight="1">
      <c r="A454" s="1266"/>
      <c r="B454" t="s" s="461">
        <v>2120</v>
      </c>
      <c r="C454" t="s" s="1271">
        <v>643</v>
      </c>
      <c r="D454" s="1267"/>
      <c r="E454" s="142"/>
      <c r="F454" s="142"/>
      <c r="G454" s="142"/>
      <c r="H454" s="142"/>
      <c r="I454" s="142"/>
      <c r="J454" s="142"/>
      <c r="K454" s="142"/>
      <c r="L454" s="142"/>
      <c r="M454" s="142"/>
      <c r="N454" s="142"/>
    </row>
    <row r="455" ht="13.65" customHeight="1">
      <c r="A455" s="1266"/>
      <c r="B455" t="s" s="1018">
        <v>2121</v>
      </c>
      <c r="C455" t="s" s="1271">
        <v>645</v>
      </c>
      <c r="D455" s="1267"/>
      <c r="E455" s="142"/>
      <c r="F455" s="142"/>
      <c r="G455" s="142"/>
      <c r="H455" s="142"/>
      <c r="I455" s="142"/>
      <c r="J455" s="142"/>
      <c r="K455" s="142"/>
      <c r="L455" s="142"/>
      <c r="M455" s="142"/>
      <c r="N455" s="142"/>
    </row>
    <row r="456" ht="13.65" customHeight="1">
      <c r="A456" s="1266"/>
      <c r="B456" t="s" s="1018">
        <v>2122</v>
      </c>
      <c r="C456" t="s" s="1271">
        <v>646</v>
      </c>
      <c r="D456" s="1267"/>
      <c r="E456" s="142"/>
      <c r="F456" s="142"/>
      <c r="G456" s="142"/>
      <c r="H456" s="142"/>
      <c r="I456" s="142"/>
      <c r="J456" s="142"/>
      <c r="K456" s="142"/>
      <c r="L456" s="142"/>
      <c r="M456" s="142"/>
      <c r="N456" s="142"/>
    </row>
    <row r="457" ht="13.65" customHeight="1">
      <c r="A457" s="1266"/>
      <c r="B457" t="s" s="461">
        <v>2123</v>
      </c>
      <c r="C457" t="s" s="1271">
        <v>648</v>
      </c>
      <c r="D457" s="1267"/>
      <c r="E457" s="142"/>
      <c r="F457" s="142"/>
      <c r="G457" s="142"/>
      <c r="H457" s="142"/>
      <c r="I457" s="142"/>
      <c r="J457" s="142"/>
      <c r="K457" s="142"/>
      <c r="L457" s="142"/>
      <c r="M457" s="142"/>
      <c r="N457" s="142"/>
    </row>
    <row r="458" ht="13.65" customHeight="1">
      <c r="A458" s="1266"/>
      <c r="B458" t="s" s="461">
        <v>2124</v>
      </c>
      <c r="C458" t="s" s="1271">
        <v>650</v>
      </c>
      <c r="D458" s="1267"/>
      <c r="E458" s="142"/>
      <c r="F458" s="142"/>
      <c r="G458" s="142"/>
      <c r="H458" s="142"/>
      <c r="I458" s="142"/>
      <c r="J458" s="142"/>
      <c r="K458" s="142"/>
      <c r="L458" s="142"/>
      <c r="M458" s="142"/>
      <c r="N458" s="142"/>
    </row>
    <row r="459" ht="13.65" customHeight="1">
      <c r="A459" s="1266"/>
      <c r="B459" t="s" s="1018">
        <v>2125</v>
      </c>
      <c r="C459" t="s" s="1271">
        <v>652</v>
      </c>
      <c r="D459" s="1267"/>
      <c r="E459" s="142"/>
      <c r="F459" s="142"/>
      <c r="G459" s="142"/>
      <c r="H459" s="142"/>
      <c r="I459" s="142"/>
      <c r="J459" s="142"/>
      <c r="K459" s="142"/>
      <c r="L459" s="142"/>
      <c r="M459" s="142"/>
      <c r="N459" s="142"/>
    </row>
    <row r="460" ht="13.65" customHeight="1">
      <c r="A460" s="1266"/>
      <c r="B460" t="s" s="1018">
        <v>2126</v>
      </c>
      <c r="C460" t="s" s="1271">
        <v>653</v>
      </c>
      <c r="D460" s="1267"/>
      <c r="E460" s="142"/>
      <c r="F460" s="142"/>
      <c r="G460" s="142"/>
      <c r="H460" s="142"/>
      <c r="I460" s="142"/>
      <c r="J460" s="142"/>
      <c r="K460" s="142"/>
      <c r="L460" s="142"/>
      <c r="M460" s="142"/>
      <c r="N460" s="142"/>
    </row>
    <row r="461" ht="13.65" customHeight="1">
      <c r="A461" s="1266"/>
      <c r="B461" t="s" s="461">
        <v>2127</v>
      </c>
      <c r="C461" t="s" s="1271">
        <v>655</v>
      </c>
      <c r="D461" s="1267"/>
      <c r="E461" s="142"/>
      <c r="F461" s="142"/>
      <c r="G461" s="142"/>
      <c r="H461" s="142"/>
      <c r="I461" s="142"/>
      <c r="J461" s="142"/>
      <c r="K461" s="142"/>
      <c r="L461" s="142"/>
      <c r="M461" s="142"/>
      <c r="N461" s="142"/>
    </row>
    <row r="462" ht="13.65" customHeight="1">
      <c r="A462" s="1266"/>
      <c r="B462" t="s" s="461">
        <v>2128</v>
      </c>
      <c r="C462" t="s" s="1271">
        <v>656</v>
      </c>
      <c r="D462" s="1267"/>
      <c r="E462" s="142"/>
      <c r="F462" s="142"/>
      <c r="G462" s="142"/>
      <c r="H462" s="142"/>
      <c r="I462" s="142"/>
      <c r="J462" s="142"/>
      <c r="K462" s="142"/>
      <c r="L462" s="142"/>
      <c r="M462" s="142"/>
      <c r="N462" s="142"/>
    </row>
    <row r="463" ht="13.65" customHeight="1">
      <c r="A463" s="1266"/>
      <c r="B463" t="s" s="1018">
        <v>2129</v>
      </c>
      <c r="C463" t="s" s="1271">
        <v>657</v>
      </c>
      <c r="D463" s="1267"/>
      <c r="E463" s="142"/>
      <c r="F463" s="142"/>
      <c r="G463" s="142"/>
      <c r="H463" s="142"/>
      <c r="I463" s="142"/>
      <c r="J463" s="142"/>
      <c r="K463" s="142"/>
      <c r="L463" s="142"/>
      <c r="M463" s="142"/>
      <c r="N463" s="142"/>
    </row>
    <row r="464" ht="13.65" customHeight="1">
      <c r="A464" s="1266"/>
      <c r="B464" t="s" s="1018">
        <v>2130</v>
      </c>
      <c r="C464" t="s" s="1271">
        <v>658</v>
      </c>
      <c r="D464" s="1267"/>
      <c r="E464" s="142"/>
      <c r="F464" s="142"/>
      <c r="G464" s="142"/>
      <c r="H464" s="142"/>
      <c r="I464" s="142"/>
      <c r="J464" s="142"/>
      <c r="K464" s="142"/>
      <c r="L464" s="142"/>
      <c r="M464" s="142"/>
      <c r="N464" s="142"/>
    </row>
    <row r="465" ht="13.65" customHeight="1">
      <c r="A465" s="1266"/>
      <c r="B465" t="s" s="461">
        <v>2131</v>
      </c>
      <c r="C465" t="s" s="1271">
        <v>659</v>
      </c>
      <c r="D465" s="1267"/>
      <c r="E465" s="142"/>
      <c r="F465" s="142"/>
      <c r="G465" s="142"/>
      <c r="H465" s="142"/>
      <c r="I465" s="142"/>
      <c r="J465" s="142"/>
      <c r="K465" s="142"/>
      <c r="L465" s="142"/>
      <c r="M465" s="142"/>
      <c r="N465" s="142"/>
    </row>
    <row r="466" ht="13.65" customHeight="1">
      <c r="A466" s="1266"/>
      <c r="B466" t="s" s="461">
        <v>2132</v>
      </c>
      <c r="C466" t="s" s="1271">
        <v>661</v>
      </c>
      <c r="D466" s="1267"/>
      <c r="E466" s="142"/>
      <c r="F466" s="142"/>
      <c r="G466" s="142"/>
      <c r="H466" s="142"/>
      <c r="I466" s="142"/>
      <c r="J466" s="142"/>
      <c r="K466" s="142"/>
      <c r="L466" s="142"/>
      <c r="M466" s="142"/>
      <c r="N466" s="142"/>
    </row>
    <row r="467" ht="13.65" customHeight="1">
      <c r="A467" s="1266"/>
      <c r="B467" t="s" s="461">
        <v>2133</v>
      </c>
      <c r="C467" t="s" s="1271">
        <v>663</v>
      </c>
      <c r="D467" s="1267"/>
      <c r="E467" s="142"/>
      <c r="F467" s="142"/>
      <c r="G467" s="142"/>
      <c r="H467" s="142"/>
      <c r="I467" s="142"/>
      <c r="J467" s="142"/>
      <c r="K467" s="142"/>
      <c r="L467" s="142"/>
      <c r="M467" s="142"/>
      <c r="N467" s="142"/>
    </row>
    <row r="468" ht="13.65" customHeight="1">
      <c r="A468" s="1266"/>
      <c r="B468" t="s" s="461">
        <v>2134</v>
      </c>
      <c r="C468" t="s" s="1271">
        <v>664</v>
      </c>
      <c r="D468" s="1267"/>
      <c r="E468" s="142"/>
      <c r="F468" s="142"/>
      <c r="G468" s="142"/>
      <c r="H468" s="142"/>
      <c r="I468" s="142"/>
      <c r="J468" s="142"/>
      <c r="K468" s="142"/>
      <c r="L468" s="142"/>
      <c r="M468" s="142"/>
      <c r="N468" s="142"/>
    </row>
    <row r="469" ht="13.65" customHeight="1">
      <c r="A469" s="1266"/>
      <c r="B469" t="s" s="461">
        <v>2135</v>
      </c>
      <c r="C469" t="s" s="1271">
        <v>666</v>
      </c>
      <c r="D469" s="1267"/>
      <c r="E469" s="142"/>
      <c r="F469" s="142"/>
      <c r="G469" s="142"/>
      <c r="H469" s="142"/>
      <c r="I469" s="142"/>
      <c r="J469" s="142"/>
      <c r="K469" s="142"/>
      <c r="L469" s="142"/>
      <c r="M469" s="142"/>
      <c r="N469" s="142"/>
    </row>
    <row r="470" ht="13.65" customHeight="1">
      <c r="A470" s="1266"/>
      <c r="B470" t="s" s="461">
        <v>2136</v>
      </c>
      <c r="C470" t="s" s="1271">
        <v>668</v>
      </c>
      <c r="D470" s="1267"/>
      <c r="E470" s="142"/>
      <c r="F470" s="142"/>
      <c r="G470" s="142"/>
      <c r="H470" s="142"/>
      <c r="I470" s="142"/>
      <c r="J470" s="142"/>
      <c r="K470" s="142"/>
      <c r="L470" s="142"/>
      <c r="M470" s="142"/>
      <c r="N470" s="142"/>
    </row>
    <row r="471" ht="13.65" customHeight="1">
      <c r="A471" s="1266"/>
      <c r="B471" t="s" s="461">
        <v>2137</v>
      </c>
      <c r="C471" t="s" s="1271">
        <v>670</v>
      </c>
      <c r="D471" s="1267"/>
      <c r="E471" s="142"/>
      <c r="F471" s="142"/>
      <c r="G471" s="142"/>
      <c r="H471" s="142"/>
      <c r="I471" s="142"/>
      <c r="J471" s="142"/>
      <c r="K471" s="142"/>
      <c r="L471" s="142"/>
      <c r="M471" s="142"/>
      <c r="N471" s="142"/>
    </row>
    <row r="472" ht="13.65" customHeight="1">
      <c r="A472" s="1266"/>
      <c r="B472" t="s" s="461">
        <v>2138</v>
      </c>
      <c r="C472" t="s" s="1271">
        <v>672</v>
      </c>
      <c r="D472" s="1267"/>
      <c r="E472" s="142"/>
      <c r="F472" s="142"/>
      <c r="G472" s="142"/>
      <c r="H472" s="142"/>
      <c r="I472" s="142"/>
      <c r="J472" s="142"/>
      <c r="K472" s="142"/>
      <c r="L472" s="142"/>
      <c r="M472" s="142"/>
      <c r="N472" s="142"/>
    </row>
    <row r="473" ht="13.65" customHeight="1">
      <c r="A473" s="1266"/>
      <c r="B473" t="s" s="1018">
        <v>2139</v>
      </c>
      <c r="C473" t="s" s="1271">
        <v>673</v>
      </c>
      <c r="D473" s="1267"/>
      <c r="E473" s="142"/>
      <c r="F473" s="142"/>
      <c r="G473" s="142"/>
      <c r="H473" s="142"/>
      <c r="I473" s="142"/>
      <c r="J473" s="142"/>
      <c r="K473" s="142"/>
      <c r="L473" s="142"/>
      <c r="M473" s="142"/>
      <c r="N473" s="142"/>
    </row>
    <row r="474" ht="13.65" customHeight="1">
      <c r="A474" s="1266"/>
      <c r="B474" t="s" s="1018">
        <v>2116</v>
      </c>
      <c r="C474" t="s" s="1271">
        <f>C450</f>
        <v>635</v>
      </c>
      <c r="D474" s="1267"/>
      <c r="E474" s="142"/>
      <c r="F474" s="142"/>
      <c r="G474" s="142"/>
      <c r="H474" s="142"/>
      <c r="I474" s="142"/>
      <c r="J474" s="142"/>
      <c r="K474" s="142"/>
      <c r="L474" s="142"/>
      <c r="M474" s="142"/>
      <c r="N474" s="142"/>
    </row>
    <row r="475" ht="13.65" customHeight="1">
      <c r="A475" s="1266"/>
      <c r="B475" t="s" s="461">
        <v>2140</v>
      </c>
      <c r="C475" t="s" s="1271">
        <v>675</v>
      </c>
      <c r="D475" s="1267"/>
      <c r="E475" s="142"/>
      <c r="F475" s="142"/>
      <c r="G475" s="142"/>
      <c r="H475" s="142"/>
      <c r="I475" s="142"/>
      <c r="J475" s="142"/>
      <c r="K475" s="142"/>
      <c r="L475" s="142"/>
      <c r="M475" s="142"/>
      <c r="N475" s="142"/>
    </row>
    <row r="476" ht="13.65" customHeight="1">
      <c r="A476" s="1266"/>
      <c r="B476" t="s" s="461">
        <v>2141</v>
      </c>
      <c r="C476" t="s" s="1271">
        <v>677</v>
      </c>
      <c r="D476" s="1267"/>
      <c r="E476" s="142"/>
      <c r="F476" s="142"/>
      <c r="G476" s="142"/>
      <c r="H476" s="142"/>
      <c r="I476" s="142"/>
      <c r="J476" s="142"/>
      <c r="K476" s="142"/>
      <c r="L476" s="142"/>
      <c r="M476" s="142"/>
      <c r="N476" s="142"/>
    </row>
    <row r="477" ht="13.65" customHeight="1">
      <c r="A477" s="1266"/>
      <c r="B477" t="s" s="461">
        <v>2142</v>
      </c>
      <c r="C477" t="s" s="1271">
        <v>679</v>
      </c>
      <c r="D477" s="1267"/>
      <c r="E477" s="142"/>
      <c r="F477" s="142"/>
      <c r="G477" s="142"/>
      <c r="H477" s="142"/>
      <c r="I477" s="142"/>
      <c r="J477" s="142"/>
      <c r="K477" s="142"/>
      <c r="L477" s="142"/>
      <c r="M477" s="142"/>
      <c r="N477" s="142"/>
    </row>
    <row r="478" ht="13.65" customHeight="1">
      <c r="A478" s="1266"/>
      <c r="B478" t="s" s="1018">
        <v>2143</v>
      </c>
      <c r="C478" t="s" s="1271">
        <v>680</v>
      </c>
      <c r="D478" s="1267"/>
      <c r="E478" s="142"/>
      <c r="F478" s="142"/>
      <c r="G478" s="142"/>
      <c r="H478" s="142"/>
      <c r="I478" s="142"/>
      <c r="J478" s="142"/>
      <c r="K478" s="142"/>
      <c r="L478" s="142"/>
      <c r="M478" s="142"/>
      <c r="N478" s="142"/>
    </row>
    <row r="479" ht="13.65" customHeight="1">
      <c r="A479" s="1266"/>
      <c r="B479" t="s" s="461">
        <v>2144</v>
      </c>
      <c r="C479" t="s" s="1271">
        <v>681</v>
      </c>
      <c r="D479" s="1267"/>
      <c r="E479" s="142"/>
      <c r="F479" s="142"/>
      <c r="G479" s="142"/>
      <c r="H479" s="142"/>
      <c r="I479" s="142"/>
      <c r="J479" s="142"/>
      <c r="K479" s="142"/>
      <c r="L479" s="142"/>
      <c r="M479" s="142"/>
      <c r="N479" s="142"/>
    </row>
    <row r="480" ht="13.65" customHeight="1">
      <c r="A480" s="1266"/>
      <c r="B480" t="s" s="1018">
        <v>2145</v>
      </c>
      <c r="C480" t="s" s="461">
        <v>636</v>
      </c>
      <c r="D480" s="1267"/>
      <c r="E480" s="142"/>
      <c r="F480" s="142"/>
      <c r="G480" s="142"/>
      <c r="H480" s="142"/>
      <c r="I480" s="142"/>
      <c r="J480" s="142"/>
      <c r="K480" s="142"/>
      <c r="L480" s="142"/>
      <c r="M480" s="142"/>
      <c r="N480" s="142"/>
    </row>
    <row r="481" ht="13.65" customHeight="1">
      <c r="A481" s="1266"/>
      <c r="B481" t="s" s="461">
        <v>2146</v>
      </c>
      <c r="C481" t="s" s="461">
        <v>638</v>
      </c>
      <c r="D481" s="1267"/>
      <c r="E481" s="142"/>
      <c r="F481" s="142"/>
      <c r="G481" s="142"/>
      <c r="H481" s="142"/>
      <c r="I481" s="142"/>
      <c r="J481" s="142"/>
      <c r="K481" s="142"/>
      <c r="L481" s="142"/>
      <c r="M481" s="142"/>
      <c r="N481" s="142"/>
    </row>
    <row r="482" ht="13.65" customHeight="1">
      <c r="A482" s="1266"/>
      <c r="B482" t="s" s="461">
        <v>2147</v>
      </c>
      <c r="C482" t="s" s="461">
        <v>640</v>
      </c>
      <c r="D482" s="1267"/>
      <c r="E482" s="142"/>
      <c r="F482" s="142"/>
      <c r="G482" s="142"/>
      <c r="H482" s="142"/>
      <c r="I482" s="142"/>
      <c r="J482" s="142"/>
      <c r="K482" s="142"/>
      <c r="L482" s="142"/>
      <c r="M482" s="142"/>
      <c r="N482" s="142"/>
    </row>
    <row r="483" ht="13.65" customHeight="1">
      <c r="A483" s="1266"/>
      <c r="B483" t="s" s="461">
        <v>2148</v>
      </c>
      <c r="C483" t="s" s="461">
        <v>642</v>
      </c>
      <c r="D483" s="1267"/>
      <c r="E483" s="142"/>
      <c r="F483" s="142"/>
      <c r="G483" s="142"/>
      <c r="H483" s="142"/>
      <c r="I483" s="142"/>
      <c r="J483" s="142"/>
      <c r="K483" s="142"/>
      <c r="L483" s="142"/>
      <c r="M483" s="142"/>
      <c r="N483" s="142"/>
    </row>
    <row r="484" ht="13.65" customHeight="1">
      <c r="A484" s="1266"/>
      <c r="B484" t="s" s="461">
        <v>2149</v>
      </c>
      <c r="C484" t="s" s="461">
        <v>644</v>
      </c>
      <c r="D484" s="1267"/>
      <c r="E484" s="142"/>
      <c r="F484" s="142"/>
      <c r="G484" s="142"/>
      <c r="H484" s="142"/>
      <c r="I484" s="142"/>
      <c r="J484" s="142"/>
      <c r="K484" s="142"/>
      <c r="L484" s="142"/>
      <c r="M484" s="142"/>
      <c r="N484" s="142"/>
    </row>
    <row r="485" ht="13.65" customHeight="1">
      <c r="A485" s="1266"/>
      <c r="B485" t="s" s="1018">
        <v>2150</v>
      </c>
      <c r="C485" t="s" s="1018">
        <v>2151</v>
      </c>
      <c r="D485" s="1267"/>
      <c r="E485" s="142"/>
      <c r="F485" s="142"/>
      <c r="G485" s="142"/>
      <c r="H485" s="142"/>
      <c r="I485" s="142"/>
      <c r="J485" s="142"/>
      <c r="K485" s="142"/>
      <c r="L485" s="142"/>
      <c r="M485" s="142"/>
      <c r="N485" s="142"/>
    </row>
    <row r="486" ht="13.65" customHeight="1">
      <c r="A486" s="1266"/>
      <c r="B486" t="s" s="461">
        <v>2152</v>
      </c>
      <c r="C486" t="s" s="461">
        <v>649</v>
      </c>
      <c r="D486" s="1267"/>
      <c r="E486" s="142"/>
      <c r="F486" s="142"/>
      <c r="G486" s="142"/>
      <c r="H486" s="142"/>
      <c r="I486" s="142"/>
      <c r="J486" s="142"/>
      <c r="K486" s="142"/>
      <c r="L486" s="142"/>
      <c r="M486" s="142"/>
      <c r="N486" s="142"/>
    </row>
    <row r="487" ht="13.65" customHeight="1">
      <c r="A487" s="1266"/>
      <c r="B487" t="s" s="461">
        <v>2153</v>
      </c>
      <c r="C487" t="s" s="461">
        <v>651</v>
      </c>
      <c r="D487" s="1267"/>
      <c r="E487" s="142"/>
      <c r="F487" s="142"/>
      <c r="G487" s="142"/>
      <c r="H487" s="142"/>
      <c r="I487" s="142"/>
      <c r="J487" s="142"/>
      <c r="K487" s="142"/>
      <c r="L487" s="142"/>
      <c r="M487" s="142"/>
      <c r="N487" s="142"/>
    </row>
    <row r="488" ht="13.65" customHeight="1">
      <c r="A488" s="1266"/>
      <c r="B488" t="s" s="1018">
        <v>2154</v>
      </c>
      <c r="C488" t="s" s="1018">
        <v>2155</v>
      </c>
      <c r="D488" s="1267"/>
      <c r="E488" s="142"/>
      <c r="F488" s="142"/>
      <c r="G488" s="142"/>
      <c r="H488" s="142"/>
      <c r="I488" s="142"/>
      <c r="J488" s="142"/>
      <c r="K488" s="142"/>
      <c r="L488" s="142"/>
      <c r="M488" s="142"/>
      <c r="N488" s="142"/>
    </row>
    <row r="489" ht="13.65" customHeight="1">
      <c r="A489" s="1266"/>
      <c r="B489" t="s" s="461">
        <v>2127</v>
      </c>
      <c r="C489" t="s" s="461">
        <v>655</v>
      </c>
      <c r="D489" s="1267"/>
      <c r="E489" s="142"/>
      <c r="F489" s="142"/>
      <c r="G489" s="142"/>
      <c r="H489" s="142"/>
      <c r="I489" s="142"/>
      <c r="J489" s="142"/>
      <c r="K489" s="142"/>
      <c r="L489" s="142"/>
      <c r="M489" s="142"/>
      <c r="N489" s="142"/>
    </row>
    <row r="490" ht="13.65" customHeight="1">
      <c r="A490" s="1266"/>
      <c r="B490" t="s" s="461">
        <v>2128</v>
      </c>
      <c r="C490" t="s" s="461">
        <v>656</v>
      </c>
      <c r="D490" s="1267"/>
      <c r="E490" s="142"/>
      <c r="F490" s="142"/>
      <c r="G490" s="142"/>
      <c r="H490" s="142"/>
      <c r="I490" s="142"/>
      <c r="J490" s="142"/>
      <c r="K490" s="142"/>
      <c r="L490" s="142"/>
      <c r="M490" s="142"/>
      <c r="N490" s="142"/>
    </row>
    <row r="491" ht="13.65" customHeight="1">
      <c r="A491" s="1266"/>
      <c r="B491" t="s" s="1018">
        <v>2156</v>
      </c>
      <c r="C491" t="s" s="1018">
        <v>2151</v>
      </c>
      <c r="D491" s="1267"/>
      <c r="E491" s="142"/>
      <c r="F491" s="142"/>
      <c r="G491" s="142"/>
      <c r="H491" s="142"/>
      <c r="I491" s="142"/>
      <c r="J491" s="142"/>
      <c r="K491" s="142"/>
      <c r="L491" s="142"/>
      <c r="M491" s="142"/>
      <c r="N491" s="142"/>
    </row>
    <row r="492" ht="13.65" customHeight="1">
      <c r="A492" s="1266"/>
      <c r="B492" t="s" s="461">
        <v>2157</v>
      </c>
      <c r="C492" t="s" s="461">
        <v>660</v>
      </c>
      <c r="D492" s="1267"/>
      <c r="E492" s="142"/>
      <c r="F492" s="142"/>
      <c r="G492" s="142"/>
      <c r="H492" s="142"/>
      <c r="I492" s="142"/>
      <c r="J492" s="142"/>
      <c r="K492" s="142"/>
      <c r="L492" s="142"/>
      <c r="M492" s="142"/>
      <c r="N492" s="142"/>
    </row>
    <row r="493" ht="13.65" customHeight="1">
      <c r="A493" s="1266"/>
      <c r="B493" t="s" s="461">
        <v>2158</v>
      </c>
      <c r="C493" t="s" s="461">
        <v>662</v>
      </c>
      <c r="D493" s="1267"/>
      <c r="E493" s="142"/>
      <c r="F493" s="142"/>
      <c r="G493" s="142"/>
      <c r="H493" s="142"/>
      <c r="I493" s="142"/>
      <c r="J493" s="142"/>
      <c r="K493" s="142"/>
      <c r="L493" s="142"/>
      <c r="M493" s="142"/>
      <c r="N493" s="142"/>
    </row>
    <row r="494" ht="13.65" customHeight="1">
      <c r="A494" t="s" s="1282">
        <v>665</v>
      </c>
      <c r="B494" t="s" s="461">
        <v>2159</v>
      </c>
      <c r="C494" t="s" s="461">
        <v>665</v>
      </c>
      <c r="D494" s="1267"/>
      <c r="E494" s="142"/>
      <c r="F494" s="142"/>
      <c r="G494" s="142"/>
      <c r="H494" s="142"/>
      <c r="I494" s="142"/>
      <c r="J494" s="142"/>
      <c r="K494" s="142"/>
      <c r="L494" s="142"/>
      <c r="M494" s="142"/>
      <c r="N494" s="142"/>
    </row>
    <row r="495" ht="13.65" customHeight="1">
      <c r="A495" s="1266"/>
      <c r="B495" t="s" s="461">
        <v>2160</v>
      </c>
      <c r="C495" t="s" s="461">
        <v>667</v>
      </c>
      <c r="D495" s="1267"/>
      <c r="E495" s="142"/>
      <c r="F495" s="142"/>
      <c r="G495" s="142"/>
      <c r="H495" s="142"/>
      <c r="I495" s="142"/>
      <c r="J495" s="142"/>
      <c r="K495" s="142"/>
      <c r="L495" s="142"/>
      <c r="M495" s="142"/>
      <c r="N495" s="142"/>
    </row>
    <row r="496" ht="18" customHeight="1">
      <c r="A496" s="1266"/>
      <c r="B496" t="s" s="461">
        <v>2161</v>
      </c>
      <c r="C496" t="s" s="461">
        <v>669</v>
      </c>
      <c r="D496" s="1267"/>
      <c r="E496" s="142"/>
      <c r="F496" s="142"/>
      <c r="G496" s="142"/>
      <c r="H496" s="142"/>
      <c r="I496" s="142"/>
      <c r="J496" s="142"/>
      <c r="K496" s="142"/>
      <c r="L496" s="142"/>
      <c r="M496" s="142"/>
      <c r="N496" s="142"/>
    </row>
    <row r="497" ht="13.65" customHeight="1">
      <c r="A497" s="1266"/>
      <c r="B497" t="s" s="461">
        <v>2162</v>
      </c>
      <c r="C497" t="s" s="461">
        <v>671</v>
      </c>
      <c r="D497" s="1267"/>
      <c r="E497" s="142"/>
      <c r="F497" s="142"/>
      <c r="G497" s="142"/>
      <c r="H497" s="142"/>
      <c r="I497" s="142"/>
      <c r="J497" s="142"/>
      <c r="K497" s="142"/>
      <c r="L497" s="142"/>
      <c r="M497" s="142"/>
      <c r="N497" s="142"/>
    </row>
    <row r="498" ht="13.65" customHeight="1">
      <c r="A498" s="1266"/>
      <c r="B498" t="s" s="1018">
        <v>2163</v>
      </c>
      <c r="C498" t="s" s="1018">
        <v>2164</v>
      </c>
      <c r="D498" s="1267"/>
      <c r="E498" s="142"/>
      <c r="F498" s="142"/>
      <c r="G498" s="142"/>
      <c r="H498" s="142"/>
      <c r="I498" s="142"/>
      <c r="J498" s="142"/>
      <c r="K498" s="142"/>
      <c r="L498" s="142"/>
      <c r="M498" s="142"/>
      <c r="N498" s="142"/>
    </row>
    <row r="499" ht="13.65" customHeight="1">
      <c r="A499" s="1266"/>
      <c r="B499" t="s" s="461">
        <v>2165</v>
      </c>
      <c r="C499" t="s" s="461">
        <v>676</v>
      </c>
      <c r="D499" s="1267"/>
      <c r="E499" s="142"/>
      <c r="F499" s="142"/>
      <c r="G499" s="142"/>
      <c r="H499" s="142"/>
      <c r="I499" s="142"/>
      <c r="J499" s="142"/>
      <c r="K499" s="142"/>
      <c r="L499" s="142"/>
      <c r="M499" s="142"/>
      <c r="N499" s="142"/>
    </row>
    <row r="500" ht="13.65" customHeight="1">
      <c r="A500" s="1266"/>
      <c r="B500" t="s" s="461">
        <v>2166</v>
      </c>
      <c r="C500" t="s" s="461">
        <v>678</v>
      </c>
      <c r="D500" s="1267"/>
      <c r="E500" s="142"/>
      <c r="F500" s="142"/>
      <c r="G500" s="142"/>
      <c r="H500" s="142"/>
      <c r="I500" s="142"/>
      <c r="J500" s="142"/>
      <c r="K500" s="142"/>
      <c r="L500" s="142"/>
      <c r="M500" s="142"/>
      <c r="N500" s="142"/>
    </row>
    <row r="501" ht="13.65" customHeight="1">
      <c r="A501" s="1266"/>
      <c r="B501" t="s" s="1271">
        <v>2167</v>
      </c>
      <c r="C501" t="s" s="1271">
        <v>633</v>
      </c>
      <c r="D501" s="1267"/>
      <c r="E501" s="142"/>
      <c r="F501" s="142"/>
      <c r="G501" s="142"/>
      <c r="H501" s="142"/>
      <c r="I501" s="142"/>
      <c r="J501" s="142"/>
      <c r="K501" s="142"/>
      <c r="L501" s="142"/>
      <c r="M501" s="142"/>
      <c r="N501" s="142"/>
    </row>
    <row r="502" ht="13.65" customHeight="1">
      <c r="A502" s="1266"/>
      <c r="B502" t="s" s="1271">
        <v>2168</v>
      </c>
      <c r="C502" t="s" s="1271">
        <v>682</v>
      </c>
      <c r="D502" s="1267"/>
      <c r="E502" s="142"/>
      <c r="F502" s="142"/>
      <c r="G502" s="142"/>
      <c r="H502" s="142"/>
      <c r="I502" s="142"/>
      <c r="J502" s="142"/>
      <c r="K502" s="142"/>
      <c r="L502" s="142"/>
      <c r="M502" s="142"/>
      <c r="N502" s="142"/>
    </row>
    <row r="503" ht="76.5" customHeight="1">
      <c r="A503" s="1266"/>
      <c r="B503" t="s" s="1271">
        <v>2169</v>
      </c>
      <c r="C503" t="s" s="1274">
        <v>683</v>
      </c>
      <c r="D503" s="1267"/>
      <c r="E503" s="142"/>
      <c r="F503" s="142"/>
      <c r="G503" s="142"/>
      <c r="H503" s="142"/>
      <c r="I503" s="142"/>
      <c r="J503" s="142"/>
      <c r="K503" s="142"/>
      <c r="L503" s="142"/>
      <c r="M503" s="142"/>
      <c r="N503" s="142"/>
    </row>
    <row r="504" ht="77.25" customHeight="1">
      <c r="A504" s="1266"/>
      <c r="B504" t="s" s="1274">
        <v>2170</v>
      </c>
      <c r="C504" t="s" s="1274">
        <v>684</v>
      </c>
      <c r="D504" s="1267"/>
      <c r="E504" s="142"/>
      <c r="F504" s="142"/>
      <c r="G504" s="142"/>
      <c r="H504" s="142"/>
      <c r="I504" s="142"/>
      <c r="J504" s="142"/>
      <c r="K504" s="142"/>
      <c r="L504" s="142"/>
      <c r="M504" s="142"/>
      <c r="N504" s="142"/>
    </row>
    <row r="505" ht="28.5" customHeight="1">
      <c r="A505" s="1266"/>
      <c r="B505" t="s" s="1274">
        <v>2171</v>
      </c>
      <c r="C505" t="s" s="1274">
        <v>685</v>
      </c>
      <c r="D505" s="1267"/>
      <c r="E505" s="142"/>
      <c r="F505" s="142"/>
      <c r="G505" s="142"/>
      <c r="H505" s="142"/>
      <c r="I505" s="142"/>
      <c r="J505" s="142"/>
      <c r="K505" s="142"/>
      <c r="L505" s="142"/>
      <c r="M505" s="142"/>
      <c r="N505" s="142"/>
    </row>
    <row r="506" ht="31.5" customHeight="1">
      <c r="A506" s="1266"/>
      <c r="B506" t="s" s="1274">
        <v>2172</v>
      </c>
      <c r="C506" t="s" s="1274">
        <v>687</v>
      </c>
      <c r="D506" s="1267"/>
      <c r="E506" s="142"/>
      <c r="F506" s="142"/>
      <c r="G506" s="142"/>
      <c r="H506" s="142"/>
      <c r="I506" s="142"/>
      <c r="J506" s="142"/>
      <c r="K506" s="142"/>
      <c r="L506" s="142"/>
      <c r="M506" s="142"/>
      <c r="N506" s="142"/>
    </row>
    <row r="507" ht="13.65" customHeight="1">
      <c r="A507" s="1266"/>
      <c r="B507" t="s" s="1271">
        <v>2173</v>
      </c>
      <c r="C507" t="s" s="1271">
        <v>701</v>
      </c>
      <c r="D507" s="1267"/>
      <c r="E507" s="142"/>
      <c r="F507" s="142"/>
      <c r="G507" s="142"/>
      <c r="H507" s="142"/>
      <c r="I507" s="142"/>
      <c r="J507" s="142"/>
      <c r="K507" s="142"/>
      <c r="L507" s="142"/>
      <c r="M507" s="142"/>
      <c r="N507" s="142"/>
    </row>
    <row r="508" ht="13.65" customHeight="1">
      <c r="A508" s="1266"/>
      <c r="B508" t="s" s="1271">
        <v>2174</v>
      </c>
      <c r="C508" t="s" s="1271">
        <v>703</v>
      </c>
      <c r="D508" s="1267"/>
      <c r="E508" s="142"/>
      <c r="F508" s="142"/>
      <c r="G508" s="142"/>
      <c r="H508" s="142"/>
      <c r="I508" s="142"/>
      <c r="J508" s="142"/>
      <c r="K508" s="142"/>
      <c r="L508" s="142"/>
      <c r="M508" s="142"/>
      <c r="N508" s="142"/>
    </row>
    <row r="509" ht="25.5" customHeight="1">
      <c r="A509" s="1266"/>
      <c r="B509" t="s" s="1271">
        <v>2175</v>
      </c>
      <c r="C509" t="s" s="1271">
        <v>705</v>
      </c>
      <c r="D509" s="1267"/>
      <c r="E509" s="142"/>
      <c r="F509" s="142"/>
      <c r="G509" s="142"/>
      <c r="H509" s="142"/>
      <c r="I509" s="142"/>
      <c r="J509" s="142"/>
      <c r="K509" s="142"/>
      <c r="L509" s="142"/>
      <c r="M509" s="142"/>
      <c r="N509" s="142"/>
    </row>
    <row r="510" ht="25.5" customHeight="1">
      <c r="A510" s="1266"/>
      <c r="B510" t="s" s="1271">
        <v>2176</v>
      </c>
      <c r="C510" t="s" s="1271">
        <v>704</v>
      </c>
      <c r="D510" s="1267"/>
      <c r="E510" s="142"/>
      <c r="F510" s="142"/>
      <c r="G510" s="142"/>
      <c r="H510" s="142"/>
      <c r="I510" s="142"/>
      <c r="J510" s="142"/>
      <c r="K510" s="142"/>
      <c r="L510" s="142"/>
      <c r="M510" s="142"/>
      <c r="N510" s="142"/>
    </row>
    <row r="511" ht="13.65" customHeight="1">
      <c r="A511" s="1266"/>
      <c r="B511" t="s" s="1271">
        <v>2177</v>
      </c>
      <c r="C511" t="s" s="1271">
        <v>707</v>
      </c>
      <c r="D511" s="1267"/>
      <c r="E511" s="142"/>
      <c r="F511" s="142"/>
      <c r="G511" s="142"/>
      <c r="H511" s="142"/>
      <c r="I511" s="142"/>
      <c r="J511" s="142"/>
      <c r="K511" s="142"/>
      <c r="L511" s="142"/>
      <c r="M511" s="142"/>
      <c r="N511" s="142"/>
    </row>
    <row r="512" ht="38.25" customHeight="1">
      <c r="A512" s="1266"/>
      <c r="B512" t="s" s="1271">
        <v>2178</v>
      </c>
      <c r="C512" t="s" s="1271">
        <v>708</v>
      </c>
      <c r="D512" s="1267"/>
      <c r="E512" s="142"/>
      <c r="F512" s="142"/>
      <c r="G512" s="142"/>
      <c r="H512" s="142"/>
      <c r="I512" s="142"/>
      <c r="J512" s="142"/>
      <c r="K512" s="142"/>
      <c r="L512" s="142"/>
      <c r="M512" s="142"/>
      <c r="N512" s="142"/>
    </row>
    <row r="513" ht="25.5" customHeight="1">
      <c r="A513" s="1266"/>
      <c r="B513" t="s" s="1271">
        <v>2179</v>
      </c>
      <c r="C513" t="s" s="1271">
        <v>709</v>
      </c>
      <c r="D513" s="1267"/>
      <c r="E513" s="142"/>
      <c r="F513" s="142"/>
      <c r="G513" s="142"/>
      <c r="H513" s="142"/>
      <c r="I513" s="142"/>
      <c r="J513" s="142"/>
      <c r="K513" s="142"/>
      <c r="L513" s="142"/>
      <c r="M513" s="142"/>
      <c r="N513" s="142"/>
    </row>
    <row r="514" ht="25.5" customHeight="1">
      <c r="A514" s="1266"/>
      <c r="B514" t="s" s="1271">
        <v>2180</v>
      </c>
      <c r="C514" t="s" s="1271">
        <v>710</v>
      </c>
      <c r="D514" s="1267"/>
      <c r="E514" s="142"/>
      <c r="F514" s="142"/>
      <c r="G514" s="142"/>
      <c r="H514" s="142"/>
      <c r="I514" s="142"/>
      <c r="J514" s="142"/>
      <c r="K514" s="142"/>
      <c r="L514" s="142"/>
      <c r="M514" s="142"/>
      <c r="N514" s="142"/>
    </row>
    <row r="515" ht="38.25" customHeight="1">
      <c r="A515" s="1266"/>
      <c r="B515" t="s" s="1271">
        <v>2181</v>
      </c>
      <c r="C515" t="s" s="1274">
        <v>717</v>
      </c>
      <c r="D515" s="1267"/>
      <c r="E515" s="142"/>
      <c r="F515" s="142"/>
      <c r="G515" s="142"/>
      <c r="H515" s="142"/>
      <c r="I515" s="142"/>
      <c r="J515" s="142"/>
      <c r="K515" s="142"/>
      <c r="L515" s="142"/>
      <c r="M515" s="142"/>
      <c r="N515" s="142"/>
    </row>
    <row r="516" ht="13.65" customHeight="1">
      <c r="A516" s="1266"/>
      <c r="B516" t="s" s="1271">
        <v>2182</v>
      </c>
      <c r="C516" t="s" s="1271">
        <v>2183</v>
      </c>
      <c r="D516" s="1267"/>
      <c r="E516" s="142"/>
      <c r="F516" s="142"/>
      <c r="G516" s="142"/>
      <c r="H516" s="142"/>
      <c r="I516" s="142"/>
      <c r="J516" s="142"/>
      <c r="K516" s="142"/>
      <c r="L516" s="142"/>
      <c r="M516" s="142"/>
      <c r="N516" s="142"/>
    </row>
    <row r="517" ht="38.25" customHeight="1">
      <c r="A517" s="1266"/>
      <c r="B517" t="s" s="1271">
        <v>2184</v>
      </c>
      <c r="C517" t="s" s="1271">
        <v>2185</v>
      </c>
      <c r="D517" s="1267"/>
      <c r="E517" s="142"/>
      <c r="F517" s="142"/>
      <c r="G517" s="142"/>
      <c r="H517" s="142"/>
      <c r="I517" s="142"/>
      <c r="J517" s="142"/>
      <c r="K517" s="142"/>
      <c r="L517" s="142"/>
      <c r="M517" s="142"/>
      <c r="N517" s="142"/>
    </row>
    <row r="518" ht="25.5" customHeight="1">
      <c r="A518" s="1266"/>
      <c r="B518" t="s" s="1271">
        <v>2186</v>
      </c>
      <c r="C518" t="s" s="1271">
        <v>718</v>
      </c>
      <c r="D518" s="1267"/>
      <c r="E518" s="142"/>
      <c r="F518" s="142"/>
      <c r="G518" s="142"/>
      <c r="H518" s="142"/>
      <c r="I518" s="142"/>
      <c r="J518" s="142"/>
      <c r="K518" s="142"/>
      <c r="L518" s="142"/>
      <c r="M518" s="142"/>
      <c r="N518" s="142"/>
    </row>
    <row r="519" ht="13.65" customHeight="1">
      <c r="A519" s="1266"/>
      <c r="B519" t="s" s="1271">
        <v>2187</v>
      </c>
      <c r="C519" t="s" s="1271">
        <v>2188</v>
      </c>
      <c r="D519" s="1267"/>
      <c r="E519" s="142"/>
      <c r="F519" s="142"/>
      <c r="G519" s="142"/>
      <c r="H519" s="142"/>
      <c r="I519" s="142"/>
      <c r="J519" s="142"/>
      <c r="K519" s="142"/>
      <c r="L519" s="142"/>
      <c r="M519" s="142"/>
      <c r="N519" s="142"/>
    </row>
    <row r="520" ht="25.5" customHeight="1">
      <c r="A520" s="1266"/>
      <c r="B520" t="s" s="1271">
        <v>2189</v>
      </c>
      <c r="C520" t="s" s="1271">
        <v>2190</v>
      </c>
      <c r="D520" s="1267"/>
      <c r="E520" s="142"/>
      <c r="F520" s="142"/>
      <c r="G520" s="142"/>
      <c r="H520" s="142"/>
      <c r="I520" s="142"/>
      <c r="J520" s="142"/>
      <c r="K520" s="142"/>
      <c r="L520" s="142"/>
      <c r="M520" s="142"/>
      <c r="N520" s="142"/>
    </row>
    <row r="521" ht="25.5" customHeight="1">
      <c r="A521" s="1266"/>
      <c r="B521" t="s" s="1271">
        <v>2191</v>
      </c>
      <c r="C521" t="s" s="1271">
        <v>723</v>
      </c>
      <c r="D521" s="1267"/>
      <c r="E521" s="142"/>
      <c r="F521" s="142"/>
      <c r="G521" s="142"/>
      <c r="H521" s="142"/>
      <c r="I521" s="142"/>
      <c r="J521" s="142"/>
      <c r="K521" s="142"/>
      <c r="L521" s="142"/>
      <c r="M521" s="142"/>
      <c r="N521" s="142"/>
    </row>
    <row r="522" ht="13.65" customHeight="1">
      <c r="A522" s="1266"/>
      <c r="B522" t="s" s="1271">
        <v>2192</v>
      </c>
      <c r="C522" t="s" s="1271">
        <v>724</v>
      </c>
      <c r="D522" s="1267"/>
      <c r="E522" s="142"/>
      <c r="F522" s="142"/>
      <c r="G522" s="142"/>
      <c r="H522" s="142"/>
      <c r="I522" s="142"/>
      <c r="J522" s="142"/>
      <c r="K522" s="142"/>
      <c r="L522" s="142"/>
      <c r="M522" s="142"/>
      <c r="N522" s="142"/>
    </row>
    <row r="523" ht="38.25" customHeight="1">
      <c r="A523" s="1266"/>
      <c r="B523" t="s" s="1274">
        <v>2193</v>
      </c>
      <c r="C523" t="s" s="1274">
        <v>725</v>
      </c>
      <c r="D523" s="1267"/>
      <c r="E523" s="142"/>
      <c r="F523" s="142"/>
      <c r="G523" s="142"/>
      <c r="H523" s="142"/>
      <c r="I523" s="142"/>
      <c r="J523" s="142"/>
      <c r="K523" s="142"/>
      <c r="L523" s="142"/>
      <c r="M523" s="142"/>
      <c r="N523" s="142"/>
    </row>
    <row r="524" ht="13.65" customHeight="1">
      <c r="A524" s="1266"/>
      <c r="B524" t="s" s="1271">
        <v>2194</v>
      </c>
      <c r="C524" t="s" s="1271">
        <v>726</v>
      </c>
      <c r="D524" s="1267"/>
      <c r="E524" s="142"/>
      <c r="F524" s="142"/>
      <c r="G524" s="142"/>
      <c r="H524" s="142"/>
      <c r="I524" s="142"/>
      <c r="J524" s="142"/>
      <c r="K524" s="142"/>
      <c r="L524" s="142"/>
      <c r="M524" s="142"/>
      <c r="N524" s="142"/>
    </row>
    <row r="525" ht="13.65" customHeight="1">
      <c r="A525" s="1266"/>
      <c r="B525" t="s" s="1271">
        <v>2195</v>
      </c>
      <c r="C525" t="s" s="1271">
        <v>727</v>
      </c>
      <c r="D525" s="1267"/>
      <c r="E525" s="142"/>
      <c r="F525" s="142"/>
      <c r="G525" s="142"/>
      <c r="H525" s="142"/>
      <c r="I525" s="142"/>
      <c r="J525" s="142"/>
      <c r="K525" s="142"/>
      <c r="L525" s="142"/>
      <c r="M525" s="142"/>
      <c r="N525" s="142"/>
    </row>
    <row r="526" ht="25.5" customHeight="1">
      <c r="A526" s="1266"/>
      <c r="B526" t="s" s="1271">
        <v>2196</v>
      </c>
      <c r="C526" t="s" s="1271">
        <v>737</v>
      </c>
      <c r="D526" s="1267"/>
      <c r="E526" s="142"/>
      <c r="F526" s="142"/>
      <c r="G526" s="142"/>
      <c r="H526" s="142"/>
      <c r="I526" s="142"/>
      <c r="J526" s="142"/>
      <c r="K526" s="142"/>
      <c r="L526" s="142"/>
      <c r="M526" s="142"/>
      <c r="N526" s="142"/>
    </row>
    <row r="527" ht="25.5" customHeight="1">
      <c r="A527" s="1266"/>
      <c r="B527" t="s" s="1271">
        <v>2197</v>
      </c>
      <c r="C527" t="s" s="1271">
        <v>730</v>
      </c>
      <c r="D527" s="1267"/>
      <c r="E527" s="142"/>
      <c r="F527" s="142"/>
      <c r="G527" s="142"/>
      <c r="H527" s="142"/>
      <c r="I527" s="142"/>
      <c r="J527" s="142"/>
      <c r="K527" s="142"/>
      <c r="L527" s="142"/>
      <c r="M527" s="142"/>
      <c r="N527" s="142"/>
    </row>
    <row r="528" ht="38.25" customHeight="1">
      <c r="A528" s="1266"/>
      <c r="B528" t="s" s="1271">
        <v>2198</v>
      </c>
      <c r="C528" t="s" s="1271">
        <v>731</v>
      </c>
      <c r="D528" s="1267"/>
      <c r="E528" s="142"/>
      <c r="F528" s="142"/>
      <c r="G528" s="142"/>
      <c r="H528" s="142"/>
      <c r="I528" s="142"/>
      <c r="J528" s="142"/>
      <c r="K528" s="142"/>
      <c r="L528" s="142"/>
      <c r="M528" s="142"/>
      <c r="N528" s="142"/>
    </row>
    <row r="529" ht="13.65" customHeight="1">
      <c r="A529" s="1266"/>
      <c r="B529" t="s" s="1271">
        <v>2199</v>
      </c>
      <c r="C529" t="s" s="1271">
        <v>736</v>
      </c>
      <c r="D529" s="1267"/>
      <c r="E529" s="142"/>
      <c r="F529" s="142"/>
      <c r="G529" s="142"/>
      <c r="H529" s="142"/>
      <c r="I529" s="142"/>
      <c r="J529" s="142"/>
      <c r="K529" s="142"/>
      <c r="L529" s="142"/>
      <c r="M529" s="142"/>
      <c r="N529" s="142"/>
    </row>
    <row r="530" ht="13.65" customHeight="1">
      <c r="A530" s="1266"/>
      <c r="B530" t="s" s="1271">
        <v>2200</v>
      </c>
      <c r="C530" t="s" s="1271">
        <v>735</v>
      </c>
      <c r="D530" s="1267"/>
      <c r="E530" s="142"/>
      <c r="F530" s="142"/>
      <c r="G530" s="142"/>
      <c r="H530" s="142"/>
      <c r="I530" s="142"/>
      <c r="J530" s="142"/>
      <c r="K530" s="142"/>
      <c r="L530" s="142"/>
      <c r="M530" s="142"/>
      <c r="N530" s="142"/>
    </row>
    <row r="531" ht="25.5" customHeight="1">
      <c r="A531" s="1266"/>
      <c r="B531" t="s" s="1271">
        <v>2201</v>
      </c>
      <c r="C531" t="s" s="1271">
        <v>738</v>
      </c>
      <c r="D531" s="1267"/>
      <c r="E531" s="142"/>
      <c r="F531" s="142"/>
      <c r="G531" s="142"/>
      <c r="H531" s="142"/>
      <c r="I531" s="142"/>
      <c r="J531" s="142"/>
      <c r="K531" s="142"/>
      <c r="L531" s="142"/>
      <c r="M531" s="142"/>
      <c r="N531" s="142"/>
    </row>
    <row r="532" ht="13.65" customHeight="1">
      <c r="A532" s="1266"/>
      <c r="B532" t="s" s="1271">
        <v>2202</v>
      </c>
      <c r="C532" t="s" s="1271">
        <v>741</v>
      </c>
      <c r="D532" s="1267"/>
      <c r="E532" s="142"/>
      <c r="F532" s="142"/>
      <c r="G532" s="142"/>
      <c r="H532" s="142"/>
      <c r="I532" s="142"/>
      <c r="J532" s="142"/>
      <c r="K532" s="142"/>
      <c r="L532" s="142"/>
      <c r="M532" s="142"/>
      <c r="N532" s="142"/>
    </row>
    <row r="533" ht="13.65" customHeight="1">
      <c r="A533" s="1266"/>
      <c r="B533" t="s" s="1271">
        <v>2203</v>
      </c>
      <c r="C533" t="s" s="1271">
        <v>742</v>
      </c>
      <c r="D533" s="1267"/>
      <c r="E533" s="142"/>
      <c r="F533" s="142"/>
      <c r="G533" s="142"/>
      <c r="H533" s="142"/>
      <c r="I533" s="142"/>
      <c r="J533" s="142"/>
      <c r="K533" s="142"/>
      <c r="L533" s="142"/>
      <c r="M533" s="142"/>
      <c r="N533" s="142"/>
    </row>
    <row r="534" ht="25.5" customHeight="1">
      <c r="A534" s="1266"/>
      <c r="B534" t="s" s="1271">
        <v>2204</v>
      </c>
      <c r="C534" t="s" s="1271">
        <v>743</v>
      </c>
      <c r="D534" s="1267"/>
      <c r="E534" s="142"/>
      <c r="F534" s="142"/>
      <c r="G534" s="142"/>
      <c r="H534" s="142"/>
      <c r="I534" s="142"/>
      <c r="J534" s="142"/>
      <c r="K534" s="142"/>
      <c r="L534" s="142"/>
      <c r="M534" s="142"/>
      <c r="N534" s="142"/>
    </row>
    <row r="535" ht="13.65" customHeight="1">
      <c r="A535" s="1266"/>
      <c r="B535" t="s" s="1271">
        <v>2205</v>
      </c>
      <c r="C535" t="s" s="1271">
        <v>747</v>
      </c>
      <c r="D535" s="1267"/>
      <c r="E535" s="142"/>
      <c r="F535" s="142"/>
      <c r="G535" s="142"/>
      <c r="H535" s="142"/>
      <c r="I535" s="142"/>
      <c r="J535" s="142"/>
      <c r="K535" s="142"/>
      <c r="L535" s="142"/>
      <c r="M535" s="142"/>
      <c r="N535" s="142"/>
    </row>
    <row r="536" ht="13.65" customHeight="1">
      <c r="A536" s="1266"/>
      <c r="B536" t="s" s="1271">
        <v>2206</v>
      </c>
      <c r="C536" t="s" s="1271">
        <v>751</v>
      </c>
      <c r="D536" s="1267"/>
      <c r="E536" s="142"/>
      <c r="F536" s="142"/>
      <c r="G536" s="142"/>
      <c r="H536" s="142"/>
      <c r="I536" s="142"/>
      <c r="J536" s="142"/>
      <c r="K536" s="142"/>
      <c r="L536" s="142"/>
      <c r="M536" s="142"/>
      <c r="N536" s="142"/>
    </row>
    <row r="537" ht="38.25" customHeight="1">
      <c r="A537" s="1266"/>
      <c r="B537" t="s" s="1274">
        <v>2207</v>
      </c>
      <c r="C537" t="s" s="1274">
        <v>752</v>
      </c>
      <c r="D537" s="1267"/>
      <c r="E537" s="142"/>
      <c r="F537" s="142"/>
      <c r="G537" s="142"/>
      <c r="H537" s="142"/>
      <c r="I537" s="142"/>
      <c r="J537" s="142"/>
      <c r="K537" s="142"/>
      <c r="L537" s="142"/>
      <c r="M537" s="142"/>
      <c r="N537" s="142"/>
    </row>
    <row r="538" ht="13.65" customHeight="1">
      <c r="A538" s="1266"/>
      <c r="B538" t="s" s="1271">
        <v>2208</v>
      </c>
      <c r="C538" t="s" s="1271">
        <v>753</v>
      </c>
      <c r="D538" s="1267"/>
      <c r="E538" s="142"/>
      <c r="F538" s="142"/>
      <c r="G538" s="142"/>
      <c r="H538" s="142"/>
      <c r="I538" s="142"/>
      <c r="J538" s="142"/>
      <c r="K538" s="142"/>
      <c r="L538" s="142"/>
      <c r="M538" s="142"/>
      <c r="N538" s="142"/>
    </row>
    <row r="539" ht="51" customHeight="1">
      <c r="A539" s="1266"/>
      <c r="B539" t="s" s="1271">
        <v>2209</v>
      </c>
      <c r="C539" t="s" s="1271">
        <v>754</v>
      </c>
      <c r="D539" s="1267"/>
      <c r="E539" s="142"/>
      <c r="F539" s="142"/>
      <c r="G539" s="142"/>
      <c r="H539" s="142"/>
      <c r="I539" s="142"/>
      <c r="J539" s="142"/>
      <c r="K539" s="142"/>
      <c r="L539" s="142"/>
      <c r="M539" s="142"/>
      <c r="N539" s="142"/>
    </row>
    <row r="540" ht="13.65" customHeight="1">
      <c r="A540" s="1266"/>
      <c r="B540" t="s" s="1271">
        <v>2210</v>
      </c>
      <c r="C540" t="s" s="1271">
        <v>758</v>
      </c>
      <c r="D540" s="1267"/>
      <c r="E540" s="142"/>
      <c r="F540" s="142"/>
      <c r="G540" s="142"/>
      <c r="H540" s="142"/>
      <c r="I540" s="142"/>
      <c r="J540" s="142"/>
      <c r="K540" s="142"/>
      <c r="L540" s="142"/>
      <c r="M540" s="142"/>
      <c r="N540" s="142"/>
    </row>
    <row r="541" ht="13.65" customHeight="1">
      <c r="A541" s="1266"/>
      <c r="B541" t="s" s="1271">
        <v>2211</v>
      </c>
      <c r="C541" t="s" s="1271">
        <v>755</v>
      </c>
      <c r="D541" s="1267"/>
      <c r="E541" s="142"/>
      <c r="F541" s="142"/>
      <c r="G541" s="142"/>
      <c r="H541" s="142"/>
      <c r="I541" s="142"/>
      <c r="J541" s="142"/>
      <c r="K541" s="142"/>
      <c r="L541" s="142"/>
      <c r="M541" s="142"/>
      <c r="N541" s="142"/>
    </row>
    <row r="542" ht="13.65" customHeight="1">
      <c r="A542" s="1266"/>
      <c r="B542" t="s" s="1271">
        <v>2212</v>
      </c>
      <c r="C542" t="s" s="1271">
        <v>759</v>
      </c>
      <c r="D542" s="1267"/>
      <c r="E542" s="142"/>
      <c r="F542" s="142"/>
      <c r="G542" s="142"/>
      <c r="H542" s="142"/>
      <c r="I542" s="142"/>
      <c r="J542" s="142"/>
      <c r="K542" s="142"/>
      <c r="L542" s="142"/>
      <c r="M542" s="142"/>
      <c r="N542" s="142"/>
    </row>
    <row r="543" ht="25.5" customHeight="1">
      <c r="A543" s="1266"/>
      <c r="B543" t="s" s="1271">
        <v>2213</v>
      </c>
      <c r="C543" t="s" s="1271">
        <v>760</v>
      </c>
      <c r="D543" s="1267"/>
      <c r="E543" s="142"/>
      <c r="F543" s="142"/>
      <c r="G543" s="142"/>
      <c r="H543" s="142"/>
      <c r="I543" s="142"/>
      <c r="J543" s="142"/>
      <c r="K543" s="142"/>
      <c r="L543" s="142"/>
      <c r="M543" s="142"/>
      <c r="N543" s="142"/>
    </row>
    <row r="544" ht="25.5" customHeight="1">
      <c r="A544" s="1266"/>
      <c r="B544" t="s" s="1271">
        <v>2214</v>
      </c>
      <c r="C544" t="s" s="1271">
        <v>761</v>
      </c>
      <c r="D544" s="1267"/>
      <c r="E544" s="142"/>
      <c r="F544" s="142"/>
      <c r="G544" s="142"/>
      <c r="H544" s="142"/>
      <c r="I544" s="142"/>
      <c r="J544" s="142"/>
      <c r="K544" s="142"/>
      <c r="L544" s="142"/>
      <c r="M544" s="142"/>
      <c r="N544" s="142"/>
    </row>
    <row r="545" ht="25.5" customHeight="1">
      <c r="A545" s="1266"/>
      <c r="B545" t="s" s="1271">
        <v>2215</v>
      </c>
      <c r="C545" t="s" s="1271">
        <v>762</v>
      </c>
      <c r="D545" s="1267"/>
      <c r="E545" s="142"/>
      <c r="F545" s="142"/>
      <c r="G545" s="142"/>
      <c r="H545" s="142"/>
      <c r="I545" s="142"/>
      <c r="J545" s="142"/>
      <c r="K545" s="142"/>
      <c r="L545" s="142"/>
      <c r="M545" s="142"/>
      <c r="N545" s="142"/>
    </row>
    <row r="546" ht="38.25" customHeight="1">
      <c r="A546" s="1266"/>
      <c r="B546" t="s" s="1271">
        <v>2216</v>
      </c>
      <c r="C546" t="s" s="1271">
        <v>763</v>
      </c>
      <c r="D546" s="1267"/>
      <c r="E546" s="142"/>
      <c r="F546" s="142"/>
      <c r="G546" s="142"/>
      <c r="H546" s="142"/>
      <c r="I546" s="142"/>
      <c r="J546" s="142"/>
      <c r="K546" s="142"/>
      <c r="L546" s="142"/>
      <c r="M546" s="142"/>
      <c r="N546" s="142"/>
    </row>
    <row r="547" ht="13.65" customHeight="1">
      <c r="A547" s="1266"/>
      <c r="B547" t="s" s="1271">
        <v>2217</v>
      </c>
      <c r="C547" t="s" s="1271">
        <v>764</v>
      </c>
      <c r="D547" s="1267"/>
      <c r="E547" s="142"/>
      <c r="F547" s="142"/>
      <c r="G547" s="142"/>
      <c r="H547" s="142"/>
      <c r="I547" s="142"/>
      <c r="J547" s="142"/>
      <c r="K547" s="142"/>
      <c r="L547" s="142"/>
      <c r="M547" s="142"/>
      <c r="N547" s="142"/>
    </row>
    <row r="548" ht="38.25" customHeight="1">
      <c r="A548" s="1266"/>
      <c r="B548" t="s" s="1271">
        <v>2218</v>
      </c>
      <c r="C548" t="s" s="1271">
        <v>765</v>
      </c>
      <c r="D548" s="1267"/>
      <c r="E548" s="142"/>
      <c r="F548" s="142"/>
      <c r="G548" s="142"/>
      <c r="H548" s="142"/>
      <c r="I548" s="142"/>
      <c r="J548" s="142"/>
      <c r="K548" s="142"/>
      <c r="L548" s="142"/>
      <c r="M548" s="142"/>
      <c r="N548" s="142"/>
    </row>
    <row r="549" ht="13.65" customHeight="1">
      <c r="A549" s="1266"/>
      <c r="B549" t="s" s="1271">
        <v>2219</v>
      </c>
      <c r="C549" t="s" s="1271">
        <v>766</v>
      </c>
      <c r="D549" s="1267"/>
      <c r="E549" s="142"/>
      <c r="F549" s="142"/>
      <c r="G549" s="142"/>
      <c r="H549" s="142"/>
      <c r="I549" s="142"/>
      <c r="J549" s="142"/>
      <c r="K549" s="142"/>
      <c r="L549" s="142"/>
      <c r="M549" s="142"/>
      <c r="N549" s="142"/>
    </row>
    <row r="550" ht="25.5" customHeight="1">
      <c r="A550" s="1266"/>
      <c r="B550" t="s" s="1271">
        <v>2220</v>
      </c>
      <c r="C550" t="s" s="1271">
        <v>767</v>
      </c>
      <c r="D550" s="1267"/>
      <c r="E550" s="142"/>
      <c r="F550" s="142"/>
      <c r="G550" s="142"/>
      <c r="H550" s="142"/>
      <c r="I550" s="142"/>
      <c r="J550" s="142"/>
      <c r="K550" s="142"/>
      <c r="L550" s="142"/>
      <c r="M550" s="142"/>
      <c r="N550" s="142"/>
    </row>
    <row r="551" ht="13.65" customHeight="1">
      <c r="A551" s="1266"/>
      <c r="B551" t="s" s="1271">
        <v>2221</v>
      </c>
      <c r="C551" t="s" s="1271">
        <v>768</v>
      </c>
      <c r="D551" s="1267"/>
      <c r="E551" s="142"/>
      <c r="F551" s="142"/>
      <c r="G551" s="142"/>
      <c r="H551" s="142"/>
      <c r="I551" s="142"/>
      <c r="J551" s="142"/>
      <c r="K551" s="142"/>
      <c r="L551" s="142"/>
      <c r="M551" s="142"/>
      <c r="N551" s="142"/>
    </row>
    <row r="552" ht="25.5" customHeight="1">
      <c r="A552" s="1266"/>
      <c r="B552" t="s" s="1271">
        <v>2222</v>
      </c>
      <c r="C552" t="s" s="1271">
        <v>769</v>
      </c>
      <c r="D552" s="1267"/>
      <c r="E552" s="142"/>
      <c r="F552" s="142"/>
      <c r="G552" s="142"/>
      <c r="H552" s="142"/>
      <c r="I552" s="142"/>
      <c r="J552" s="142"/>
      <c r="K552" s="142"/>
      <c r="L552" s="142"/>
      <c r="M552" s="142"/>
      <c r="N552" s="142"/>
    </row>
    <row r="553" ht="13.65" customHeight="1">
      <c r="A553" s="1266"/>
      <c r="B553" t="s" s="1271">
        <v>2223</v>
      </c>
      <c r="C553" t="s" s="1271">
        <v>770</v>
      </c>
      <c r="D553" s="1267"/>
      <c r="E553" s="142"/>
      <c r="F553" s="142"/>
      <c r="G553" s="142"/>
      <c r="H553" s="142"/>
      <c r="I553" s="142"/>
      <c r="J553" s="142"/>
      <c r="K553" s="142"/>
      <c r="L553" s="142"/>
      <c r="M553" s="142"/>
      <c r="N553" s="142"/>
    </row>
    <row r="554" ht="25.5" customHeight="1">
      <c r="A554" s="1266"/>
      <c r="B554" t="s" s="1271">
        <v>2224</v>
      </c>
      <c r="C554" t="s" s="1271">
        <v>771</v>
      </c>
      <c r="D554" s="1267"/>
      <c r="E554" s="142"/>
      <c r="F554" s="142"/>
      <c r="G554" s="142"/>
      <c r="H554" s="142"/>
      <c r="I554" s="142"/>
      <c r="J554" s="142"/>
      <c r="K554" s="142"/>
      <c r="L554" s="142"/>
      <c r="M554" s="142"/>
      <c r="N554" s="142"/>
    </row>
    <row r="555" ht="13.65" customHeight="1">
      <c r="A555" s="1266"/>
      <c r="B555" t="s" s="1271">
        <v>2225</v>
      </c>
      <c r="C555" t="s" s="1271">
        <v>772</v>
      </c>
      <c r="D555" s="1267"/>
      <c r="E555" s="142"/>
      <c r="F555" s="142"/>
      <c r="G555" s="142"/>
      <c r="H555" s="142"/>
      <c r="I555" s="142"/>
      <c r="J555" s="142"/>
      <c r="K555" s="142"/>
      <c r="L555" s="142"/>
      <c r="M555" s="142"/>
      <c r="N555" s="142"/>
    </row>
    <row r="556" ht="25.5" customHeight="1">
      <c r="A556" s="1266"/>
      <c r="B556" t="s" s="1271">
        <v>2226</v>
      </c>
      <c r="C556" t="s" s="1271">
        <v>773</v>
      </c>
      <c r="D556" s="1267"/>
      <c r="E556" s="142"/>
      <c r="F556" s="142"/>
      <c r="G556" s="142"/>
      <c r="H556" s="142"/>
      <c r="I556" s="142"/>
      <c r="J556" s="142"/>
      <c r="K556" s="142"/>
      <c r="L556" s="142"/>
      <c r="M556" s="142"/>
      <c r="N556" s="142"/>
    </row>
    <row r="557" ht="25.5" customHeight="1">
      <c r="A557" s="1266"/>
      <c r="B557" t="s" s="1271">
        <v>2227</v>
      </c>
      <c r="C557" t="s" s="1271">
        <v>774</v>
      </c>
      <c r="D557" s="1267"/>
      <c r="E557" s="142"/>
      <c r="F557" s="142"/>
      <c r="G557" s="142"/>
      <c r="H557" s="142"/>
      <c r="I557" s="142"/>
      <c r="J557" s="142"/>
      <c r="K557" s="142"/>
      <c r="L557" s="142"/>
      <c r="M557" s="142"/>
      <c r="N557" s="142"/>
    </row>
    <row r="558" ht="13.65" customHeight="1">
      <c r="A558" s="1266"/>
      <c r="B558" t="s" s="1271">
        <v>2228</v>
      </c>
      <c r="C558" t="s" s="1271">
        <v>775</v>
      </c>
      <c r="D558" s="1267"/>
      <c r="E558" s="142"/>
      <c r="F558" s="142"/>
      <c r="G558" s="142"/>
      <c r="H558" s="142"/>
      <c r="I558" s="142"/>
      <c r="J558" s="142"/>
      <c r="K558" s="142"/>
      <c r="L558" s="142"/>
      <c r="M558" s="142"/>
      <c r="N558" s="142"/>
    </row>
    <row r="559" ht="51" customHeight="1">
      <c r="A559" s="1266"/>
      <c r="B559" t="s" s="1271">
        <v>2229</v>
      </c>
      <c r="C559" t="s" s="1271">
        <v>776</v>
      </c>
      <c r="D559" s="1267"/>
      <c r="E559" s="142"/>
      <c r="F559" s="142"/>
      <c r="G559" s="142"/>
      <c r="H559" s="142"/>
      <c r="I559" s="142"/>
      <c r="J559" s="142"/>
      <c r="K559" s="142"/>
      <c r="L559" s="142"/>
      <c r="M559" s="142"/>
      <c r="N559" s="142"/>
    </row>
    <row r="560" ht="38.25" customHeight="1">
      <c r="A560" s="1266"/>
      <c r="B560" t="s" s="1271">
        <v>2230</v>
      </c>
      <c r="C560" t="s" s="1271">
        <v>777</v>
      </c>
      <c r="D560" s="1267"/>
      <c r="E560" s="142"/>
      <c r="F560" s="142"/>
      <c r="G560" s="142"/>
      <c r="H560" s="142"/>
      <c r="I560" s="142"/>
      <c r="J560" s="142"/>
      <c r="K560" s="142"/>
      <c r="L560" s="142"/>
      <c r="M560" s="142"/>
      <c r="N560" s="142"/>
    </row>
    <row r="561" ht="13.65" customHeight="1">
      <c r="A561" s="1266"/>
      <c r="B561" t="s" s="1271">
        <v>2231</v>
      </c>
      <c r="C561" t="s" s="1271">
        <v>778</v>
      </c>
      <c r="D561" s="1267"/>
      <c r="E561" s="142"/>
      <c r="F561" s="142"/>
      <c r="G561" s="142"/>
      <c r="H561" s="142"/>
      <c r="I561" s="142"/>
      <c r="J561" s="142"/>
      <c r="K561" s="142"/>
      <c r="L561" s="142"/>
      <c r="M561" s="142"/>
      <c r="N561" s="142"/>
    </row>
    <row r="562" ht="25.5" customHeight="1">
      <c r="A562" s="1266"/>
      <c r="B562" t="s" s="1271">
        <v>2232</v>
      </c>
      <c r="C562" t="s" s="1271">
        <v>779</v>
      </c>
      <c r="D562" s="1267"/>
      <c r="E562" s="142"/>
      <c r="F562" s="142"/>
      <c r="G562" s="142"/>
      <c r="H562" s="142"/>
      <c r="I562" s="142"/>
      <c r="J562" s="142"/>
      <c r="K562" s="142"/>
      <c r="L562" s="142"/>
      <c r="M562" s="142"/>
      <c r="N562" s="142"/>
    </row>
    <row r="563" ht="38.25" customHeight="1">
      <c r="A563" s="1266"/>
      <c r="B563" t="s" s="1271">
        <v>2233</v>
      </c>
      <c r="C563" t="s" s="1271">
        <v>781</v>
      </c>
      <c r="D563" s="1267"/>
      <c r="E563" s="142"/>
      <c r="F563" s="142"/>
      <c r="G563" s="142"/>
      <c r="H563" s="142"/>
      <c r="I563" s="142"/>
      <c r="J563" s="142"/>
      <c r="K563" s="142"/>
      <c r="L563" s="142"/>
      <c r="M563" s="142"/>
      <c r="N563" s="142"/>
    </row>
    <row r="564" ht="13.65" customHeight="1">
      <c r="A564" s="1266"/>
      <c r="B564" t="s" s="1271">
        <v>2234</v>
      </c>
      <c r="C564" t="s" s="1271">
        <v>782</v>
      </c>
      <c r="D564" s="1267"/>
      <c r="E564" s="142"/>
      <c r="F564" s="142"/>
      <c r="G564" s="142"/>
      <c r="H564" s="142"/>
      <c r="I564" s="142"/>
      <c r="J564" s="142"/>
      <c r="K564" s="142"/>
      <c r="L564" s="142"/>
      <c r="M564" s="142"/>
      <c r="N564" s="142"/>
    </row>
    <row r="565" ht="13.65" customHeight="1">
      <c r="A565" s="1266"/>
      <c r="B565" t="s" s="1271">
        <v>2235</v>
      </c>
      <c r="C565" t="s" s="1271">
        <v>783</v>
      </c>
      <c r="D565" s="1267"/>
      <c r="E565" s="142"/>
      <c r="F565" s="142"/>
      <c r="G565" s="142"/>
      <c r="H565" s="142"/>
      <c r="I565" s="142"/>
      <c r="J565" s="142"/>
      <c r="K565" s="142"/>
      <c r="L565" s="142"/>
      <c r="M565" s="142"/>
      <c r="N565" s="142"/>
    </row>
    <row r="566" ht="38.25" customHeight="1">
      <c r="A566" s="1266"/>
      <c r="B566" t="s" s="1271">
        <v>2236</v>
      </c>
      <c r="C566" t="s" s="1271">
        <v>784</v>
      </c>
      <c r="D566" s="1267"/>
      <c r="E566" s="142"/>
      <c r="F566" s="142"/>
      <c r="G566" s="142"/>
      <c r="H566" s="142"/>
      <c r="I566" s="142"/>
      <c r="J566" s="142"/>
      <c r="K566" s="142"/>
      <c r="L566" s="142"/>
      <c r="M566" s="142"/>
      <c r="N566" s="142"/>
    </row>
    <row r="567" ht="25.5" customHeight="1">
      <c r="A567" s="1266"/>
      <c r="B567" t="s" s="1271">
        <v>2237</v>
      </c>
      <c r="C567" t="s" s="1271">
        <v>785</v>
      </c>
      <c r="D567" s="1267"/>
      <c r="E567" s="142"/>
      <c r="F567" s="142"/>
      <c r="G567" s="142"/>
      <c r="H567" s="142"/>
      <c r="I567" s="142"/>
      <c r="J567" s="142"/>
      <c r="K567" s="142"/>
      <c r="L567" s="142"/>
      <c r="M567" s="142"/>
      <c r="N567" s="142"/>
    </row>
    <row r="568" ht="13.65" customHeight="1">
      <c r="A568" s="1266"/>
      <c r="B568" t="s" s="1271">
        <v>2238</v>
      </c>
      <c r="C568" t="s" s="1271">
        <v>786</v>
      </c>
      <c r="D568" s="1267"/>
      <c r="E568" s="142"/>
      <c r="F568" s="142"/>
      <c r="G568" s="142"/>
      <c r="H568" s="142"/>
      <c r="I568" s="142"/>
      <c r="J568" s="142"/>
      <c r="K568" s="142"/>
      <c r="L568" s="142"/>
      <c r="M568" s="142"/>
      <c r="N568" s="142"/>
    </row>
    <row r="569" ht="38.25" customHeight="1">
      <c r="A569" s="1266"/>
      <c r="B569" t="s" s="1271">
        <v>2239</v>
      </c>
      <c r="C569" t="s" s="1271">
        <v>787</v>
      </c>
      <c r="D569" s="1267"/>
      <c r="E569" s="142"/>
      <c r="F569" s="142"/>
      <c r="G569" s="142"/>
      <c r="H569" s="142"/>
      <c r="I569" s="142"/>
      <c r="J569" s="142"/>
      <c r="K569" s="142"/>
      <c r="L569" s="142"/>
      <c r="M569" s="142"/>
      <c r="N569" s="142"/>
    </row>
    <row r="570" ht="27.75" customHeight="1">
      <c r="A570" s="1266"/>
      <c r="B570" t="s" s="1271">
        <v>2240</v>
      </c>
      <c r="C570" t="s" s="1271">
        <v>788</v>
      </c>
      <c r="D570" s="1267"/>
      <c r="E570" s="142"/>
      <c r="F570" s="142"/>
      <c r="G570" s="142"/>
      <c r="H570" s="142"/>
      <c r="I570" s="142"/>
      <c r="J570" s="142"/>
      <c r="K570" s="142"/>
      <c r="L570" s="142"/>
      <c r="M570" s="142"/>
      <c r="N570" s="142"/>
    </row>
    <row r="571" ht="25.5" customHeight="1">
      <c r="A571" s="1266"/>
      <c r="B571" t="s" s="1271">
        <v>2241</v>
      </c>
      <c r="C571" t="s" s="1271">
        <v>789</v>
      </c>
      <c r="D571" s="1267"/>
      <c r="E571" s="142"/>
      <c r="F571" s="142"/>
      <c r="G571" s="142"/>
      <c r="H571" s="142"/>
      <c r="I571" s="142"/>
      <c r="J571" s="142"/>
      <c r="K571" s="142"/>
      <c r="L571" s="142"/>
      <c r="M571" s="142"/>
      <c r="N571" s="142"/>
    </row>
    <row r="572" ht="13.65" customHeight="1">
      <c r="A572" s="1266"/>
      <c r="B572" t="s" s="1271">
        <v>2242</v>
      </c>
      <c r="C572" t="s" s="1271">
        <v>790</v>
      </c>
      <c r="D572" s="1267"/>
      <c r="E572" s="142"/>
      <c r="F572" s="142"/>
      <c r="G572" s="142"/>
      <c r="H572" s="142"/>
      <c r="I572" s="142"/>
      <c r="J572" s="142"/>
      <c r="K572" s="142"/>
      <c r="L572" s="142"/>
      <c r="M572" s="142"/>
      <c r="N572" s="142"/>
    </row>
    <row r="573" ht="28.5" customHeight="1">
      <c r="A573" s="1266"/>
      <c r="B573" t="s" s="1271">
        <v>2191</v>
      </c>
      <c r="C573" t="s" s="1271">
        <v>791</v>
      </c>
      <c r="D573" s="1267"/>
      <c r="E573" s="142"/>
      <c r="F573" s="142"/>
      <c r="G573" s="142"/>
      <c r="H573" s="142"/>
      <c r="I573" s="142"/>
      <c r="J573" s="142"/>
      <c r="K573" s="142"/>
      <c r="L573" s="142"/>
      <c r="M573" s="142"/>
      <c r="N573" s="142"/>
    </row>
    <row r="574" ht="13.65" customHeight="1">
      <c r="A574" s="1266"/>
      <c r="B574" t="s" s="1271">
        <v>2243</v>
      </c>
      <c r="C574" t="s" s="1271">
        <v>792</v>
      </c>
      <c r="D574" s="1267"/>
      <c r="E574" s="142"/>
      <c r="F574" s="142"/>
      <c r="G574" s="142"/>
      <c r="H574" s="142"/>
      <c r="I574" s="142"/>
      <c r="J574" s="142"/>
      <c r="K574" s="142"/>
      <c r="L574" s="142"/>
      <c r="M574" s="142"/>
      <c r="N574" s="142"/>
    </row>
    <row r="575" ht="13.65" customHeight="1">
      <c r="A575" s="1266"/>
      <c r="B575" t="s" s="1271">
        <v>2244</v>
      </c>
      <c r="C575" t="s" s="1271">
        <v>793</v>
      </c>
      <c r="D575" s="1267"/>
      <c r="E575" s="142"/>
      <c r="F575" s="142"/>
      <c r="G575" s="142"/>
      <c r="H575" s="142"/>
      <c r="I575" s="142"/>
      <c r="J575" s="142"/>
      <c r="K575" s="142"/>
      <c r="L575" s="142"/>
      <c r="M575" s="142"/>
      <c r="N575" s="142"/>
    </row>
    <row r="576" ht="13.65" customHeight="1">
      <c r="A576" s="1266"/>
      <c r="B576" t="s" s="1271">
        <v>2245</v>
      </c>
      <c r="C576" t="s" s="1271">
        <v>794</v>
      </c>
      <c r="D576" s="1267"/>
      <c r="E576" s="142"/>
      <c r="F576" s="142"/>
      <c r="G576" s="142"/>
      <c r="H576" s="142"/>
      <c r="I576" s="142"/>
      <c r="J576" s="142"/>
      <c r="K576" s="142"/>
      <c r="L576" s="142"/>
      <c r="M576" s="142"/>
      <c r="N576" s="142"/>
    </row>
    <row r="577" ht="13.65" customHeight="1">
      <c r="A577" s="1266"/>
      <c r="B577" t="s" s="1271">
        <v>2246</v>
      </c>
      <c r="C577" t="s" s="1271">
        <v>795</v>
      </c>
      <c r="D577" s="1267"/>
      <c r="E577" s="142"/>
      <c r="F577" s="142"/>
      <c r="G577" s="142"/>
      <c r="H577" s="142"/>
      <c r="I577" s="142"/>
      <c r="J577" s="142"/>
      <c r="K577" s="142"/>
      <c r="L577" s="142"/>
      <c r="M577" s="142"/>
      <c r="N577" s="142"/>
    </row>
    <row r="578" ht="13.65" customHeight="1">
      <c r="A578" s="1266"/>
      <c r="B578" t="s" s="1271">
        <v>2247</v>
      </c>
      <c r="C578" t="s" s="1271">
        <v>796</v>
      </c>
      <c r="D578" s="1267"/>
      <c r="E578" s="142"/>
      <c r="F578" s="142"/>
      <c r="G578" s="142"/>
      <c r="H578" s="142"/>
      <c r="I578" s="142"/>
      <c r="J578" s="142"/>
      <c r="K578" s="142"/>
      <c r="L578" s="142"/>
      <c r="M578" s="142"/>
      <c r="N578" s="142"/>
    </row>
    <row r="579" ht="13.65" customHeight="1">
      <c r="A579" s="1266"/>
      <c r="B579" t="s" s="1271">
        <v>2248</v>
      </c>
      <c r="C579" t="s" s="1271">
        <v>797</v>
      </c>
      <c r="D579" s="1267"/>
      <c r="E579" s="142"/>
      <c r="F579" s="142"/>
      <c r="G579" s="142"/>
      <c r="H579" s="142"/>
      <c r="I579" s="142"/>
      <c r="J579" s="142"/>
      <c r="K579" s="142"/>
      <c r="L579" s="142"/>
      <c r="M579" s="142"/>
      <c r="N579" s="142"/>
    </row>
    <row r="580" ht="13.65" customHeight="1">
      <c r="A580" s="1266"/>
      <c r="B580" t="s" s="1271">
        <v>2249</v>
      </c>
      <c r="C580" t="s" s="1271">
        <v>798</v>
      </c>
      <c r="D580" s="1267"/>
      <c r="E580" s="142"/>
      <c r="F580" s="142"/>
      <c r="G580" s="142"/>
      <c r="H580" s="142"/>
      <c r="I580" s="142"/>
      <c r="J580" s="142"/>
      <c r="K580" s="142"/>
      <c r="L580" s="142"/>
      <c r="M580" s="142"/>
      <c r="N580" s="142"/>
    </row>
    <row r="581" ht="13.65" customHeight="1">
      <c r="A581" s="1266"/>
      <c r="B581" t="s" s="1271">
        <v>2250</v>
      </c>
      <c r="C581" t="s" s="1271">
        <v>811</v>
      </c>
      <c r="D581" s="1267"/>
      <c r="E581" s="142"/>
      <c r="F581" s="142"/>
      <c r="G581" s="142"/>
      <c r="H581" s="142"/>
      <c r="I581" s="142"/>
      <c r="J581" s="142"/>
      <c r="K581" s="142"/>
      <c r="L581" s="142"/>
      <c r="M581" s="142"/>
      <c r="N581" s="142"/>
    </row>
    <row r="582" ht="13.65" customHeight="1">
      <c r="A582" s="1266"/>
      <c r="B582" t="s" s="1271">
        <v>2251</v>
      </c>
      <c r="C582" t="s" s="1271">
        <v>817</v>
      </c>
      <c r="D582" s="1267"/>
      <c r="E582" s="142"/>
      <c r="F582" s="142"/>
      <c r="G582" s="142"/>
      <c r="H582" s="142"/>
      <c r="I582" s="142"/>
      <c r="J582" s="142"/>
      <c r="K582" s="142"/>
      <c r="L582" s="142"/>
      <c r="M582" s="142"/>
      <c r="N582" s="142"/>
    </row>
    <row r="583" ht="25.5" customHeight="1">
      <c r="A583" s="1266"/>
      <c r="B583" t="s" s="1271">
        <v>2252</v>
      </c>
      <c r="C583" t="s" s="1271">
        <v>818</v>
      </c>
      <c r="D583" s="1267"/>
      <c r="E583" s="142"/>
      <c r="F583" s="142"/>
      <c r="G583" s="142"/>
      <c r="H583" s="142"/>
      <c r="I583" s="142"/>
      <c r="J583" s="142"/>
      <c r="K583" s="142"/>
      <c r="L583" s="142"/>
      <c r="M583" s="142"/>
      <c r="N583" s="142"/>
    </row>
    <row r="584" ht="25.5" customHeight="1">
      <c r="A584" s="1266"/>
      <c r="B584" t="s" s="1271">
        <v>2253</v>
      </c>
      <c r="C584" t="s" s="1271">
        <v>819</v>
      </c>
      <c r="D584" s="1267"/>
      <c r="E584" s="142"/>
      <c r="F584" s="142"/>
      <c r="G584" s="142"/>
      <c r="H584" s="142"/>
      <c r="I584" s="142"/>
      <c r="J584" s="142"/>
      <c r="K584" s="142"/>
      <c r="L584" s="142"/>
      <c r="M584" s="142"/>
      <c r="N584" s="142"/>
    </row>
    <row r="585" ht="13.65" customHeight="1">
      <c r="A585" s="1266"/>
      <c r="B585" t="s" s="1271">
        <v>2254</v>
      </c>
      <c r="C585" t="s" s="1271">
        <v>820</v>
      </c>
      <c r="D585" s="1267"/>
      <c r="E585" s="142"/>
      <c r="F585" s="142"/>
      <c r="G585" s="142"/>
      <c r="H585" s="142"/>
      <c r="I585" s="142"/>
      <c r="J585" s="142"/>
      <c r="K585" s="142"/>
      <c r="L585" s="142"/>
      <c r="M585" s="142"/>
      <c r="N585" s="142"/>
    </row>
    <row r="586" ht="25.5" customHeight="1">
      <c r="A586" s="1266"/>
      <c r="B586" t="s" s="1271">
        <v>2255</v>
      </c>
      <c r="C586" t="s" s="1271">
        <v>821</v>
      </c>
      <c r="D586" s="1267"/>
      <c r="E586" s="142"/>
      <c r="F586" s="142"/>
      <c r="G586" s="142"/>
      <c r="H586" s="142"/>
      <c r="I586" s="142"/>
      <c r="J586" s="142"/>
      <c r="K586" s="142"/>
      <c r="L586" s="142"/>
      <c r="M586" s="142"/>
      <c r="N586" s="142"/>
    </row>
    <row r="587" ht="13.65" customHeight="1">
      <c r="A587" s="1266"/>
      <c r="B587" t="s" s="1271">
        <v>2256</v>
      </c>
      <c r="C587" t="s" s="1271">
        <v>822</v>
      </c>
      <c r="D587" s="1267"/>
      <c r="E587" s="142"/>
      <c r="F587" s="142"/>
      <c r="G587" s="142"/>
      <c r="H587" s="142"/>
      <c r="I587" s="142"/>
      <c r="J587" s="142"/>
      <c r="K587" s="142"/>
      <c r="L587" s="142"/>
      <c r="M587" s="142"/>
      <c r="N587" s="142"/>
    </row>
    <row r="588" ht="13.65" customHeight="1">
      <c r="A588" s="1266"/>
      <c r="B588" t="s" s="1271">
        <v>2257</v>
      </c>
      <c r="C588" t="s" s="1271">
        <v>824</v>
      </c>
      <c r="D588" s="1267"/>
      <c r="E588" s="142"/>
      <c r="F588" s="142"/>
      <c r="G588" s="142"/>
      <c r="H588" s="142"/>
      <c r="I588" s="142"/>
      <c r="J588" s="142"/>
      <c r="K588" s="142"/>
      <c r="L588" s="142"/>
      <c r="M588" s="142"/>
      <c r="N588" s="142"/>
    </row>
    <row r="589" ht="25.5" customHeight="1">
      <c r="A589" s="1266"/>
      <c r="B589" t="s" s="1271">
        <v>2258</v>
      </c>
      <c r="C589" t="s" s="1274">
        <v>825</v>
      </c>
      <c r="D589" s="1267"/>
      <c r="E589" s="142"/>
      <c r="F589" s="142"/>
      <c r="G589" s="142"/>
      <c r="H589" s="142"/>
      <c r="I589" s="142"/>
      <c r="J589" s="142"/>
      <c r="K589" s="142"/>
      <c r="L589" s="142"/>
      <c r="M589" s="142"/>
      <c r="N589" s="142"/>
    </row>
    <row r="590" ht="25.5" customHeight="1">
      <c r="A590" s="1266"/>
      <c r="B590" t="s" s="1271">
        <v>2259</v>
      </c>
      <c r="C590" t="s" s="1274">
        <v>826</v>
      </c>
      <c r="D590" s="1267"/>
      <c r="E590" s="142"/>
      <c r="F590" s="142"/>
      <c r="G590" s="142"/>
      <c r="H590" s="142"/>
      <c r="I590" s="142"/>
      <c r="J590" s="142"/>
      <c r="K590" s="142"/>
      <c r="L590" s="142"/>
      <c r="M590" s="142"/>
      <c r="N590" s="142"/>
    </row>
    <row r="591" ht="25.5" customHeight="1">
      <c r="A591" s="1266"/>
      <c r="B591" t="s" s="1271">
        <v>2260</v>
      </c>
      <c r="C591" t="s" s="1283">
        <v>898</v>
      </c>
      <c r="D591" s="1267"/>
      <c r="E591" s="142"/>
      <c r="F591" s="142"/>
      <c r="G591" s="142"/>
      <c r="H591" s="142"/>
      <c r="I591" s="142"/>
      <c r="J591" s="142"/>
      <c r="K591" s="142"/>
      <c r="L591" s="142"/>
      <c r="M591" s="142"/>
      <c r="N591" s="142"/>
    </row>
    <row r="592" ht="38.25" customHeight="1">
      <c r="A592" s="1266"/>
      <c r="B592" t="s" s="1271">
        <v>2261</v>
      </c>
      <c r="C592" t="s" s="1274">
        <v>828</v>
      </c>
      <c r="D592" s="1267"/>
      <c r="E592" s="142"/>
      <c r="F592" s="142"/>
      <c r="G592" s="142"/>
      <c r="H592" s="142"/>
      <c r="I592" s="142"/>
      <c r="J592" s="142"/>
      <c r="K592" s="142"/>
      <c r="L592" s="142"/>
      <c r="M592" s="142"/>
      <c r="N592" s="142"/>
    </row>
    <row r="593" ht="13.65" customHeight="1">
      <c r="A593" s="1266"/>
      <c r="B593" t="s" s="1271">
        <v>2262</v>
      </c>
      <c r="C593" t="s" s="1271">
        <v>829</v>
      </c>
      <c r="D593" s="1267"/>
      <c r="E593" s="142"/>
      <c r="F593" s="142"/>
      <c r="G593" s="142"/>
      <c r="H593" s="142"/>
      <c r="I593" s="142"/>
      <c r="J593" s="142"/>
      <c r="K593" s="142"/>
      <c r="L593" s="142"/>
      <c r="M593" s="142"/>
      <c r="N593" s="142"/>
    </row>
    <row r="594" ht="25.5" customHeight="1">
      <c r="A594" s="1266"/>
      <c r="B594" t="s" s="1271">
        <v>2263</v>
      </c>
      <c r="C594" t="s" s="1274">
        <v>2264</v>
      </c>
      <c r="D594" s="1267"/>
      <c r="E594" s="142"/>
      <c r="F594" s="142"/>
      <c r="G594" s="142"/>
      <c r="H594" s="142"/>
      <c r="I594" s="142"/>
      <c r="J594" s="142"/>
      <c r="K594" s="142"/>
      <c r="L594" s="142"/>
      <c r="M594" s="142"/>
      <c r="N594" s="142"/>
    </row>
    <row r="595" ht="13.65" customHeight="1">
      <c r="A595" s="1266"/>
      <c r="B595" t="s" s="1271">
        <v>2265</v>
      </c>
      <c r="C595" t="s" s="1271">
        <v>831</v>
      </c>
      <c r="D595" s="1267"/>
      <c r="E595" s="142"/>
      <c r="F595" s="142"/>
      <c r="G595" s="142"/>
      <c r="H595" s="142"/>
      <c r="I595" s="142"/>
      <c r="J595" s="142"/>
      <c r="K595" s="142"/>
      <c r="L595" s="142"/>
      <c r="M595" s="142"/>
      <c r="N595" s="142"/>
    </row>
    <row r="596" ht="13.65" customHeight="1">
      <c r="A596" s="1266"/>
      <c r="B596" t="s" s="1271">
        <v>2200</v>
      </c>
      <c r="C596" t="s" s="1271">
        <v>832</v>
      </c>
      <c r="D596" s="1267"/>
      <c r="E596" s="142"/>
      <c r="F596" s="142"/>
      <c r="G596" s="142"/>
      <c r="H596" s="142"/>
      <c r="I596" s="142"/>
      <c r="J596" s="142"/>
      <c r="K596" s="142"/>
      <c r="L596" s="142"/>
      <c r="M596" s="142"/>
      <c r="N596" s="142"/>
    </row>
    <row r="597" ht="13.65" customHeight="1">
      <c r="A597" s="1266"/>
      <c r="B597" t="s" s="1271">
        <v>2266</v>
      </c>
      <c r="C597" t="s" s="1271">
        <v>833</v>
      </c>
      <c r="D597" s="1267"/>
      <c r="E597" s="142"/>
      <c r="F597" s="142"/>
      <c r="G597" s="142"/>
      <c r="H597" s="142"/>
      <c r="I597" s="142"/>
      <c r="J597" s="142"/>
      <c r="K597" s="142"/>
      <c r="L597" s="142"/>
      <c r="M597" s="142"/>
      <c r="N597" s="142"/>
    </row>
    <row r="598" ht="25.5" customHeight="1">
      <c r="A598" s="1266"/>
      <c r="B598" t="s" s="1271">
        <v>2267</v>
      </c>
      <c r="C598" t="s" s="1274">
        <v>2268</v>
      </c>
      <c r="D598" s="1267"/>
      <c r="E598" s="142"/>
      <c r="F598" s="142"/>
      <c r="G598" s="142"/>
      <c r="H598" s="142"/>
      <c r="I598" s="142"/>
      <c r="J598" s="142"/>
      <c r="K598" s="142"/>
      <c r="L598" s="142"/>
      <c r="M598" s="142"/>
      <c r="N598" s="142"/>
    </row>
    <row r="599" ht="25.5" customHeight="1">
      <c r="A599" s="1266"/>
      <c r="B599" t="s" s="1271">
        <v>2269</v>
      </c>
      <c r="C599" t="s" s="1271">
        <v>835</v>
      </c>
      <c r="D599" s="1267"/>
      <c r="E599" s="142"/>
      <c r="F599" s="142"/>
      <c r="G599" s="142"/>
      <c r="H599" s="142"/>
      <c r="I599" s="142"/>
      <c r="J599" s="142"/>
      <c r="K599" s="142"/>
      <c r="L599" s="142"/>
      <c r="M599" s="142"/>
      <c r="N599" s="142"/>
    </row>
    <row r="600" ht="13.65" customHeight="1">
      <c r="A600" s="1266"/>
      <c r="B600" t="s" s="1271">
        <v>2270</v>
      </c>
      <c r="C600" t="s" s="1271">
        <v>2271</v>
      </c>
      <c r="D600" s="1267"/>
      <c r="E600" s="142"/>
      <c r="F600" s="142"/>
      <c r="G600" s="142"/>
      <c r="H600" s="142"/>
      <c r="I600" s="142"/>
      <c r="J600" s="142"/>
      <c r="K600" s="142"/>
      <c r="L600" s="142"/>
      <c r="M600" s="142"/>
      <c r="N600" s="142"/>
    </row>
    <row r="601" ht="13.65" customHeight="1">
      <c r="A601" s="1266"/>
      <c r="B601" t="s" s="1271">
        <v>2272</v>
      </c>
      <c r="C601" t="s" s="1271">
        <v>845</v>
      </c>
      <c r="D601" s="1267"/>
      <c r="E601" s="142"/>
      <c r="F601" s="142"/>
      <c r="G601" s="142"/>
      <c r="H601" s="142"/>
      <c r="I601" s="142"/>
      <c r="J601" s="142"/>
      <c r="K601" s="142"/>
      <c r="L601" s="142"/>
      <c r="M601" s="142"/>
      <c r="N601" s="142"/>
    </row>
    <row r="602" ht="13.65" customHeight="1">
      <c r="A602" s="1266"/>
      <c r="B602" t="s" s="1271">
        <v>2273</v>
      </c>
      <c r="C602" t="s" s="1271">
        <v>813</v>
      </c>
      <c r="D602" s="1267"/>
      <c r="E602" s="142"/>
      <c r="F602" s="142"/>
      <c r="G602" s="142"/>
      <c r="H602" s="142"/>
      <c r="I602" s="142"/>
      <c r="J602" s="142"/>
      <c r="K602" s="142"/>
      <c r="L602" s="142"/>
      <c r="M602" s="142"/>
      <c r="N602" s="142"/>
    </row>
    <row r="603" ht="25.5" customHeight="1">
      <c r="A603" s="1266"/>
      <c r="B603" t="s" s="1271">
        <v>2274</v>
      </c>
      <c r="C603" t="s" s="1271">
        <v>2275</v>
      </c>
      <c r="D603" s="1267"/>
      <c r="E603" s="142"/>
      <c r="F603" s="142"/>
      <c r="G603" s="142"/>
      <c r="H603" s="142"/>
      <c r="I603" s="142"/>
      <c r="J603" s="142"/>
      <c r="K603" s="142"/>
      <c r="L603" s="142"/>
      <c r="M603" s="142"/>
      <c r="N603" s="142"/>
    </row>
    <row r="604" ht="13.65" customHeight="1">
      <c r="A604" s="1266"/>
      <c r="B604" t="s" s="1271">
        <v>2276</v>
      </c>
      <c r="C604" t="s" s="1271">
        <v>854</v>
      </c>
      <c r="D604" s="1267"/>
      <c r="E604" s="142"/>
      <c r="F604" s="142"/>
      <c r="G604" s="142"/>
      <c r="H604" s="142"/>
      <c r="I604" s="142"/>
      <c r="J604" s="142"/>
      <c r="K604" s="142"/>
      <c r="L604" s="142"/>
      <c r="M604" s="142"/>
      <c r="N604" s="142"/>
    </row>
    <row r="605" ht="13.65" customHeight="1">
      <c r="A605" s="1266"/>
      <c r="B605" t="s" s="1271">
        <v>2277</v>
      </c>
      <c r="C605" t="s" s="1271">
        <v>855</v>
      </c>
      <c r="D605" s="1267"/>
      <c r="E605" s="142"/>
      <c r="F605" s="142"/>
      <c r="G605" s="142"/>
      <c r="H605" s="142"/>
      <c r="I605" s="142"/>
      <c r="J605" s="142"/>
      <c r="K605" s="142"/>
      <c r="L605" s="142"/>
      <c r="M605" s="142"/>
      <c r="N605" s="142"/>
    </row>
    <row r="606" ht="13.65" customHeight="1">
      <c r="A606" s="1266"/>
      <c r="B606" t="s" s="1271">
        <v>2278</v>
      </c>
      <c r="C606" t="s" s="1271">
        <v>856</v>
      </c>
      <c r="D606" s="1267"/>
      <c r="E606" s="142"/>
      <c r="F606" s="142"/>
      <c r="G606" s="142"/>
      <c r="H606" s="142"/>
      <c r="I606" s="142"/>
      <c r="J606" s="142"/>
      <c r="K606" s="142"/>
      <c r="L606" s="142"/>
      <c r="M606" s="142"/>
      <c r="N606" s="142"/>
    </row>
    <row r="607" ht="25.5" customHeight="1">
      <c r="A607" s="1266"/>
      <c r="B607" t="s" s="1271">
        <v>2279</v>
      </c>
      <c r="C607" t="s" s="1271">
        <v>862</v>
      </c>
      <c r="D607" s="1267"/>
      <c r="E607" s="142"/>
      <c r="F607" s="142"/>
      <c r="G607" s="142"/>
      <c r="H607" s="142"/>
      <c r="I607" s="142"/>
      <c r="J607" s="142"/>
      <c r="K607" s="142"/>
      <c r="L607" s="142"/>
      <c r="M607" s="142"/>
      <c r="N607" s="142"/>
    </row>
    <row r="608" ht="13.65" customHeight="1">
      <c r="A608" s="1266"/>
      <c r="B608" t="s" s="1271">
        <v>2280</v>
      </c>
      <c r="C608" t="s" s="1271">
        <v>861</v>
      </c>
      <c r="D608" s="1267"/>
      <c r="E608" s="142"/>
      <c r="F608" s="142"/>
      <c r="G608" s="142"/>
      <c r="H608" s="142"/>
      <c r="I608" s="142"/>
      <c r="J608" s="142"/>
      <c r="K608" s="142"/>
      <c r="L608" s="142"/>
      <c r="M608" s="142"/>
      <c r="N608" s="142"/>
    </row>
    <row r="609" ht="13.65" customHeight="1">
      <c r="A609" s="1266"/>
      <c r="B609" t="s" s="1271">
        <v>2281</v>
      </c>
      <c r="C609" t="s" s="1271">
        <v>903</v>
      </c>
      <c r="D609" s="1267"/>
      <c r="E609" s="142"/>
      <c r="F609" s="142"/>
      <c r="G609" s="142"/>
      <c r="H609" s="142"/>
      <c r="I609" s="142"/>
      <c r="J609" s="142"/>
      <c r="K609" s="142"/>
      <c r="L609" s="142"/>
      <c r="M609" s="142"/>
      <c r="N609" s="142"/>
    </row>
    <row r="610" ht="51" customHeight="1">
      <c r="A610" s="1266"/>
      <c r="B610" t="s" s="1271">
        <v>2282</v>
      </c>
      <c r="C610" t="s" s="1271">
        <v>2283</v>
      </c>
      <c r="D610" s="1267"/>
      <c r="E610" s="142"/>
      <c r="F610" s="142"/>
      <c r="G610" s="142"/>
      <c r="H610" s="142"/>
      <c r="I610" s="142"/>
      <c r="J610" s="142"/>
      <c r="K610" s="142"/>
      <c r="L610" s="142"/>
      <c r="M610" s="142"/>
      <c r="N610" s="142"/>
    </row>
    <row r="611" ht="38.25" customHeight="1">
      <c r="A611" s="1266"/>
      <c r="B611" t="s" s="1271">
        <v>2284</v>
      </c>
      <c r="C611" t="s" s="1271">
        <v>911</v>
      </c>
      <c r="D611" s="1267"/>
      <c r="E611" s="142"/>
      <c r="F611" s="142"/>
      <c r="G611" s="142"/>
      <c r="H611" s="142"/>
      <c r="I611" s="142"/>
      <c r="J611" s="142"/>
      <c r="K611" s="142"/>
      <c r="L611" s="142"/>
      <c r="M611" s="142"/>
      <c r="N611" s="142"/>
    </row>
    <row r="612" ht="13.65" customHeight="1">
      <c r="A612" s="1266"/>
      <c r="B612" t="s" s="1271">
        <v>2285</v>
      </c>
      <c r="C612" t="s" s="1271">
        <v>910</v>
      </c>
      <c r="D612" s="1267"/>
      <c r="E612" s="142"/>
      <c r="F612" s="142"/>
      <c r="G612" s="142"/>
      <c r="H612" s="142"/>
      <c r="I612" s="142"/>
      <c r="J612" s="142"/>
      <c r="K612" s="142"/>
      <c r="L612" s="142"/>
      <c r="M612" s="142"/>
      <c r="N612" s="142"/>
    </row>
    <row r="613" ht="13.65" customHeight="1">
      <c r="A613" s="1266"/>
      <c r="B613" t="s" s="1271">
        <v>2286</v>
      </c>
      <c r="C613" t="s" s="1271">
        <v>913</v>
      </c>
      <c r="D613" s="1267"/>
      <c r="E613" s="142"/>
      <c r="F613" s="142"/>
      <c r="G613" s="142"/>
      <c r="H613" s="142"/>
      <c r="I613" s="142"/>
      <c r="J613" s="142"/>
      <c r="K613" s="142"/>
      <c r="L613" s="142"/>
      <c r="M613" s="142"/>
      <c r="N613" s="142"/>
    </row>
    <row r="614" ht="72" customHeight="1">
      <c r="A614" s="1266"/>
      <c r="B614" t="s" s="1271">
        <v>2287</v>
      </c>
      <c r="C614" t="s" s="1271">
        <v>914</v>
      </c>
      <c r="D614" s="1267"/>
      <c r="E614" s="142"/>
      <c r="F614" s="142"/>
      <c r="G614" s="142"/>
      <c r="H614" s="142"/>
      <c r="I614" s="142"/>
      <c r="J614" s="142"/>
      <c r="K614" s="142"/>
      <c r="L614" s="142"/>
      <c r="M614" s="142"/>
      <c r="N614" s="142"/>
    </row>
    <row r="615" ht="13.65" customHeight="1">
      <c r="A615" s="1266"/>
      <c r="B615" t="s" s="1271">
        <v>2288</v>
      </c>
      <c r="C615" t="s" s="1271">
        <v>2289</v>
      </c>
      <c r="D615" s="1267"/>
      <c r="E615" s="142"/>
      <c r="F615" s="142"/>
      <c r="G615" s="142"/>
      <c r="H615" s="142"/>
      <c r="I615" s="142"/>
      <c r="J615" s="142"/>
      <c r="K615" s="142"/>
      <c r="L615" s="142"/>
      <c r="M615" s="142"/>
      <c r="N615" s="142"/>
    </row>
    <row r="616" ht="13.65" customHeight="1">
      <c r="A616" s="1266"/>
      <c r="B616" t="s" s="1271">
        <v>2290</v>
      </c>
      <c r="C616" t="s" s="1271">
        <v>915</v>
      </c>
      <c r="D616" s="1267"/>
      <c r="E616" s="142"/>
      <c r="F616" s="142"/>
      <c r="G616" s="142"/>
      <c r="H616" s="142"/>
      <c r="I616" s="142"/>
      <c r="J616" s="142"/>
      <c r="K616" s="142"/>
      <c r="L616" s="142"/>
      <c r="M616" s="142"/>
      <c r="N616" s="142"/>
    </row>
    <row r="617" ht="13.65" customHeight="1">
      <c r="A617" s="1266"/>
      <c r="B617" t="s" s="1271">
        <v>2291</v>
      </c>
      <c r="C617" t="s" s="1271">
        <v>924</v>
      </c>
      <c r="D617" s="1267"/>
      <c r="E617" s="142"/>
      <c r="F617" s="142"/>
      <c r="G617" s="142"/>
      <c r="H617" s="142"/>
      <c r="I617" s="142"/>
      <c r="J617" s="142"/>
      <c r="K617" s="142"/>
      <c r="L617" s="142"/>
      <c r="M617" s="142"/>
      <c r="N617" s="142"/>
    </row>
    <row r="618" ht="13.65" customHeight="1">
      <c r="A618" s="1266"/>
      <c r="B618" t="s" s="1271">
        <v>2292</v>
      </c>
      <c r="C618" t="s" s="1271">
        <v>927</v>
      </c>
      <c r="D618" s="1267"/>
      <c r="E618" s="142"/>
      <c r="F618" s="142"/>
      <c r="G618" s="142"/>
      <c r="H618" s="142"/>
      <c r="I618" s="142"/>
      <c r="J618" s="142"/>
      <c r="K618" s="142"/>
      <c r="L618" s="142"/>
      <c r="M618" s="142"/>
      <c r="N618" s="142"/>
    </row>
    <row r="619" ht="38.25" customHeight="1">
      <c r="A619" s="1266"/>
      <c r="B619" t="s" s="1271">
        <v>2293</v>
      </c>
      <c r="C619" t="s" s="1271">
        <v>916</v>
      </c>
      <c r="D619" t="s" s="1284">
        <v>2294</v>
      </c>
      <c r="E619" s="142"/>
      <c r="F619" s="142"/>
      <c r="G619" s="142"/>
      <c r="H619" s="142"/>
      <c r="I619" s="142"/>
      <c r="J619" s="142"/>
      <c r="K619" s="142"/>
      <c r="L619" s="142"/>
      <c r="M619" s="142"/>
      <c r="N619" s="142"/>
    </row>
    <row r="620" ht="25.5" customHeight="1">
      <c r="A620" s="1266"/>
      <c r="B620" t="s" s="1271">
        <v>2295</v>
      </c>
      <c r="C620" t="s" s="1271">
        <v>917</v>
      </c>
      <c r="D620" t="s" s="1285">
        <v>2296</v>
      </c>
      <c r="E620" s="142"/>
      <c r="F620" s="142"/>
      <c r="G620" s="142"/>
      <c r="H620" s="142"/>
      <c r="I620" s="142"/>
      <c r="J620" s="142"/>
      <c r="K620" s="142"/>
      <c r="L620" s="142"/>
      <c r="M620" s="142"/>
      <c r="N620" s="142"/>
    </row>
    <row r="621" ht="25.5" customHeight="1">
      <c r="A621" s="1266"/>
      <c r="B621" t="s" s="1271">
        <v>2297</v>
      </c>
      <c r="C621" t="s" s="1271">
        <v>919</v>
      </c>
      <c r="D621" t="s" s="1285">
        <v>2296</v>
      </c>
      <c r="E621" s="142"/>
      <c r="F621" s="142"/>
      <c r="G621" s="142"/>
      <c r="H621" s="142"/>
      <c r="I621" s="142"/>
      <c r="J621" s="142"/>
      <c r="K621" s="142"/>
      <c r="L621" s="142"/>
      <c r="M621" s="142"/>
      <c r="N621" s="142"/>
    </row>
    <row r="622" ht="38.25" customHeight="1">
      <c r="A622" s="1266"/>
      <c r="B622" t="s" s="1271">
        <v>2298</v>
      </c>
      <c r="C622" t="s" s="1271">
        <v>920</v>
      </c>
      <c r="D622" t="s" s="1285">
        <v>2294</v>
      </c>
      <c r="E622" s="142"/>
      <c r="F622" s="142"/>
      <c r="G622" s="142"/>
      <c r="H622" s="142"/>
      <c r="I622" s="142"/>
      <c r="J622" s="142"/>
      <c r="K622" s="142"/>
      <c r="L622" s="142"/>
      <c r="M622" s="142"/>
      <c r="N622" s="142"/>
    </row>
    <row r="623" ht="25.5" customHeight="1">
      <c r="A623" s="1266"/>
      <c r="B623" t="s" s="1271">
        <v>2299</v>
      </c>
      <c r="C623" t="s" s="1271">
        <v>923</v>
      </c>
      <c r="D623" t="s" s="1284">
        <v>2300</v>
      </c>
      <c r="E623" s="142"/>
      <c r="F623" s="142"/>
      <c r="G623" s="142"/>
      <c r="H623" s="142"/>
      <c r="I623" s="142"/>
      <c r="J623" s="142"/>
      <c r="K623" s="142"/>
      <c r="L623" s="142"/>
      <c r="M623" s="142"/>
      <c r="N623" s="142"/>
    </row>
    <row r="624" ht="38.25" customHeight="1">
      <c r="A624" s="1266"/>
      <c r="B624" t="s" s="1271">
        <v>2301</v>
      </c>
      <c r="C624" t="s" s="1271">
        <v>925</v>
      </c>
      <c r="D624" s="1267"/>
      <c r="E624" s="142"/>
      <c r="F624" s="142"/>
      <c r="G624" s="142"/>
      <c r="H624" s="142"/>
      <c r="I624" s="142"/>
      <c r="J624" s="142"/>
      <c r="K624" s="142"/>
      <c r="L624" s="142"/>
      <c r="M624" s="142"/>
      <c r="N624" s="142"/>
    </row>
    <row r="625" ht="38.25" customHeight="1">
      <c r="A625" s="1266"/>
      <c r="B625" t="s" s="1271">
        <v>2302</v>
      </c>
      <c r="C625" t="s" s="1271">
        <v>928</v>
      </c>
      <c r="D625" s="1267"/>
      <c r="E625" s="142"/>
      <c r="F625" s="142"/>
      <c r="G625" s="142"/>
      <c r="H625" s="142"/>
      <c r="I625" s="142"/>
      <c r="J625" s="142"/>
      <c r="K625" s="142"/>
      <c r="L625" s="142"/>
      <c r="M625" s="142"/>
      <c r="N625" s="142"/>
    </row>
    <row r="626" ht="13.65" customHeight="1">
      <c r="A626" s="1266"/>
      <c r="B626" t="s" s="1271">
        <v>2303</v>
      </c>
      <c r="C626" t="s" s="1271">
        <v>933</v>
      </c>
      <c r="D626" s="1267"/>
      <c r="E626" s="142"/>
      <c r="F626" s="142"/>
      <c r="G626" s="142"/>
      <c r="H626" s="142"/>
      <c r="I626" s="142"/>
      <c r="J626" s="142"/>
      <c r="K626" s="142"/>
      <c r="L626" s="142"/>
      <c r="M626" s="142"/>
      <c r="N626" s="142"/>
    </row>
    <row r="627" ht="13.65" customHeight="1">
      <c r="A627" s="1266"/>
      <c r="B627" t="s" s="1271">
        <v>2304</v>
      </c>
      <c r="C627" t="s" s="1271">
        <v>934</v>
      </c>
      <c r="D627" s="1267"/>
      <c r="E627" s="142"/>
      <c r="F627" s="142"/>
      <c r="G627" s="142"/>
      <c r="H627" s="142"/>
      <c r="I627" s="142"/>
      <c r="J627" s="142"/>
      <c r="K627" s="142"/>
      <c r="L627" s="142"/>
      <c r="M627" s="142"/>
      <c r="N627" s="142"/>
    </row>
    <row r="628" ht="25.5" customHeight="1">
      <c r="A628" s="1266"/>
      <c r="B628" t="s" s="1271">
        <v>2305</v>
      </c>
      <c r="C628" t="s" s="1271">
        <v>935</v>
      </c>
      <c r="D628" s="1267"/>
      <c r="E628" s="142"/>
      <c r="F628" s="142"/>
      <c r="G628" s="142"/>
      <c r="H628" s="142"/>
      <c r="I628" s="142"/>
      <c r="J628" s="142"/>
      <c r="K628" s="142"/>
      <c r="L628" s="142"/>
      <c r="M628" s="142"/>
      <c r="N628" s="142"/>
    </row>
    <row r="629" ht="25.5" customHeight="1">
      <c r="A629" s="1266"/>
      <c r="B629" t="s" s="1271">
        <v>2306</v>
      </c>
      <c r="C629" t="s" s="1271">
        <v>936</v>
      </c>
      <c r="D629" s="1267"/>
      <c r="E629" s="142"/>
      <c r="F629" s="142"/>
      <c r="G629" s="142"/>
      <c r="H629" s="142"/>
      <c r="I629" s="142"/>
      <c r="J629" s="142"/>
      <c r="K629" s="142"/>
      <c r="L629" s="142"/>
      <c r="M629" s="142"/>
      <c r="N629" s="142"/>
    </row>
    <row r="630" ht="13.65" customHeight="1">
      <c r="A630" s="1266"/>
      <c r="B630" t="s" s="1271">
        <v>2307</v>
      </c>
      <c r="C630" t="s" s="1271">
        <v>937</v>
      </c>
      <c r="D630" t="s" s="1284">
        <v>2308</v>
      </c>
      <c r="E630" s="142"/>
      <c r="F630" s="142"/>
      <c r="G630" s="142"/>
      <c r="H630" s="142"/>
      <c r="I630" s="142"/>
      <c r="J630" s="142"/>
      <c r="K630" s="142"/>
      <c r="L630" s="142"/>
      <c r="M630" s="142"/>
      <c r="N630" s="142"/>
    </row>
    <row r="631" ht="13.65" customHeight="1">
      <c r="A631" s="1266"/>
      <c r="B631" t="s" s="1271">
        <v>2309</v>
      </c>
      <c r="C631" t="s" s="1271">
        <v>938</v>
      </c>
      <c r="D631" s="1267"/>
      <c r="E631" s="142"/>
      <c r="F631" s="142"/>
      <c r="G631" s="142"/>
      <c r="H631" s="142"/>
      <c r="I631" s="142"/>
      <c r="J631" s="142"/>
      <c r="K631" s="142"/>
      <c r="L631" s="142"/>
      <c r="M631" s="142"/>
      <c r="N631" s="142"/>
    </row>
    <row r="632" ht="13.65" customHeight="1">
      <c r="A632" s="1266"/>
      <c r="B632" t="s" s="1271">
        <v>2310</v>
      </c>
      <c r="C632" t="s" s="1271">
        <v>939</v>
      </c>
      <c r="D632" s="1267"/>
      <c r="E632" s="142"/>
      <c r="F632" s="142"/>
      <c r="G632" s="142"/>
      <c r="H632" s="142"/>
      <c r="I632" s="142"/>
      <c r="J632" s="142"/>
      <c r="K632" s="142"/>
      <c r="L632" s="142"/>
      <c r="M632" s="142"/>
      <c r="N632" s="142"/>
    </row>
    <row r="633" ht="25.5" customHeight="1">
      <c r="A633" s="1266"/>
      <c r="B633" t="s" s="1271">
        <v>2311</v>
      </c>
      <c r="C633" t="s" s="1271">
        <v>940</v>
      </c>
      <c r="D633" s="1267"/>
      <c r="E633" s="142"/>
      <c r="F633" s="142"/>
      <c r="G633" s="142"/>
      <c r="H633" s="142"/>
      <c r="I633" s="142"/>
      <c r="J633" s="142"/>
      <c r="K633" s="142"/>
      <c r="L633" s="142"/>
      <c r="M633" s="142"/>
      <c r="N633" s="142"/>
    </row>
    <row r="634" ht="27.75" customHeight="1">
      <c r="A634" s="1266"/>
      <c r="B634" t="s" s="1271">
        <v>2312</v>
      </c>
      <c r="C634" t="s" s="1271">
        <v>941</v>
      </c>
      <c r="D634" s="1267"/>
      <c r="E634" s="142"/>
      <c r="F634" s="142"/>
      <c r="G634" s="142"/>
      <c r="H634" s="142"/>
      <c r="I634" s="142"/>
      <c r="J634" s="142"/>
      <c r="K634" s="142"/>
      <c r="L634" s="142"/>
      <c r="M634" s="142"/>
      <c r="N634" s="142"/>
    </row>
    <row r="635" ht="13.65" customHeight="1">
      <c r="A635" s="1266"/>
      <c r="B635" t="s" s="1271">
        <v>113</v>
      </c>
      <c r="C635" t="s" s="1271">
        <v>942</v>
      </c>
      <c r="D635" s="1267"/>
      <c r="E635" s="142"/>
      <c r="F635" s="142"/>
      <c r="G635" s="142"/>
      <c r="H635" s="142"/>
      <c r="I635" s="142"/>
      <c r="J635" s="142"/>
      <c r="K635" s="142"/>
      <c r="L635" s="142"/>
      <c r="M635" s="142"/>
      <c r="N635" s="142"/>
    </row>
    <row r="636" ht="13.65" customHeight="1">
      <c r="A636" s="1266"/>
      <c r="B636" t="s" s="1271">
        <v>2313</v>
      </c>
      <c r="C636" t="s" s="1271">
        <v>943</v>
      </c>
      <c r="D636" s="1267"/>
      <c r="E636" s="142"/>
      <c r="F636" s="142"/>
      <c r="G636" s="142"/>
      <c r="H636" s="142"/>
      <c r="I636" s="142"/>
      <c r="J636" s="142"/>
      <c r="K636" s="142"/>
      <c r="L636" s="142"/>
      <c r="M636" s="142"/>
      <c r="N636" s="142"/>
    </row>
    <row r="637" ht="13.65" customHeight="1">
      <c r="A637" s="1266"/>
      <c r="B637" t="s" s="1271">
        <v>2314</v>
      </c>
      <c r="C637" t="s" s="1271">
        <v>944</v>
      </c>
      <c r="D637" s="1267"/>
      <c r="E637" s="142"/>
      <c r="F637" s="142"/>
      <c r="G637" s="142"/>
      <c r="H637" s="142"/>
      <c r="I637" s="142"/>
      <c r="J637" s="142"/>
      <c r="K637" s="142"/>
      <c r="L637" s="142"/>
      <c r="M637" s="142"/>
      <c r="N637" s="142"/>
    </row>
    <row r="638" ht="13.65" customHeight="1">
      <c r="A638" s="1266"/>
      <c r="B638" t="s" s="1271">
        <v>2315</v>
      </c>
      <c r="C638" t="s" s="1271">
        <v>945</v>
      </c>
      <c r="D638" s="1267"/>
      <c r="E638" s="142"/>
      <c r="F638" s="142"/>
      <c r="G638" s="142"/>
      <c r="H638" s="142"/>
      <c r="I638" s="142"/>
      <c r="J638" s="142"/>
      <c r="K638" s="142"/>
      <c r="L638" s="142"/>
      <c r="M638" s="142"/>
      <c r="N638" s="142"/>
    </row>
    <row r="639" ht="13.65" customHeight="1">
      <c r="A639" s="1266"/>
      <c r="B639" t="s" s="1271">
        <v>2316</v>
      </c>
      <c r="C639" t="s" s="1271">
        <v>393</v>
      </c>
      <c r="D639" s="1267"/>
      <c r="E639" s="142"/>
      <c r="F639" s="142"/>
      <c r="G639" s="142"/>
      <c r="H639" s="142"/>
      <c r="I639" s="142"/>
      <c r="J639" s="142"/>
      <c r="K639" s="142"/>
      <c r="L639" s="142"/>
      <c r="M639" s="142"/>
      <c r="N639" s="142"/>
    </row>
    <row r="640" ht="13.65" customHeight="1">
      <c r="A640" s="1266"/>
      <c r="B640" t="s" s="1271">
        <v>2317</v>
      </c>
      <c r="C640" t="s" s="1271">
        <v>2318</v>
      </c>
      <c r="D640" s="1267"/>
      <c r="E640" s="142"/>
      <c r="F640" s="142"/>
      <c r="G640" s="142"/>
      <c r="H640" s="142"/>
      <c r="I640" s="142"/>
      <c r="J640" s="142"/>
      <c r="K640" s="142"/>
      <c r="L640" s="142"/>
      <c r="M640" s="142"/>
      <c r="N640" s="142"/>
    </row>
    <row r="641" ht="13.65" customHeight="1">
      <c r="A641" s="1266"/>
      <c r="B641" t="s" s="1271">
        <v>2319</v>
      </c>
      <c r="C641" t="s" s="1271">
        <v>2320</v>
      </c>
      <c r="D641" s="1267"/>
      <c r="E641" s="142"/>
      <c r="F641" s="142"/>
      <c r="G641" s="142"/>
      <c r="H641" s="142"/>
      <c r="I641" s="142"/>
      <c r="J641" s="142"/>
      <c r="K641" s="142"/>
      <c r="L641" s="142"/>
      <c r="M641" s="142"/>
      <c r="N641" s="142"/>
    </row>
    <row r="642" ht="13.65" customHeight="1">
      <c r="A642" s="1266"/>
      <c r="B642" t="s" s="1271">
        <v>2321</v>
      </c>
      <c r="C642" t="s" s="1271">
        <v>1649</v>
      </c>
      <c r="D642" s="1267"/>
      <c r="E642" s="142"/>
      <c r="F642" s="142"/>
      <c r="G642" s="142"/>
      <c r="H642" s="142"/>
      <c r="I642" s="142"/>
      <c r="J642" s="142"/>
      <c r="K642" s="142"/>
      <c r="L642" s="142"/>
      <c r="M642" s="142"/>
      <c r="N642" s="142"/>
    </row>
    <row r="643" ht="51" customHeight="1">
      <c r="A643" s="1266"/>
      <c r="B643" t="s" s="1271">
        <v>2322</v>
      </c>
      <c r="C643" t="s" s="1271">
        <v>2323</v>
      </c>
      <c r="D643" s="1267"/>
      <c r="E643" s="142"/>
      <c r="F643" s="142"/>
      <c r="G643" s="142"/>
      <c r="H643" s="142"/>
      <c r="I643" s="142"/>
      <c r="J643" s="142"/>
      <c r="K643" s="142"/>
      <c r="L643" s="142"/>
      <c r="M643" s="142"/>
      <c r="N643" s="142"/>
    </row>
    <row r="644" ht="13.65" customHeight="1">
      <c r="A644" s="1266"/>
      <c r="B644" t="s" s="1271">
        <v>2324</v>
      </c>
      <c r="C644" t="s" s="1271">
        <v>418</v>
      </c>
      <c r="D644" s="1267"/>
      <c r="E644" s="142"/>
      <c r="F644" s="142"/>
      <c r="G644" s="142"/>
      <c r="H644" s="142"/>
      <c r="I644" s="142"/>
      <c r="J644" s="142"/>
      <c r="K644" s="142"/>
      <c r="L644" s="142"/>
      <c r="M644" s="142"/>
      <c r="N644" s="142"/>
    </row>
    <row r="645" ht="38.25" customHeight="1">
      <c r="A645" s="1266"/>
      <c r="B645" t="s" s="1271">
        <v>2325</v>
      </c>
      <c r="C645" t="s" s="1271">
        <v>419</v>
      </c>
      <c r="D645" s="1267"/>
      <c r="E645" s="142"/>
      <c r="F645" s="142"/>
      <c r="G645" s="142"/>
      <c r="H645" s="142"/>
      <c r="I645" s="142"/>
      <c r="J645" s="142"/>
      <c r="K645" s="142"/>
      <c r="L645" s="142"/>
      <c r="M645" s="142"/>
      <c r="N645" s="142"/>
    </row>
    <row r="646" ht="51" customHeight="1">
      <c r="A646" s="1266"/>
      <c r="B646" t="s" s="1271">
        <v>2326</v>
      </c>
      <c r="C646" t="s" s="1271">
        <v>420</v>
      </c>
      <c r="D646" s="1267"/>
      <c r="E646" s="142"/>
      <c r="F646" s="142"/>
      <c r="G646" s="142"/>
      <c r="H646" s="142"/>
      <c r="I646" s="142"/>
      <c r="J646" s="142"/>
      <c r="K646" s="142"/>
      <c r="L646" s="142"/>
      <c r="M646" s="142"/>
      <c r="N646" s="142"/>
    </row>
    <row r="647" ht="13.65" customHeight="1">
      <c r="A647" s="142"/>
      <c r="B647" t="s" s="1286">
        <v>2327</v>
      </c>
      <c r="C647" t="s" s="1271">
        <v>2328</v>
      </c>
      <c r="D647" s="1267"/>
      <c r="E647" s="142"/>
      <c r="F647" s="142"/>
      <c r="G647" s="142"/>
      <c r="H647" s="142"/>
      <c r="I647" s="142"/>
      <c r="J647" s="142"/>
      <c r="K647" s="142"/>
      <c r="L647" s="142"/>
      <c r="M647" s="142"/>
      <c r="N647" s="142"/>
    </row>
    <row r="648" ht="13.65" customHeight="1">
      <c r="A648" s="1266"/>
      <c r="B648" t="s" s="1271">
        <v>2329</v>
      </c>
      <c r="C648" t="s" s="1274">
        <v>444</v>
      </c>
      <c r="D648" s="1267"/>
      <c r="E648" s="142"/>
      <c r="F648" s="142"/>
      <c r="G648" s="142"/>
      <c r="H648" s="142"/>
      <c r="I648" s="142"/>
      <c r="J648" s="142"/>
      <c r="K648" s="142"/>
      <c r="L648" s="142"/>
      <c r="M648" s="142"/>
      <c r="N648" s="142"/>
    </row>
    <row r="649" ht="25.5" customHeight="1">
      <c r="A649" s="1266"/>
      <c r="B649" t="s" s="1271">
        <v>2330</v>
      </c>
      <c r="C649" t="s" s="1271">
        <v>443</v>
      </c>
      <c r="D649" s="1267"/>
      <c r="E649" s="142"/>
      <c r="F649" s="142"/>
      <c r="G649" s="142"/>
      <c r="H649" s="142"/>
      <c r="I649" s="142"/>
      <c r="J649" s="142"/>
      <c r="K649" s="142"/>
      <c r="L649" s="142"/>
      <c r="M649" s="142"/>
      <c r="N649" s="142"/>
    </row>
    <row r="650" ht="38.25" customHeight="1">
      <c r="A650" s="1266"/>
      <c r="B650" t="s" s="1271">
        <v>2331</v>
      </c>
      <c r="C650" t="s" s="1271">
        <v>416</v>
      </c>
      <c r="D650" s="1267"/>
      <c r="E650" s="142"/>
      <c r="F650" s="142"/>
      <c r="G650" s="142"/>
      <c r="H650" s="142"/>
      <c r="I650" s="142"/>
      <c r="J650" s="142"/>
      <c r="K650" s="142"/>
      <c r="L650" s="142"/>
      <c r="M650" s="142"/>
      <c r="N650" s="142"/>
    </row>
    <row r="651" ht="25.5" customHeight="1">
      <c r="A651" s="1266"/>
      <c r="B651" t="s" s="1271">
        <v>2332</v>
      </c>
      <c r="C651" t="s" s="1271">
        <v>417</v>
      </c>
      <c r="D651" s="1267"/>
      <c r="E651" s="142"/>
      <c r="F651" s="142"/>
      <c r="G651" s="142"/>
      <c r="H651" s="142"/>
      <c r="I651" s="142"/>
      <c r="J651" s="142"/>
      <c r="K651" s="142"/>
      <c r="L651" s="142"/>
      <c r="M651" s="142"/>
      <c r="N651" s="142"/>
    </row>
    <row r="652" ht="13.65" customHeight="1">
      <c r="A652" s="1266"/>
      <c r="B652" t="s" s="1271">
        <v>2333</v>
      </c>
      <c r="C652" t="s" s="1271">
        <v>445</v>
      </c>
      <c r="D652" s="1267"/>
      <c r="E652" s="142"/>
      <c r="F652" s="142"/>
      <c r="G652" s="142"/>
      <c r="H652" s="142"/>
      <c r="I652" s="142"/>
      <c r="J652" s="142"/>
      <c r="K652" s="142"/>
      <c r="L652" s="142"/>
      <c r="M652" s="142"/>
      <c r="N652" s="142"/>
    </row>
    <row r="653" ht="13.65" customHeight="1">
      <c r="A653" s="1266"/>
      <c r="B653" t="s" s="1271">
        <v>2334</v>
      </c>
      <c r="C653" t="s" s="1271">
        <v>447</v>
      </c>
      <c r="D653" s="1267"/>
      <c r="E653" s="142"/>
      <c r="F653" s="142"/>
      <c r="G653" s="142"/>
      <c r="H653" s="142"/>
      <c r="I653" s="142"/>
      <c r="J653" s="142"/>
      <c r="K653" s="142"/>
      <c r="L653" s="142"/>
      <c r="M653" s="142"/>
      <c r="N653" s="142"/>
    </row>
    <row r="654" ht="13.65" customHeight="1">
      <c r="A654" s="1266"/>
      <c r="B654" t="s" s="1271">
        <v>2335</v>
      </c>
      <c r="C654" t="s" s="1271">
        <v>448</v>
      </c>
      <c r="D654" s="1267"/>
      <c r="E654" s="142"/>
      <c r="F654" s="142"/>
      <c r="G654" s="142"/>
      <c r="H654" s="142"/>
      <c r="I654" s="142"/>
      <c r="J654" s="142"/>
      <c r="K654" s="142"/>
      <c r="L654" s="142"/>
      <c r="M654" s="142"/>
      <c r="N654" s="142"/>
    </row>
    <row r="655" ht="13.65" customHeight="1">
      <c r="A655" s="1266"/>
      <c r="B655" t="s" s="1271">
        <v>2336</v>
      </c>
      <c r="C655" t="s" s="1271">
        <v>450</v>
      </c>
      <c r="D655" s="1267"/>
      <c r="E655" s="142"/>
      <c r="F655" s="142"/>
      <c r="G655" s="142"/>
      <c r="H655" s="142"/>
      <c r="I655" s="142"/>
      <c r="J655" s="142"/>
      <c r="K655" s="142"/>
      <c r="L655" s="142"/>
      <c r="M655" s="142"/>
      <c r="N655" s="142"/>
    </row>
    <row r="656" ht="25.5" customHeight="1">
      <c r="A656" s="1266"/>
      <c r="B656" t="s" s="1271">
        <v>2337</v>
      </c>
      <c r="C656" t="s" s="1271">
        <v>451</v>
      </c>
      <c r="D656" s="1267"/>
      <c r="E656" s="142"/>
      <c r="F656" s="142"/>
      <c r="G656" s="142"/>
      <c r="H656" s="142"/>
      <c r="I656" s="142"/>
      <c r="J656" s="142"/>
      <c r="K656" s="142"/>
      <c r="L656" s="142"/>
      <c r="M656" s="142"/>
      <c r="N656" s="142"/>
    </row>
    <row r="657" ht="13.65" customHeight="1">
      <c r="A657" s="1266"/>
      <c r="B657" t="s" s="1271">
        <v>2338</v>
      </c>
      <c r="C657" t="s" s="1271">
        <v>454</v>
      </c>
      <c r="D657" s="1267"/>
      <c r="E657" s="142"/>
      <c r="F657" s="142"/>
      <c r="G657" s="142"/>
      <c r="H657" s="142"/>
      <c r="I657" s="142"/>
      <c r="J657" s="142"/>
      <c r="K657" s="142"/>
      <c r="L657" s="142"/>
      <c r="M657" s="142"/>
      <c r="N657" s="142"/>
    </row>
    <row r="658" ht="13.65" customHeight="1">
      <c r="A658" s="1266"/>
      <c r="B658" t="s" s="1271">
        <v>2339</v>
      </c>
      <c r="C658" t="s" s="1271">
        <v>455</v>
      </c>
      <c r="D658" s="1267"/>
      <c r="E658" s="142"/>
      <c r="F658" s="142"/>
      <c r="G658" s="142"/>
      <c r="H658" s="142"/>
      <c r="I658" s="142"/>
      <c r="J658" s="142"/>
      <c r="K658" s="142"/>
      <c r="L658" s="142"/>
      <c r="M658" s="142"/>
      <c r="N658" s="142"/>
    </row>
    <row r="659" ht="13.65" customHeight="1">
      <c r="A659" s="1266"/>
      <c r="B659" t="s" s="1271">
        <v>2340</v>
      </c>
      <c r="C659" t="s" s="1271">
        <v>456</v>
      </c>
      <c r="D659" s="1267"/>
      <c r="E659" s="142"/>
      <c r="F659" s="142"/>
      <c r="G659" s="142"/>
      <c r="H659" s="142"/>
      <c r="I659" s="142"/>
      <c r="J659" s="142"/>
      <c r="K659" s="142"/>
      <c r="L659" s="142"/>
      <c r="M659" s="142"/>
      <c r="N659" s="142"/>
    </row>
    <row r="660" ht="25.5" customHeight="1">
      <c r="A660" s="1266"/>
      <c r="B660" t="s" s="1271">
        <v>2341</v>
      </c>
      <c r="C660" t="s" s="1271">
        <v>462</v>
      </c>
      <c r="D660" s="1267"/>
      <c r="E660" s="142"/>
      <c r="F660" s="142"/>
      <c r="G660" s="142"/>
      <c r="H660" s="142"/>
      <c r="I660" s="142"/>
      <c r="J660" s="142"/>
      <c r="K660" s="142"/>
      <c r="L660" s="142"/>
      <c r="M660" s="142"/>
      <c r="N660" s="142"/>
    </row>
    <row r="661" ht="13.65" customHeight="1">
      <c r="A661" s="1266"/>
      <c r="B661" t="s" s="1271">
        <v>2342</v>
      </c>
      <c r="C661" t="s" s="1271">
        <v>463</v>
      </c>
      <c r="D661" s="1267"/>
      <c r="E661" s="142"/>
      <c r="F661" s="142"/>
      <c r="G661" s="142"/>
      <c r="H661" s="142"/>
      <c r="I661" s="142"/>
      <c r="J661" s="142"/>
      <c r="K661" s="142"/>
      <c r="L661" s="142"/>
      <c r="M661" s="142"/>
      <c r="N661" s="142"/>
    </row>
    <row r="662" ht="13.65" customHeight="1">
      <c r="A662" s="1266"/>
      <c r="B662" t="s" s="1271">
        <v>2343</v>
      </c>
      <c r="C662" t="s" s="1271">
        <v>465</v>
      </c>
      <c r="D662" s="1267"/>
      <c r="E662" s="142"/>
      <c r="F662" s="142"/>
      <c r="G662" s="142"/>
      <c r="H662" s="142"/>
      <c r="I662" s="142"/>
      <c r="J662" s="142"/>
      <c r="K662" s="142"/>
      <c r="L662" s="142"/>
      <c r="M662" s="142"/>
      <c r="N662" s="142"/>
    </row>
    <row r="663" ht="13.65" customHeight="1">
      <c r="A663" s="1266"/>
      <c r="B663" t="s" s="1271">
        <v>2344</v>
      </c>
      <c r="C663" t="s" s="1271">
        <v>506</v>
      </c>
      <c r="D663" s="1267"/>
      <c r="E663" s="142"/>
      <c r="F663" s="142"/>
      <c r="G663" s="142"/>
      <c r="H663" s="142"/>
      <c r="I663" s="142"/>
      <c r="J663" s="142"/>
      <c r="K663" s="142"/>
      <c r="L663" s="142"/>
      <c r="M663" s="142"/>
      <c r="N663" s="142"/>
    </row>
    <row r="664" ht="13.65" customHeight="1">
      <c r="A664" s="1266"/>
      <c r="B664" t="s" s="1271">
        <v>2345</v>
      </c>
      <c r="C664" t="s" s="1271">
        <v>538</v>
      </c>
      <c r="D664" s="1267"/>
      <c r="E664" s="142"/>
      <c r="F664" s="142"/>
      <c r="G664" s="142"/>
      <c r="H664" s="142"/>
      <c r="I664" s="142"/>
      <c r="J664" s="142"/>
      <c r="K664" s="142"/>
      <c r="L664" s="142"/>
      <c r="M664" s="142"/>
      <c r="N664" s="142"/>
    </row>
    <row r="665" ht="13.65" customHeight="1">
      <c r="A665" s="1266"/>
      <c r="B665" t="s" s="1271">
        <v>2346</v>
      </c>
      <c r="C665" t="s" s="1271">
        <v>557</v>
      </c>
      <c r="D665" s="1267"/>
      <c r="E665" s="142"/>
      <c r="F665" s="142"/>
      <c r="G665" s="142"/>
      <c r="H665" s="142"/>
      <c r="I665" s="142"/>
      <c r="J665" s="142"/>
      <c r="K665" s="142"/>
      <c r="L665" s="142"/>
      <c r="M665" s="142"/>
      <c r="N665" s="142"/>
    </row>
    <row r="666" ht="13.65" customHeight="1">
      <c r="A666" s="1266"/>
      <c r="B666" t="s" s="1271">
        <v>2347</v>
      </c>
      <c r="C666" t="s" s="1271">
        <v>810</v>
      </c>
      <c r="D666" s="1267"/>
      <c r="E666" s="142"/>
      <c r="F666" s="142"/>
      <c r="G666" s="142"/>
      <c r="H666" s="142"/>
      <c r="I666" s="142"/>
      <c r="J666" s="142"/>
      <c r="K666" s="142"/>
      <c r="L666" s="142"/>
      <c r="M666" s="142"/>
      <c r="N666" s="142"/>
    </row>
    <row r="667" ht="13.65" customHeight="1">
      <c r="A667" s="1266"/>
      <c r="B667" t="s" s="1271">
        <v>2348</v>
      </c>
      <c r="C667" t="s" s="1271">
        <v>902</v>
      </c>
      <c r="D667" s="1267"/>
      <c r="E667" s="142"/>
      <c r="F667" s="142"/>
      <c r="G667" s="142"/>
      <c r="H667" s="142"/>
      <c r="I667" s="142"/>
      <c r="J667" s="142"/>
      <c r="K667" s="142"/>
      <c r="L667" s="142"/>
      <c r="M667" s="142"/>
      <c r="N667" s="142"/>
    </row>
    <row r="668" ht="13.65" customHeight="1">
      <c r="A668" s="1266"/>
      <c r="B668" t="s" s="1271">
        <v>2349</v>
      </c>
      <c r="C668" t="s" s="1271">
        <v>912</v>
      </c>
      <c r="D668" s="1267"/>
      <c r="E668" s="142"/>
      <c r="F668" s="142"/>
      <c r="G668" s="142"/>
      <c r="H668" s="142"/>
      <c r="I668" s="142"/>
      <c r="J668" s="142"/>
      <c r="K668" s="142"/>
      <c r="L668" s="142"/>
      <c r="M668" s="142"/>
      <c r="N668" s="142"/>
    </row>
    <row r="669" ht="13.65" customHeight="1">
      <c r="A669" s="1266"/>
      <c r="B669" t="s" s="1271">
        <v>2350</v>
      </c>
      <c r="C669" t="s" s="1271">
        <v>932</v>
      </c>
      <c r="D669" s="1267"/>
      <c r="E669" s="142"/>
      <c r="F669" s="142"/>
      <c r="G669" s="142"/>
      <c r="H669" s="142"/>
      <c r="I669" s="142"/>
      <c r="J669" s="142"/>
      <c r="K669" s="142"/>
      <c r="L669" s="142"/>
      <c r="M669" s="142"/>
      <c r="N669" s="142"/>
    </row>
    <row r="670" ht="13.65" customHeight="1">
      <c r="A670" s="1266"/>
      <c r="B670" t="s" s="1271">
        <v>2351</v>
      </c>
      <c r="C670" t="s" s="1271">
        <v>2352</v>
      </c>
      <c r="D670" s="1267"/>
      <c r="E670" s="142"/>
      <c r="F670" s="142"/>
      <c r="G670" s="142"/>
      <c r="H670" s="142"/>
      <c r="I670" s="142"/>
      <c r="J670" s="142"/>
      <c r="K670" s="142"/>
      <c r="L670" s="142"/>
      <c r="M670" s="142"/>
      <c r="N670" s="142"/>
    </row>
    <row r="671" ht="13.65" customHeight="1">
      <c r="A671" s="1266"/>
      <c r="B671" t="s" s="1271">
        <v>2353</v>
      </c>
      <c r="C671" t="s" s="1271">
        <v>2354</v>
      </c>
      <c r="D671" s="1267"/>
      <c r="E671" s="142"/>
      <c r="F671" s="142"/>
      <c r="G671" s="142"/>
      <c r="H671" s="142"/>
      <c r="I671" s="142"/>
      <c r="J671" s="142"/>
      <c r="K671" s="142"/>
      <c r="L671" s="142"/>
      <c r="M671" s="142"/>
      <c r="N671" s="142"/>
    </row>
    <row r="672" ht="13.65" customHeight="1">
      <c r="A672" s="1266"/>
      <c r="B672" t="s" s="1271">
        <v>2355</v>
      </c>
      <c r="C672" t="s" s="1271">
        <v>2356</v>
      </c>
      <c r="D672" s="1267"/>
      <c r="E672" s="142"/>
      <c r="F672" s="142"/>
      <c r="G672" s="142"/>
      <c r="H672" s="142"/>
      <c r="I672" s="142"/>
      <c r="J672" s="142"/>
      <c r="K672" s="142"/>
      <c r="L672" s="142"/>
      <c r="M672" s="142"/>
      <c r="N672" s="142"/>
    </row>
    <row r="673" ht="25.5" customHeight="1">
      <c r="A673" s="1266"/>
      <c r="B673" t="s" s="1271">
        <v>2357</v>
      </c>
      <c r="C673" t="s" s="1271">
        <v>597</v>
      </c>
      <c r="D673" s="1267"/>
      <c r="E673" s="142"/>
      <c r="F673" s="142"/>
      <c r="G673" s="142"/>
      <c r="H673" s="142"/>
      <c r="I673" s="142"/>
      <c r="J673" s="142"/>
      <c r="K673" s="142"/>
      <c r="L673" s="142"/>
      <c r="M673" s="142"/>
      <c r="N673" s="142"/>
    </row>
    <row r="674" ht="38.25" customHeight="1">
      <c r="A674" s="1266"/>
      <c r="B674" t="s" s="1271">
        <v>2358</v>
      </c>
      <c r="C674" t="s" s="1271">
        <v>2359</v>
      </c>
      <c r="D674" s="1267"/>
      <c r="E674" s="142"/>
      <c r="F674" s="142"/>
      <c r="G674" s="142"/>
      <c r="H674" s="142"/>
      <c r="I674" s="142"/>
      <c r="J674" s="142"/>
      <c r="K674" s="142"/>
      <c r="L674" s="142"/>
      <c r="M674" s="142"/>
      <c r="N674" s="142"/>
    </row>
    <row r="675" ht="38.25" customHeight="1">
      <c r="A675" s="1266"/>
      <c r="B675" t="s" s="1271">
        <v>2360</v>
      </c>
      <c r="C675" t="s" s="1271">
        <v>611</v>
      </c>
      <c r="D675" s="1267"/>
      <c r="E675" s="142"/>
      <c r="F675" s="142"/>
      <c r="G675" s="142"/>
      <c r="H675" s="142"/>
      <c r="I675" s="142"/>
      <c r="J675" s="142"/>
      <c r="K675" s="142"/>
      <c r="L675" s="142"/>
      <c r="M675" s="142"/>
      <c r="N675" s="142"/>
    </row>
    <row r="676" ht="25.5" customHeight="1">
      <c r="A676" s="1266"/>
      <c r="B676" t="s" s="1271">
        <v>2361</v>
      </c>
      <c r="C676" t="s" s="1271">
        <v>609</v>
      </c>
      <c r="D676" s="1267"/>
      <c r="E676" s="142"/>
      <c r="F676" s="142"/>
      <c r="G676" s="142"/>
      <c r="H676" s="142"/>
      <c r="I676" s="142"/>
      <c r="J676" s="142"/>
      <c r="K676" s="142"/>
      <c r="L676" s="142"/>
      <c r="M676" s="142"/>
      <c r="N676" s="142"/>
    </row>
    <row r="677" ht="13.65" customHeight="1">
      <c r="A677" s="1266"/>
      <c r="B677" t="s" s="1271">
        <v>2362</v>
      </c>
      <c r="C677" t="s" s="1271">
        <v>801</v>
      </c>
      <c r="D677" s="1267"/>
      <c r="E677" s="142"/>
      <c r="F677" s="142"/>
      <c r="G677" s="142"/>
      <c r="H677" s="142"/>
      <c r="I677" s="142"/>
      <c r="J677" s="142"/>
      <c r="K677" s="142"/>
      <c r="L677" s="142"/>
      <c r="M677" s="142"/>
      <c r="N677" s="142"/>
    </row>
    <row r="678" ht="25.5" customHeight="1">
      <c r="A678" s="1266"/>
      <c r="B678" t="s" s="1271">
        <v>2363</v>
      </c>
      <c r="C678" t="s" s="1271">
        <v>802</v>
      </c>
      <c r="D678" s="1267"/>
      <c r="E678" s="142"/>
      <c r="F678" s="142"/>
      <c r="G678" s="142"/>
      <c r="H678" s="142"/>
      <c r="I678" s="142"/>
      <c r="J678" s="142"/>
      <c r="K678" s="142"/>
      <c r="L678" s="142"/>
      <c r="M678" s="142"/>
      <c r="N678" s="142"/>
    </row>
    <row r="679" ht="51" customHeight="1">
      <c r="A679" s="1266"/>
      <c r="B679" t="s" s="1274">
        <v>2364</v>
      </c>
      <c r="C679" t="s" s="1271">
        <v>803</v>
      </c>
      <c r="D679" s="1267"/>
      <c r="E679" s="142"/>
      <c r="F679" s="142"/>
      <c r="G679" s="142"/>
      <c r="H679" s="142"/>
      <c r="I679" s="142"/>
      <c r="J679" s="142"/>
      <c r="K679" s="142"/>
      <c r="L679" s="142"/>
      <c r="M679" s="142"/>
      <c r="N679" s="142"/>
    </row>
    <row r="680" ht="13.65" customHeight="1">
      <c r="A680" s="1266"/>
      <c r="B680" t="s" s="1271">
        <v>2365</v>
      </c>
      <c r="C680" t="s" s="1271">
        <v>804</v>
      </c>
      <c r="D680" s="1267"/>
      <c r="E680" s="142"/>
      <c r="F680" s="142"/>
      <c r="G680" s="142"/>
      <c r="H680" s="142"/>
      <c r="I680" s="142"/>
      <c r="J680" s="142"/>
      <c r="K680" s="142"/>
      <c r="L680" s="142"/>
      <c r="M680" s="142"/>
      <c r="N680" s="142"/>
    </row>
    <row r="681" ht="13.65" customHeight="1">
      <c r="A681" s="1266"/>
      <c r="B681" t="s" s="1271">
        <v>2366</v>
      </c>
      <c r="C681" t="s" s="1271">
        <v>807</v>
      </c>
      <c r="D681" s="1267"/>
      <c r="E681" s="142"/>
      <c r="F681" s="142"/>
      <c r="G681" s="142"/>
      <c r="H681" s="142"/>
      <c r="I681" s="142"/>
      <c r="J681" s="142"/>
      <c r="K681" s="142"/>
      <c r="L681" s="142"/>
      <c r="M681" s="142"/>
      <c r="N681" s="142"/>
    </row>
    <row r="682" ht="25.5" customHeight="1">
      <c r="A682" s="1266"/>
      <c r="B682" t="s" s="1271">
        <v>2367</v>
      </c>
      <c r="C682" t="s" s="1271">
        <v>2368</v>
      </c>
      <c r="D682" s="1267"/>
      <c r="E682" s="142"/>
      <c r="F682" s="142"/>
      <c r="G682" s="142"/>
      <c r="H682" s="142"/>
      <c r="I682" s="142"/>
      <c r="J682" s="142"/>
      <c r="K682" s="142"/>
      <c r="L682" s="142"/>
      <c r="M682" s="142"/>
      <c r="N682" s="142"/>
    </row>
    <row r="683" ht="13.65" customHeight="1">
      <c r="A683" s="1266"/>
      <c r="B683" t="s" s="1271">
        <v>2369</v>
      </c>
      <c r="C683" t="s" s="1271">
        <v>808</v>
      </c>
      <c r="D683" s="1267"/>
      <c r="E683" s="142"/>
      <c r="F683" s="142"/>
      <c r="G683" s="142"/>
      <c r="H683" s="142"/>
      <c r="I683" s="142"/>
      <c r="J683" s="142"/>
      <c r="K683" s="142"/>
      <c r="L683" s="142"/>
      <c r="M683" s="142"/>
      <c r="N683" s="142"/>
    </row>
    <row r="684" ht="38.25" customHeight="1">
      <c r="A684" s="1266"/>
      <c r="B684" t="s" s="1271">
        <v>2370</v>
      </c>
      <c r="C684" t="s" s="1271">
        <v>918</v>
      </c>
      <c r="D684" t="s" s="1284">
        <v>2371</v>
      </c>
      <c r="E684" s="142"/>
      <c r="F684" s="142"/>
      <c r="G684" s="142"/>
      <c r="H684" s="142"/>
      <c r="I684" s="142"/>
      <c r="J684" s="142"/>
      <c r="K684" s="142"/>
      <c r="L684" s="142"/>
      <c r="M684" s="142"/>
      <c r="N684" s="142"/>
    </row>
    <row r="685" ht="13.65" customHeight="1">
      <c r="A685" s="1266"/>
      <c r="B685" t="s" s="1271">
        <v>2372</v>
      </c>
      <c r="C685" t="s" s="1271">
        <v>2373</v>
      </c>
      <c r="D685" s="1267"/>
      <c r="E685" s="142"/>
      <c r="F685" s="142"/>
      <c r="G685" s="142"/>
      <c r="H685" s="142"/>
      <c r="I685" s="142"/>
      <c r="J685" s="142"/>
      <c r="K685" s="142"/>
      <c r="L685" s="142"/>
      <c r="M685" s="142"/>
      <c r="N685" s="142"/>
    </row>
    <row r="686" ht="13.65" customHeight="1">
      <c r="A686" s="1266"/>
      <c r="B686" t="s" s="1271">
        <v>2374</v>
      </c>
      <c r="C686" t="s" s="1271">
        <v>2375</v>
      </c>
      <c r="D686" s="1267"/>
      <c r="E686" s="142"/>
      <c r="F686" s="142"/>
      <c r="G686" s="142"/>
      <c r="H686" s="142"/>
      <c r="I686" s="142"/>
      <c r="J686" s="142"/>
      <c r="K686" s="142"/>
      <c r="L686" s="142"/>
      <c r="M686" s="142"/>
      <c r="N686" s="142"/>
    </row>
    <row r="687" ht="13.65" customHeight="1">
      <c r="A687" s="1266"/>
      <c r="B687" t="s" s="1271">
        <v>2376</v>
      </c>
      <c r="C687" t="s" s="1271">
        <v>2377</v>
      </c>
      <c r="D687" s="1267"/>
      <c r="E687" s="142"/>
      <c r="F687" s="142"/>
      <c r="G687" s="142"/>
      <c r="H687" s="142"/>
      <c r="I687" s="142"/>
      <c r="J687" s="142"/>
      <c r="K687" s="142"/>
      <c r="L687" s="142"/>
      <c r="M687" s="142"/>
      <c r="N687" s="142"/>
    </row>
    <row r="688" ht="13.65" customHeight="1">
      <c r="A688" s="1266"/>
      <c r="B688" t="s" s="1271">
        <v>2378</v>
      </c>
      <c r="C688" t="s" s="1271">
        <v>2379</v>
      </c>
      <c r="D688" s="1267"/>
      <c r="E688" s="142"/>
      <c r="F688" s="142"/>
      <c r="G688" s="142"/>
      <c r="H688" s="142"/>
      <c r="I688" s="142"/>
      <c r="J688" s="142"/>
      <c r="K688" s="142"/>
      <c r="L688" s="142"/>
      <c r="M688" s="142"/>
      <c r="N688" s="142"/>
    </row>
    <row r="689" ht="13.65" customHeight="1">
      <c r="A689" s="1266"/>
      <c r="B689" t="s" s="1271">
        <v>2369</v>
      </c>
      <c r="C689" t="s" s="1271">
        <v>746</v>
      </c>
      <c r="D689" s="1267"/>
      <c r="E689" s="142"/>
      <c r="F689" s="142"/>
      <c r="G689" s="142"/>
      <c r="H689" s="142"/>
      <c r="I689" s="142"/>
      <c r="J689" s="142"/>
      <c r="K689" s="142"/>
      <c r="L689" s="142"/>
      <c r="M689" s="142"/>
      <c r="N689" s="142"/>
    </row>
    <row r="690" ht="89.25" customHeight="1">
      <c r="A690" s="1266"/>
      <c r="B690" t="s" s="1274">
        <v>2380</v>
      </c>
      <c r="C690" t="s" s="1271">
        <v>2381</v>
      </c>
      <c r="D690" s="1267"/>
      <c r="E690" s="142"/>
      <c r="F690" s="142"/>
      <c r="G690" s="142"/>
      <c r="H690" s="142"/>
      <c r="I690" s="142"/>
      <c r="J690" s="142"/>
      <c r="K690" s="142"/>
      <c r="L690" s="142"/>
      <c r="M690" s="142"/>
      <c r="N690" s="142"/>
    </row>
    <row r="691" ht="63.75" customHeight="1">
      <c r="A691" s="1266"/>
      <c r="B691" t="s" s="1274">
        <v>2382</v>
      </c>
      <c r="C691" t="s" s="1271">
        <v>904</v>
      </c>
      <c r="D691" s="1267"/>
      <c r="E691" s="142"/>
      <c r="F691" s="142"/>
      <c r="G691" s="142"/>
      <c r="H691" s="142"/>
      <c r="I691" s="142"/>
      <c r="J691" s="142"/>
      <c r="K691" s="142"/>
      <c r="L691" s="142"/>
      <c r="M691" s="142"/>
      <c r="N691" s="142"/>
    </row>
    <row r="692" ht="13.65" customHeight="1">
      <c r="A692" s="1266"/>
      <c r="B692" t="s" s="1271">
        <v>2383</v>
      </c>
      <c r="C692" t="s" s="1271">
        <v>929</v>
      </c>
      <c r="D692" s="1267"/>
      <c r="E692" s="142"/>
      <c r="F692" s="142"/>
      <c r="G692" s="142"/>
      <c r="H692" s="142"/>
      <c r="I692" s="142"/>
      <c r="J692" s="142"/>
      <c r="K692" s="142"/>
      <c r="L692" s="142"/>
      <c r="M692" s="142"/>
      <c r="N692" s="142"/>
    </row>
    <row r="693" ht="13.65" customHeight="1">
      <c r="A693" s="1266"/>
      <c r="B693" t="s" s="1271">
        <v>2384</v>
      </c>
      <c r="C693" t="s" s="1271">
        <v>931</v>
      </c>
      <c r="D693" s="1267"/>
      <c r="E693" s="142"/>
      <c r="F693" s="142"/>
      <c r="G693" s="142"/>
      <c r="H693" s="142"/>
      <c r="I693" s="142"/>
      <c r="J693" s="142"/>
      <c r="K693" s="142"/>
      <c r="L693" s="142"/>
      <c r="M693" s="142"/>
      <c r="N693" s="142"/>
    </row>
    <row r="694" ht="13.65" customHeight="1">
      <c r="A694" s="1266"/>
      <c r="B694" t="s" s="1271">
        <v>2385</v>
      </c>
      <c r="C694" t="s" s="1271">
        <v>2386</v>
      </c>
      <c r="D694" s="1267"/>
      <c r="E694" s="142"/>
      <c r="F694" s="142"/>
      <c r="G694" s="142"/>
      <c r="H694" s="142"/>
      <c r="I694" s="142"/>
      <c r="J694" s="142"/>
      <c r="K694" s="142"/>
      <c r="L694" s="142"/>
      <c r="M694" s="142"/>
      <c r="N694" s="142"/>
    </row>
    <row r="695" ht="13.65" customHeight="1">
      <c r="A695" s="1266"/>
      <c r="B695" t="s" s="1271">
        <v>2387</v>
      </c>
      <c r="C695" t="s" s="1271">
        <v>843</v>
      </c>
      <c r="D695" s="1267"/>
      <c r="E695" s="142"/>
      <c r="F695" s="142"/>
      <c r="G695" s="142"/>
      <c r="H695" s="142"/>
      <c r="I695" s="142"/>
      <c r="J695" s="142"/>
      <c r="K695" s="142"/>
      <c r="L695" s="142"/>
      <c r="M695" s="142"/>
      <c r="N695" s="142"/>
    </row>
    <row r="696" ht="13.65" customHeight="1">
      <c r="A696" s="1266"/>
      <c r="B696" t="s" s="1271">
        <v>1823</v>
      </c>
      <c r="C696" t="s" s="1271">
        <v>2388</v>
      </c>
      <c r="D696" s="1267"/>
      <c r="E696" s="142"/>
      <c r="F696" s="142"/>
      <c r="G696" s="142"/>
      <c r="H696" s="142"/>
      <c r="I696" s="142"/>
      <c r="J696" s="142"/>
      <c r="K696" s="142"/>
      <c r="L696" s="142"/>
      <c r="M696" s="142"/>
      <c r="N696" s="142"/>
    </row>
    <row r="697" ht="38.25" customHeight="1">
      <c r="A697" s="1266"/>
      <c r="B697" t="s" s="1271">
        <v>2389</v>
      </c>
      <c r="C697" t="s" s="1271">
        <v>421</v>
      </c>
      <c r="D697" s="1267"/>
      <c r="E697" s="142"/>
      <c r="F697" s="142"/>
      <c r="G697" s="142"/>
      <c r="H697" s="142"/>
      <c r="I697" s="142"/>
      <c r="J697" s="142"/>
      <c r="K697" s="142"/>
      <c r="L697" s="142"/>
      <c r="M697" s="142"/>
      <c r="N697" s="142"/>
    </row>
    <row r="698" ht="13.65" customHeight="1">
      <c r="A698" s="1266"/>
      <c r="B698" t="s" s="1271">
        <v>2390</v>
      </c>
      <c r="C698" t="s" s="1271">
        <v>457</v>
      </c>
      <c r="D698" s="1267"/>
      <c r="E698" s="142"/>
      <c r="F698" s="142"/>
      <c r="G698" s="142"/>
      <c r="H698" s="142"/>
      <c r="I698" s="142"/>
      <c r="J698" s="142"/>
      <c r="K698" s="142"/>
      <c r="L698" s="142"/>
      <c r="M698" s="142"/>
      <c r="N698" s="142"/>
    </row>
    <row r="699" ht="13.65" customHeight="1">
      <c r="A699" s="1266"/>
      <c r="B699" t="s" s="1271">
        <v>2391</v>
      </c>
      <c r="C699" t="s" s="1271">
        <v>459</v>
      </c>
      <c r="D699" s="1267"/>
      <c r="E699" s="142"/>
      <c r="F699" s="142"/>
      <c r="G699" s="142"/>
      <c r="H699" s="142"/>
      <c r="I699" s="142"/>
      <c r="J699" s="142"/>
      <c r="K699" s="142"/>
      <c r="L699" s="142"/>
      <c r="M699" s="142"/>
      <c r="N699" s="142"/>
    </row>
    <row r="700" ht="23.25" customHeight="1">
      <c r="A700" s="1266"/>
      <c r="B700" t="s" s="1274">
        <v>2392</v>
      </c>
      <c r="C700" t="s" s="1274">
        <v>461</v>
      </c>
      <c r="D700" s="1267"/>
      <c r="E700" s="142"/>
      <c r="F700" s="142"/>
      <c r="G700" s="142"/>
      <c r="H700" s="142"/>
      <c r="I700" s="142"/>
      <c r="J700" s="142"/>
      <c r="K700" s="142"/>
      <c r="L700" s="142"/>
      <c r="M700" s="142"/>
      <c r="N700" s="142"/>
    </row>
    <row r="701" ht="13.65" customHeight="1">
      <c r="A701" s="1266"/>
      <c r="B701" t="s" s="1271">
        <v>2393</v>
      </c>
      <c r="C701" t="s" s="1271">
        <v>458</v>
      </c>
      <c r="D701" s="1267"/>
      <c r="E701" s="142"/>
      <c r="F701" s="142"/>
      <c r="G701" s="142"/>
      <c r="H701" s="142"/>
      <c r="I701" s="142"/>
      <c r="J701" s="142"/>
      <c r="K701" s="142"/>
      <c r="L701" s="142"/>
      <c r="M701" s="142"/>
      <c r="N701" s="142"/>
    </row>
    <row r="702" ht="13.65" customHeight="1">
      <c r="A702" s="1266"/>
      <c r="B702" t="s" s="1271">
        <v>2394</v>
      </c>
      <c r="C702" t="s" s="1271">
        <v>460</v>
      </c>
      <c r="D702" s="1267"/>
      <c r="E702" s="142"/>
      <c r="F702" s="142"/>
      <c r="G702" s="142"/>
      <c r="H702" s="142"/>
      <c r="I702" s="142"/>
      <c r="J702" s="142"/>
      <c r="K702" s="142"/>
      <c r="L702" s="142"/>
      <c r="M702" s="142"/>
      <c r="N702" s="142"/>
    </row>
    <row r="703" ht="13.65" customHeight="1">
      <c r="A703" s="1266"/>
      <c r="B703" t="s" s="1271">
        <v>2395</v>
      </c>
      <c r="C703" t="s" s="1271">
        <v>581</v>
      </c>
      <c r="D703" s="1267"/>
      <c r="E703" s="142"/>
      <c r="F703" s="142"/>
      <c r="G703" s="142"/>
      <c r="H703" s="142"/>
      <c r="I703" s="142"/>
      <c r="J703" s="142"/>
      <c r="K703" s="142"/>
      <c r="L703" s="142"/>
      <c r="M703" s="142"/>
      <c r="N703" s="142"/>
    </row>
    <row r="704" ht="13.65" customHeight="1">
      <c r="A704" s="1266"/>
      <c r="B704" t="s" s="1271">
        <v>2396</v>
      </c>
      <c r="C704" t="s" s="1271">
        <v>570</v>
      </c>
      <c r="D704" s="1267"/>
      <c r="E704" s="142"/>
      <c r="F704" s="142"/>
      <c r="G704" s="142"/>
      <c r="H704" s="142"/>
      <c r="I704" s="142"/>
      <c r="J704" s="142"/>
      <c r="K704" s="142"/>
      <c r="L704" s="142"/>
      <c r="M704" s="142"/>
      <c r="N704" s="142"/>
    </row>
    <row r="705" ht="25.5" customHeight="1">
      <c r="A705" s="1266"/>
      <c r="B705" t="s" s="1271">
        <v>2397</v>
      </c>
      <c r="C705" t="s" s="1271">
        <v>2398</v>
      </c>
      <c r="D705" s="1267"/>
      <c r="E705" s="142"/>
      <c r="F705" s="142"/>
      <c r="G705" s="142"/>
      <c r="H705" s="142"/>
      <c r="I705" s="142"/>
      <c r="J705" s="142"/>
      <c r="K705" s="142"/>
      <c r="L705" s="142"/>
      <c r="M705" s="142"/>
      <c r="N705" s="142"/>
    </row>
    <row r="706" ht="13.65" customHeight="1">
      <c r="A706" s="1266"/>
      <c r="B706" t="s" s="1271">
        <v>2399</v>
      </c>
      <c r="C706" t="s" s="1271">
        <v>2400</v>
      </c>
      <c r="D706" s="1267"/>
      <c r="E706" s="142"/>
      <c r="F706" s="142"/>
      <c r="G706" s="142"/>
      <c r="H706" s="142"/>
      <c r="I706" s="142"/>
      <c r="J706" s="142"/>
      <c r="K706" s="142"/>
      <c r="L706" s="142"/>
      <c r="M706" s="142"/>
      <c r="N706" s="142"/>
    </row>
    <row r="707" ht="13.65" customHeight="1">
      <c r="A707" s="1266"/>
      <c r="B707" t="s" s="1271">
        <v>2401</v>
      </c>
      <c r="C707" t="s" s="1271">
        <v>2402</v>
      </c>
      <c r="D707" s="1267"/>
      <c r="E707" s="142"/>
      <c r="F707" s="142"/>
      <c r="G707" s="142"/>
      <c r="H707" s="142"/>
      <c r="I707" s="142"/>
      <c r="J707" s="142"/>
      <c r="K707" s="142"/>
      <c r="L707" s="142"/>
      <c r="M707" s="142"/>
      <c r="N707" s="142"/>
    </row>
    <row r="708" ht="13.65" customHeight="1">
      <c r="A708" s="1266"/>
      <c r="B708" t="s" s="1271">
        <v>2403</v>
      </c>
      <c r="C708" t="s" s="1271">
        <v>2404</v>
      </c>
      <c r="D708" s="1267"/>
      <c r="E708" s="142"/>
      <c r="F708" s="142"/>
      <c r="G708" s="142"/>
      <c r="H708" s="142"/>
      <c r="I708" s="142"/>
      <c r="J708" s="142"/>
      <c r="K708" s="142"/>
      <c r="L708" s="142"/>
      <c r="M708" s="142"/>
      <c r="N708" s="142"/>
    </row>
    <row r="709" ht="13.65" customHeight="1">
      <c r="A709" s="1266"/>
      <c r="B709" t="s" s="1271">
        <v>2405</v>
      </c>
      <c r="C709" t="s" s="1271">
        <v>697</v>
      </c>
      <c r="D709" s="1267"/>
      <c r="E709" s="142"/>
      <c r="F709" s="142"/>
      <c r="G709" s="142"/>
      <c r="H709" s="142"/>
      <c r="I709" s="142"/>
      <c r="J709" s="142"/>
      <c r="K709" s="142"/>
      <c r="L709" s="142"/>
      <c r="M709" s="142"/>
      <c r="N709" s="142"/>
    </row>
    <row r="710" ht="13.65" customHeight="1">
      <c r="A710" s="1266"/>
      <c r="B710" t="s" s="1271">
        <v>2406</v>
      </c>
      <c r="C710" t="s" s="1271">
        <v>906</v>
      </c>
      <c r="D710" s="1267"/>
      <c r="E710" s="142"/>
      <c r="F710" s="142"/>
      <c r="G710" s="142"/>
      <c r="H710" s="142"/>
      <c r="I710" s="142"/>
      <c r="J710" s="142"/>
      <c r="K710" s="142"/>
      <c r="L710" s="142"/>
      <c r="M710" s="142"/>
      <c r="N710" s="142"/>
    </row>
    <row r="711" ht="38.25" customHeight="1">
      <c r="A711" s="1266"/>
      <c r="B711" t="s" s="1271">
        <v>2407</v>
      </c>
      <c r="C711" t="s" s="1271">
        <v>907</v>
      </c>
      <c r="D711" s="1267"/>
      <c r="E711" s="142"/>
      <c r="F711" s="142"/>
      <c r="G711" s="142"/>
      <c r="H711" s="142"/>
      <c r="I711" s="142"/>
      <c r="J711" s="142"/>
      <c r="K711" s="142"/>
      <c r="L711" s="142"/>
      <c r="M711" s="142"/>
      <c r="N711" s="142"/>
    </row>
    <row r="712" ht="25.5" customHeight="1">
      <c r="A712" s="1266"/>
      <c r="B712" t="s" s="1271">
        <v>2408</v>
      </c>
      <c r="C712" t="s" s="1271">
        <v>909</v>
      </c>
      <c r="D712" s="1267"/>
      <c r="E712" s="142"/>
      <c r="F712" s="142"/>
      <c r="G712" s="142"/>
      <c r="H712" s="142"/>
      <c r="I712" s="142"/>
      <c r="J712" s="142"/>
      <c r="K712" s="142"/>
      <c r="L712" s="142"/>
      <c r="M712" s="142"/>
      <c r="N712" s="142"/>
    </row>
    <row r="713" ht="25.5" customHeight="1">
      <c r="A713" s="1266"/>
      <c r="B713" t="s" s="1271">
        <v>2409</v>
      </c>
      <c r="C713" t="s" s="1271">
        <v>921</v>
      </c>
      <c r="D713" s="1267"/>
      <c r="E713" s="142"/>
      <c r="F713" s="142"/>
      <c r="G713" s="142"/>
      <c r="H713" s="142"/>
      <c r="I713" s="142"/>
      <c r="J713" s="142"/>
      <c r="K713" s="142"/>
      <c r="L713" s="142"/>
      <c r="M713" s="142"/>
      <c r="N713" s="142"/>
    </row>
    <row r="714" ht="13.65" customHeight="1">
      <c r="A714" s="1266"/>
      <c r="B714" t="s" s="1271">
        <v>2410</v>
      </c>
      <c r="C714" t="s" s="1271">
        <v>2411</v>
      </c>
      <c r="D714" s="1267"/>
      <c r="E714" s="142"/>
      <c r="F714" s="142"/>
      <c r="G714" s="142"/>
      <c r="H714" s="142"/>
      <c r="I714" s="142"/>
      <c r="J714" s="142"/>
      <c r="K714" s="142"/>
      <c r="L714" s="142"/>
      <c r="M714" s="142"/>
      <c r="N714" s="142"/>
    </row>
    <row r="715" ht="13.65" customHeight="1">
      <c r="A715" s="1266"/>
      <c r="B715" t="s" s="1271">
        <v>2412</v>
      </c>
      <c r="C715" t="s" s="1271">
        <v>2413</v>
      </c>
      <c r="D715" s="1267"/>
      <c r="E715" s="142"/>
      <c r="F715" s="142"/>
      <c r="G715" s="142"/>
      <c r="H715" s="142"/>
      <c r="I715" s="142"/>
      <c r="J715" s="142"/>
      <c r="K715" s="142"/>
      <c r="L715" s="142"/>
      <c r="M715" s="142"/>
      <c r="N715" s="142"/>
    </row>
    <row r="716" ht="13.65" customHeight="1">
      <c r="A716" s="142"/>
      <c r="B716" s="1287"/>
      <c r="C716" s="1287"/>
      <c r="D716" s="142"/>
      <c r="E716" s="142"/>
      <c r="F716" s="142"/>
      <c r="G716" s="142"/>
      <c r="H716" s="142"/>
      <c r="I716" s="142"/>
      <c r="J716" s="142"/>
      <c r="K716" s="142"/>
      <c r="L716" s="142"/>
      <c r="M716" s="142"/>
      <c r="N716" s="142"/>
    </row>
    <row r="717" ht="13.65" customHeight="1">
      <c r="A717" s="142"/>
      <c r="B717" s="1278"/>
      <c r="C717" s="1278"/>
      <c r="D717" s="142"/>
      <c r="E717" s="142"/>
      <c r="F717" s="142"/>
      <c r="G717" s="142"/>
      <c r="H717" s="142"/>
      <c r="I717" s="142"/>
      <c r="J717" s="142"/>
      <c r="K717" s="142"/>
      <c r="L717" s="142"/>
      <c r="M717" s="142"/>
      <c r="N717" s="142"/>
    </row>
    <row r="718" ht="13.65" customHeight="1">
      <c r="A718" s="142"/>
      <c r="B718" s="1278"/>
      <c r="C718" s="1278"/>
      <c r="D718" s="142"/>
      <c r="E718" s="142"/>
      <c r="F718" s="142"/>
      <c r="G718" s="142"/>
      <c r="H718" s="142"/>
      <c r="I718" s="142"/>
      <c r="J718" s="142"/>
      <c r="K718" s="142"/>
      <c r="L718" s="142"/>
      <c r="M718" s="142"/>
      <c r="N718" s="142"/>
    </row>
    <row r="719" ht="13.65" customHeight="1">
      <c r="A719" s="142"/>
      <c r="B719" s="1278"/>
      <c r="C719" s="1278"/>
      <c r="D719" s="142"/>
      <c r="E719" s="142"/>
      <c r="F719" s="142"/>
      <c r="G719" s="142"/>
      <c r="H719" s="142"/>
      <c r="I719" s="142"/>
      <c r="J719" s="142"/>
      <c r="K719" s="142"/>
      <c r="L719" s="142"/>
      <c r="M719" s="142"/>
      <c r="N719" s="142"/>
    </row>
    <row r="720" ht="13.65" customHeight="1">
      <c r="A720" s="142"/>
      <c r="B720" s="1278"/>
      <c r="C720" s="1278"/>
      <c r="D720" s="142"/>
      <c r="E720" s="142"/>
      <c r="F720" s="142"/>
      <c r="G720" s="142"/>
      <c r="H720" s="142"/>
      <c r="I720" s="142"/>
      <c r="J720" s="142"/>
      <c r="K720" s="142"/>
      <c r="L720" s="142"/>
      <c r="M720" s="142"/>
      <c r="N720" s="142"/>
    </row>
    <row r="721" ht="13.65" customHeight="1">
      <c r="A721" s="142"/>
      <c r="B721" s="1278"/>
      <c r="C721" s="1278"/>
      <c r="D721" s="142"/>
      <c r="E721" s="142"/>
      <c r="F721" s="142"/>
      <c r="G721" s="142"/>
      <c r="H721" s="142"/>
      <c r="I721" s="142"/>
      <c r="J721" s="142"/>
      <c r="K721" s="142"/>
      <c r="L721" s="142"/>
      <c r="M721" s="142"/>
      <c r="N721" s="142"/>
    </row>
    <row r="722" ht="13.65" customHeight="1">
      <c r="A722" s="142"/>
      <c r="B722" s="1278"/>
      <c r="C722" s="1278"/>
      <c r="D722" s="142"/>
      <c r="E722" s="142"/>
      <c r="F722" s="142"/>
      <c r="G722" s="142"/>
      <c r="H722" s="142"/>
      <c r="I722" s="142"/>
      <c r="J722" s="142"/>
      <c r="K722" s="142"/>
      <c r="L722" s="142"/>
      <c r="M722" s="142"/>
      <c r="N722" s="142"/>
    </row>
    <row r="723" ht="13.65" customHeight="1">
      <c r="A723" s="142"/>
      <c r="B723" s="1278"/>
      <c r="C723" s="1278"/>
      <c r="D723" s="142"/>
      <c r="E723" s="142"/>
      <c r="F723" s="142"/>
      <c r="G723" s="142"/>
      <c r="H723" s="142"/>
      <c r="I723" s="142"/>
      <c r="J723" s="142"/>
      <c r="K723" s="142"/>
      <c r="L723" s="142"/>
      <c r="M723" s="142"/>
      <c r="N723" s="142"/>
    </row>
    <row r="724" ht="13.65" customHeight="1">
      <c r="A724" s="142"/>
      <c r="B724" s="1278"/>
      <c r="C724" s="1278"/>
      <c r="D724" s="142"/>
      <c r="E724" s="142"/>
      <c r="F724" s="142"/>
      <c r="G724" s="142"/>
      <c r="H724" s="142"/>
      <c r="I724" s="142"/>
      <c r="J724" s="142"/>
      <c r="K724" s="142"/>
      <c r="L724" s="142"/>
      <c r="M724" s="142"/>
      <c r="N724" s="142"/>
    </row>
    <row r="725" ht="13.65" customHeight="1">
      <c r="A725" s="142"/>
      <c r="B725" s="1278"/>
      <c r="C725" s="1278"/>
      <c r="D725" s="142"/>
      <c r="E725" s="142"/>
      <c r="F725" s="142"/>
      <c r="G725" s="142"/>
      <c r="H725" s="142"/>
      <c r="I725" s="142"/>
      <c r="J725" s="142"/>
      <c r="K725" s="142"/>
      <c r="L725" s="142"/>
      <c r="M725" s="142"/>
      <c r="N725" s="142"/>
    </row>
    <row r="726" ht="13.65" customHeight="1">
      <c r="A726" s="142"/>
      <c r="B726" s="1278"/>
      <c r="C726" s="1278"/>
      <c r="D726" s="142"/>
      <c r="E726" s="142"/>
      <c r="F726" s="142"/>
      <c r="G726" s="142"/>
      <c r="H726" s="142"/>
      <c r="I726" s="142"/>
      <c r="J726" s="142"/>
      <c r="K726" s="142"/>
      <c r="L726" s="142"/>
      <c r="M726" s="142"/>
      <c r="N726" s="142"/>
    </row>
    <row r="727" ht="13.65" customHeight="1">
      <c r="A727" s="142"/>
      <c r="B727" s="1278"/>
      <c r="C727" s="1278"/>
      <c r="D727" s="142"/>
      <c r="E727" s="142"/>
      <c r="F727" s="142"/>
      <c r="G727" s="142"/>
      <c r="H727" s="142"/>
      <c r="I727" s="142"/>
      <c r="J727" s="142"/>
      <c r="K727" s="142"/>
      <c r="L727" s="142"/>
      <c r="M727" s="142"/>
      <c r="N727" s="142"/>
    </row>
    <row r="728" ht="13.65" customHeight="1">
      <c r="A728" s="142"/>
      <c r="B728" s="1278"/>
      <c r="C728" s="1278"/>
      <c r="D728" s="142"/>
      <c r="E728" s="142"/>
      <c r="F728" s="142"/>
      <c r="G728" s="142"/>
      <c r="H728" s="142"/>
      <c r="I728" s="142"/>
      <c r="J728" s="142"/>
      <c r="K728" s="142"/>
      <c r="L728" s="142"/>
      <c r="M728" s="142"/>
      <c r="N728" s="142"/>
    </row>
    <row r="729" ht="13.65" customHeight="1">
      <c r="A729" s="142"/>
      <c r="B729" s="1278"/>
      <c r="C729" s="1278"/>
      <c r="D729" s="142"/>
      <c r="E729" s="142"/>
      <c r="F729" s="142"/>
      <c r="G729" s="142"/>
      <c r="H729" s="142"/>
      <c r="I729" s="142"/>
      <c r="J729" s="142"/>
      <c r="K729" s="142"/>
      <c r="L729" s="142"/>
      <c r="M729" s="142"/>
      <c r="N729" s="142"/>
    </row>
    <row r="730" ht="13.65" customHeight="1">
      <c r="A730" s="142"/>
      <c r="B730" s="1278"/>
      <c r="C730" s="1278"/>
      <c r="D730" s="142"/>
      <c r="E730" s="142"/>
      <c r="F730" s="142"/>
      <c r="G730" s="142"/>
      <c r="H730" s="142"/>
      <c r="I730" s="142"/>
      <c r="J730" s="142"/>
      <c r="K730" s="142"/>
      <c r="L730" s="142"/>
      <c r="M730" s="142"/>
      <c r="N730" s="142"/>
    </row>
    <row r="731" ht="13.65" customHeight="1">
      <c r="A731" s="142"/>
      <c r="B731" s="1278"/>
      <c r="C731" s="1278"/>
      <c r="D731" s="142"/>
      <c r="E731" s="142"/>
      <c r="F731" s="142"/>
      <c r="G731" s="142"/>
      <c r="H731" s="142"/>
      <c r="I731" s="142"/>
      <c r="J731" s="142"/>
      <c r="K731" s="142"/>
      <c r="L731" s="142"/>
      <c r="M731" s="142"/>
      <c r="N731" s="142"/>
    </row>
    <row r="732" ht="13.65" customHeight="1">
      <c r="A732" s="142"/>
      <c r="B732" s="1278"/>
      <c r="C732" s="1278"/>
      <c r="D732" s="142"/>
      <c r="E732" s="142"/>
      <c r="F732" s="142"/>
      <c r="G732" s="142"/>
      <c r="H732" s="142"/>
      <c r="I732" s="142"/>
      <c r="J732" s="142"/>
      <c r="K732" s="142"/>
      <c r="L732" s="142"/>
      <c r="M732" s="142"/>
      <c r="N732" s="142"/>
    </row>
    <row r="733" ht="13.65" customHeight="1">
      <c r="A733" s="142"/>
      <c r="B733" s="1278"/>
      <c r="C733" s="1278"/>
      <c r="D733" s="142"/>
      <c r="E733" s="142"/>
      <c r="F733" s="142"/>
      <c r="G733" s="142"/>
      <c r="H733" s="142"/>
      <c r="I733" s="142"/>
      <c r="J733" s="142"/>
      <c r="K733" s="142"/>
      <c r="L733" s="142"/>
      <c r="M733" s="142"/>
      <c r="N733" s="142"/>
    </row>
    <row r="734" ht="13.65" customHeight="1">
      <c r="A734" s="142"/>
      <c r="B734" s="1278"/>
      <c r="C734" s="1278"/>
      <c r="D734" s="142"/>
      <c r="E734" s="142"/>
      <c r="F734" s="142"/>
      <c r="G734" s="142"/>
      <c r="H734" s="142"/>
      <c r="I734" s="142"/>
      <c r="J734" s="142"/>
      <c r="K734" s="142"/>
      <c r="L734" s="142"/>
      <c r="M734" s="142"/>
      <c r="N734" s="142"/>
    </row>
    <row r="735" ht="13.65" customHeight="1">
      <c r="A735" s="142"/>
      <c r="B735" s="1278"/>
      <c r="C735" s="1278"/>
      <c r="D735" s="142"/>
      <c r="E735" s="142"/>
      <c r="F735" s="142"/>
      <c r="G735" s="142"/>
      <c r="H735" s="142"/>
      <c r="I735" s="142"/>
      <c r="J735" s="142"/>
      <c r="K735" s="142"/>
      <c r="L735" s="142"/>
      <c r="M735" s="142"/>
      <c r="N735" s="142"/>
    </row>
    <row r="736" ht="13.65" customHeight="1">
      <c r="A736" s="142"/>
      <c r="B736" s="1278"/>
      <c r="C736" s="1278"/>
      <c r="D736" s="142"/>
      <c r="E736" s="142"/>
      <c r="F736" s="142"/>
      <c r="G736" s="142"/>
      <c r="H736" s="142"/>
      <c r="I736" s="142"/>
      <c r="J736" s="142"/>
      <c r="K736" s="142"/>
      <c r="L736" s="142"/>
      <c r="M736" s="142"/>
      <c r="N736" s="142"/>
    </row>
    <row r="737" ht="13.65" customHeight="1">
      <c r="A737" s="142"/>
      <c r="B737" s="1278"/>
      <c r="C737" s="1278"/>
      <c r="D737" s="142"/>
      <c r="E737" s="142"/>
      <c r="F737" s="142"/>
      <c r="G737" s="142"/>
      <c r="H737" s="142"/>
      <c r="I737" s="142"/>
      <c r="J737" s="142"/>
      <c r="K737" s="142"/>
      <c r="L737" s="142"/>
      <c r="M737" s="142"/>
      <c r="N737" s="142"/>
    </row>
    <row r="738" ht="13.65" customHeight="1">
      <c r="A738" s="142"/>
      <c r="B738" s="1278"/>
      <c r="C738" s="1278"/>
      <c r="D738" s="142"/>
      <c r="E738" s="142"/>
      <c r="F738" s="142"/>
      <c r="G738" s="142"/>
      <c r="H738" s="142"/>
      <c r="I738" s="142"/>
      <c r="J738" s="142"/>
      <c r="K738" s="142"/>
      <c r="L738" s="142"/>
      <c r="M738" s="142"/>
      <c r="N738" s="142"/>
    </row>
    <row r="739" ht="13.65" customHeight="1">
      <c r="A739" s="142"/>
      <c r="B739" s="1278"/>
      <c r="C739" s="1278"/>
      <c r="D739" s="142"/>
      <c r="E739" s="142"/>
      <c r="F739" s="142"/>
      <c r="G739" s="142"/>
      <c r="H739" s="142"/>
      <c r="I739" s="142"/>
      <c r="J739" s="142"/>
      <c r="K739" s="142"/>
      <c r="L739" s="142"/>
      <c r="M739" s="142"/>
      <c r="N739" s="142"/>
    </row>
    <row r="740" ht="13.65" customHeight="1">
      <c r="A740" s="142"/>
      <c r="B740" s="1278"/>
      <c r="C740" s="1278"/>
      <c r="D740" s="142"/>
      <c r="E740" s="142"/>
      <c r="F740" s="142"/>
      <c r="G740" s="142"/>
      <c r="H740" s="142"/>
      <c r="I740" s="142"/>
      <c r="J740" s="142"/>
      <c r="K740" s="142"/>
      <c r="L740" s="142"/>
      <c r="M740" s="142"/>
      <c r="N740" s="142"/>
    </row>
    <row r="741" ht="13.65" customHeight="1">
      <c r="A741" s="142"/>
      <c r="B741" s="1278"/>
      <c r="C741" s="1278"/>
      <c r="D741" s="142"/>
      <c r="E741" s="142"/>
      <c r="F741" s="142"/>
      <c r="G741" s="142"/>
      <c r="H741" s="142"/>
      <c r="I741" s="142"/>
      <c r="J741" s="142"/>
      <c r="K741" s="142"/>
      <c r="L741" s="142"/>
      <c r="M741" s="142"/>
      <c r="N741" s="142"/>
    </row>
    <row r="742" ht="13.65" customHeight="1">
      <c r="A742" s="142"/>
      <c r="B742" s="1278"/>
      <c r="C742" s="1278"/>
      <c r="D742" s="142"/>
      <c r="E742" s="142"/>
      <c r="F742" s="142"/>
      <c r="G742" s="142"/>
      <c r="H742" s="142"/>
      <c r="I742" s="142"/>
      <c r="J742" s="142"/>
      <c r="K742" s="142"/>
      <c r="L742" s="142"/>
      <c r="M742" s="142"/>
      <c r="N742" s="142"/>
    </row>
    <row r="743" ht="13.65" customHeight="1">
      <c r="A743" s="142"/>
      <c r="B743" s="1278"/>
      <c r="C743" s="1278"/>
      <c r="D743" s="142"/>
      <c r="E743" s="142"/>
      <c r="F743" s="142"/>
      <c r="G743" s="142"/>
      <c r="H743" s="142"/>
      <c r="I743" s="142"/>
      <c r="J743" s="142"/>
      <c r="K743" s="142"/>
      <c r="L743" s="142"/>
      <c r="M743" s="142"/>
      <c r="N743" s="142"/>
    </row>
    <row r="744" ht="13.65" customHeight="1">
      <c r="A744" s="142"/>
      <c r="B744" s="1278"/>
      <c r="C744" s="1278"/>
      <c r="D744" s="142"/>
      <c r="E744" s="142"/>
      <c r="F744" s="142"/>
      <c r="G744" s="142"/>
      <c r="H744" s="142"/>
      <c r="I744" s="142"/>
      <c r="J744" s="142"/>
      <c r="K744" s="142"/>
      <c r="L744" s="142"/>
      <c r="M744" s="142"/>
      <c r="N744" s="142"/>
    </row>
    <row r="745" ht="13.65" customHeight="1">
      <c r="A745" s="142"/>
      <c r="B745" s="1278"/>
      <c r="C745" s="1278"/>
      <c r="D745" s="142"/>
      <c r="E745" s="142"/>
      <c r="F745" s="142"/>
      <c r="G745" s="142"/>
      <c r="H745" s="142"/>
      <c r="I745" s="142"/>
      <c r="J745" s="142"/>
      <c r="K745" s="142"/>
      <c r="L745" s="142"/>
      <c r="M745" s="142"/>
      <c r="N745" s="142"/>
    </row>
    <row r="746" ht="13.65" customHeight="1">
      <c r="A746" s="142"/>
      <c r="B746" s="1278"/>
      <c r="C746" s="1278"/>
      <c r="D746" s="142"/>
      <c r="E746" s="142"/>
      <c r="F746" s="142"/>
      <c r="G746" s="142"/>
      <c r="H746" s="142"/>
      <c r="I746" s="142"/>
      <c r="J746" s="142"/>
      <c r="K746" s="142"/>
      <c r="L746" s="142"/>
      <c r="M746" s="142"/>
      <c r="N746" s="142"/>
    </row>
    <row r="747" ht="13.65" customHeight="1">
      <c r="A747" s="142"/>
      <c r="B747" s="1278"/>
      <c r="C747" s="1278"/>
      <c r="D747" s="142"/>
      <c r="E747" s="142"/>
      <c r="F747" s="142"/>
      <c r="G747" s="142"/>
      <c r="H747" s="142"/>
      <c r="I747" s="142"/>
      <c r="J747" s="142"/>
      <c r="K747" s="142"/>
      <c r="L747" s="142"/>
      <c r="M747" s="142"/>
      <c r="N747" s="142"/>
    </row>
    <row r="748" ht="13.65" customHeight="1">
      <c r="A748" s="142"/>
      <c r="B748" s="1278"/>
      <c r="C748" s="1278"/>
      <c r="D748" s="142"/>
      <c r="E748" s="142"/>
      <c r="F748" s="142"/>
      <c r="G748" s="142"/>
      <c r="H748" s="142"/>
      <c r="I748" s="142"/>
      <c r="J748" s="142"/>
      <c r="K748" s="142"/>
      <c r="L748" s="142"/>
      <c r="M748" s="142"/>
      <c r="N748" s="142"/>
    </row>
    <row r="749" ht="13.65" customHeight="1">
      <c r="A749" s="142"/>
      <c r="B749" s="1278"/>
      <c r="C749" s="1278"/>
      <c r="D749" s="142"/>
      <c r="E749" s="142"/>
      <c r="F749" s="142"/>
      <c r="G749" s="142"/>
      <c r="H749" s="142"/>
      <c r="I749" s="142"/>
      <c r="J749" s="142"/>
      <c r="K749" s="142"/>
      <c r="L749" s="142"/>
      <c r="M749" s="142"/>
      <c r="N749" s="142"/>
    </row>
    <row r="750" ht="13.65" customHeight="1">
      <c r="A750" s="142"/>
      <c r="B750" s="1278"/>
      <c r="C750" s="1278"/>
      <c r="D750" s="142"/>
      <c r="E750" s="142"/>
      <c r="F750" s="142"/>
      <c r="G750" s="142"/>
      <c r="H750" s="142"/>
      <c r="I750" s="142"/>
      <c r="J750" s="142"/>
      <c r="K750" s="142"/>
      <c r="L750" s="142"/>
      <c r="M750" s="142"/>
      <c r="N750" s="142"/>
    </row>
    <row r="751" ht="13.65" customHeight="1">
      <c r="A751" s="142"/>
      <c r="B751" s="1278"/>
      <c r="C751" s="1278"/>
      <c r="D751" s="142"/>
      <c r="E751" s="142"/>
      <c r="F751" s="142"/>
      <c r="G751" s="142"/>
      <c r="H751" s="142"/>
      <c r="I751" s="142"/>
      <c r="J751" s="142"/>
      <c r="K751" s="142"/>
      <c r="L751" s="142"/>
      <c r="M751" s="142"/>
      <c r="N751" s="142"/>
    </row>
    <row r="752" ht="13.65" customHeight="1">
      <c r="A752" s="142"/>
      <c r="B752" s="1278"/>
      <c r="C752" s="1278"/>
      <c r="D752" s="142"/>
      <c r="E752" s="142"/>
      <c r="F752" s="142"/>
      <c r="G752" s="142"/>
      <c r="H752" s="142"/>
      <c r="I752" s="142"/>
      <c r="J752" s="142"/>
      <c r="K752" s="142"/>
      <c r="L752" s="142"/>
      <c r="M752" s="142"/>
      <c r="N752" s="142"/>
    </row>
    <row r="753" ht="13.65" customHeight="1">
      <c r="A753" s="142"/>
      <c r="B753" s="1278"/>
      <c r="C753" s="1278"/>
      <c r="D753" s="142"/>
      <c r="E753" s="142"/>
      <c r="F753" s="142"/>
      <c r="G753" s="142"/>
      <c r="H753" s="142"/>
      <c r="I753" s="142"/>
      <c r="J753" s="142"/>
      <c r="K753" s="142"/>
      <c r="L753" s="142"/>
      <c r="M753" s="142"/>
      <c r="N753" s="142"/>
    </row>
    <row r="754" ht="13.65" customHeight="1">
      <c r="A754" s="142"/>
      <c r="B754" s="1278"/>
      <c r="C754" s="1278"/>
      <c r="D754" s="142"/>
      <c r="E754" s="142"/>
      <c r="F754" s="142"/>
      <c r="G754" s="142"/>
      <c r="H754" s="142"/>
      <c r="I754" s="142"/>
      <c r="J754" s="142"/>
      <c r="K754" s="142"/>
      <c r="L754" s="142"/>
      <c r="M754" s="142"/>
      <c r="N754" s="142"/>
    </row>
    <row r="755" ht="13.65" customHeight="1">
      <c r="A755" s="142"/>
      <c r="B755" s="1278"/>
      <c r="C755" s="1278"/>
      <c r="D755" s="142"/>
      <c r="E755" s="142"/>
      <c r="F755" s="142"/>
      <c r="G755" s="142"/>
      <c r="H755" s="142"/>
      <c r="I755" s="142"/>
      <c r="J755" s="142"/>
      <c r="K755" s="142"/>
      <c r="L755" s="142"/>
      <c r="M755" s="142"/>
      <c r="N755" s="142"/>
    </row>
    <row r="756" ht="13.65" customHeight="1">
      <c r="A756" s="142"/>
      <c r="B756" s="1278"/>
      <c r="C756" s="1278"/>
      <c r="D756" s="142"/>
      <c r="E756" s="142"/>
      <c r="F756" s="142"/>
      <c r="G756" s="142"/>
      <c r="H756" s="142"/>
      <c r="I756" s="142"/>
      <c r="J756" s="142"/>
      <c r="K756" s="142"/>
      <c r="L756" s="142"/>
      <c r="M756" s="142"/>
      <c r="N756" s="142"/>
    </row>
    <row r="757" ht="13.65" customHeight="1">
      <c r="A757" s="142"/>
      <c r="B757" s="1278"/>
      <c r="C757" s="1278"/>
      <c r="D757" s="142"/>
      <c r="E757" s="142"/>
      <c r="F757" s="142"/>
      <c r="G757" s="142"/>
      <c r="H757" s="142"/>
      <c r="I757" s="142"/>
      <c r="J757" s="142"/>
      <c r="K757" s="142"/>
      <c r="L757" s="142"/>
      <c r="M757" s="142"/>
      <c r="N757" s="142"/>
    </row>
    <row r="758" ht="13.65" customHeight="1">
      <c r="A758" s="142"/>
      <c r="B758" s="1278"/>
      <c r="C758" s="1278"/>
      <c r="D758" s="142"/>
      <c r="E758" s="142"/>
      <c r="F758" s="142"/>
      <c r="G758" s="142"/>
      <c r="H758" s="142"/>
      <c r="I758" s="142"/>
      <c r="J758" s="142"/>
      <c r="K758" s="142"/>
      <c r="L758" s="142"/>
      <c r="M758" s="142"/>
      <c r="N758" s="142"/>
    </row>
    <row r="759" ht="13.65" customHeight="1">
      <c r="A759" s="142"/>
      <c r="B759" s="1278"/>
      <c r="C759" s="1278"/>
      <c r="D759" s="143"/>
      <c r="E759" s="143"/>
      <c r="F759" s="142"/>
      <c r="G759" s="142"/>
      <c r="H759" s="142"/>
      <c r="I759" s="142"/>
      <c r="J759" s="142"/>
      <c r="K759" s="142"/>
      <c r="L759" s="142"/>
      <c r="M759" s="142"/>
      <c r="N759" s="142"/>
    </row>
    <row r="760" ht="13.65" customHeight="1">
      <c r="A760" s="142"/>
      <c r="B760" s="142"/>
      <c r="C760" s="1288"/>
      <c r="D760" s="153"/>
      <c r="E760" s="153"/>
      <c r="F760" s="145"/>
      <c r="G760" s="142"/>
      <c r="H760" s="142"/>
      <c r="I760" s="142"/>
      <c r="J760" s="142"/>
      <c r="K760" s="142"/>
      <c r="L760" s="142"/>
      <c r="M760" s="142"/>
      <c r="N760" s="142"/>
    </row>
    <row r="761" ht="13.65" customHeight="1">
      <c r="A761" s="142"/>
      <c r="B761" s="146"/>
      <c r="C761" t="s" s="900">
        <v>30</v>
      </c>
      <c r="D761" s="153"/>
      <c r="E761" s="153"/>
      <c r="F761" s="145"/>
      <c r="G761" s="142"/>
      <c r="H761" s="142"/>
      <c r="I761" s="142"/>
      <c r="J761" s="142"/>
      <c r="K761" s="142"/>
      <c r="L761" s="142"/>
      <c r="M761" s="142"/>
      <c r="N761" s="142"/>
    </row>
    <row r="762" ht="13.65" customHeight="1">
      <c r="A762" s="142"/>
      <c r="B762" s="146"/>
      <c r="C762" t="s" s="900">
        <v>32</v>
      </c>
      <c r="D762" s="153"/>
      <c r="E762" s="153"/>
      <c r="F762" s="145"/>
      <c r="G762" s="142"/>
      <c r="H762" s="142"/>
      <c r="I762" s="142"/>
      <c r="J762" s="142"/>
      <c r="K762" s="142"/>
      <c r="L762" s="142"/>
      <c r="M762" s="142"/>
      <c r="N762" s="142"/>
    </row>
    <row r="763" ht="13.65" customHeight="1">
      <c r="A763" s="142"/>
      <c r="B763" s="146"/>
      <c r="C763" t="s" s="900">
        <v>34</v>
      </c>
      <c r="D763" s="153"/>
      <c r="E763" s="153"/>
      <c r="F763" s="145"/>
      <c r="G763" s="142"/>
      <c r="H763" s="142"/>
      <c r="I763" s="142"/>
      <c r="J763" s="142"/>
      <c r="K763" s="142"/>
      <c r="L763" s="142"/>
      <c r="M763" s="142"/>
      <c r="N763" s="142"/>
    </row>
    <row r="764" ht="13.65" customHeight="1">
      <c r="A764" s="142"/>
      <c r="B764" s="146"/>
      <c r="C764" t="s" s="900">
        <v>36</v>
      </c>
      <c r="D764" s="153"/>
      <c r="E764" s="153"/>
      <c r="F764" s="145"/>
      <c r="G764" s="142"/>
      <c r="H764" s="142"/>
      <c r="I764" s="142"/>
      <c r="J764" s="142"/>
      <c r="K764" s="142"/>
      <c r="L764" s="142"/>
      <c r="M764" s="142"/>
      <c r="N764" s="142"/>
    </row>
    <row r="765" ht="13.65" customHeight="1">
      <c r="A765" s="142"/>
      <c r="B765" s="146"/>
      <c r="C765" t="s" s="900">
        <v>38</v>
      </c>
      <c r="D765" s="153"/>
      <c r="E765" s="153"/>
      <c r="F765" s="145"/>
      <c r="G765" s="142"/>
      <c r="H765" s="142"/>
      <c r="I765" s="142"/>
      <c r="J765" s="142"/>
      <c r="K765" s="142"/>
      <c r="L765" s="142"/>
      <c r="M765" s="142"/>
      <c r="N765" s="142"/>
    </row>
    <row r="766" ht="13.65" customHeight="1">
      <c r="A766" s="142"/>
      <c r="B766" s="146"/>
      <c r="C766" t="s" s="900">
        <v>40</v>
      </c>
      <c r="D766" s="153"/>
      <c r="E766" s="153"/>
      <c r="F766" s="145"/>
      <c r="G766" s="142"/>
      <c r="H766" s="142"/>
      <c r="I766" s="142"/>
      <c r="J766" s="142"/>
      <c r="K766" s="142"/>
      <c r="L766" s="142"/>
      <c r="M766" s="142"/>
      <c r="N766" s="142"/>
    </row>
    <row r="767" ht="13.65" customHeight="1">
      <c r="A767" s="142"/>
      <c r="B767" s="146"/>
      <c r="C767" t="s" s="900">
        <v>43</v>
      </c>
      <c r="D767" s="153"/>
      <c r="E767" s="153"/>
      <c r="F767" s="145"/>
      <c r="G767" s="142"/>
      <c r="H767" s="142"/>
      <c r="I767" s="142"/>
      <c r="J767" s="142"/>
      <c r="K767" s="142"/>
      <c r="L767" s="142"/>
      <c r="M767" s="142"/>
      <c r="N767" s="142"/>
    </row>
    <row r="768" ht="13.65" customHeight="1">
      <c r="A768" s="142"/>
      <c r="B768" s="146"/>
      <c r="C768" t="s" s="900">
        <v>45</v>
      </c>
      <c r="D768" s="153"/>
      <c r="E768" s="153"/>
      <c r="F768" s="145"/>
      <c r="G768" s="142"/>
      <c r="H768" s="142"/>
      <c r="I768" s="142"/>
      <c r="J768" s="142"/>
      <c r="K768" s="142"/>
      <c r="L768" s="142"/>
      <c r="M768" s="142"/>
      <c r="N768" s="142"/>
    </row>
    <row r="769" ht="13.65" customHeight="1">
      <c r="A769" s="142"/>
      <c r="B769" s="146"/>
      <c r="C769" t="s" s="900">
        <v>47</v>
      </c>
      <c r="D769" s="153"/>
      <c r="E769" s="153"/>
      <c r="F769" s="145"/>
      <c r="G769" s="142"/>
      <c r="H769" s="142"/>
      <c r="I769" s="142"/>
      <c r="J769" s="142"/>
      <c r="K769" s="142"/>
      <c r="L769" s="142"/>
      <c r="M769" s="142"/>
      <c r="N769" s="142"/>
    </row>
    <row r="770" ht="13.65" customHeight="1">
      <c r="A770" s="142"/>
      <c r="B770" s="146"/>
      <c r="C770" t="s" s="900">
        <v>49</v>
      </c>
      <c r="D770" s="153"/>
      <c r="E770" s="153"/>
      <c r="F770" s="145"/>
      <c r="G770" s="142"/>
      <c r="H770" s="142"/>
      <c r="I770" s="142"/>
      <c r="J770" s="142"/>
      <c r="K770" s="142"/>
      <c r="L770" s="142"/>
      <c r="M770" s="142"/>
      <c r="N770" s="142"/>
    </row>
    <row r="771" ht="13.65" customHeight="1">
      <c r="A771" s="142"/>
      <c r="B771" s="146"/>
      <c r="C771" t="s" s="900">
        <v>51</v>
      </c>
      <c r="D771" s="153"/>
      <c r="E771" s="153"/>
      <c r="F771" s="145"/>
      <c r="G771" s="142"/>
      <c r="H771" s="142"/>
      <c r="I771" s="142"/>
      <c r="J771" s="142"/>
      <c r="K771" s="142"/>
      <c r="L771" s="142"/>
      <c r="M771" s="142"/>
      <c r="N771" s="142"/>
    </row>
    <row r="772" ht="13.65" customHeight="1">
      <c r="A772" s="142"/>
      <c r="B772" s="146"/>
      <c r="C772" t="s" s="900">
        <v>54</v>
      </c>
      <c r="D772" s="153"/>
      <c r="E772" s="153"/>
      <c r="F772" s="145"/>
      <c r="G772" s="142"/>
      <c r="H772" s="142"/>
      <c r="I772" s="142"/>
      <c r="J772" s="142"/>
      <c r="K772" s="142"/>
      <c r="L772" s="142"/>
      <c r="M772" s="142"/>
      <c r="N772" s="142"/>
    </row>
    <row r="773" ht="13.65" customHeight="1">
      <c r="A773" s="142"/>
      <c r="B773" s="146"/>
      <c r="C773" t="s" s="900">
        <v>47</v>
      </c>
      <c r="D773" s="153"/>
      <c r="E773" s="153"/>
      <c r="F773" s="145"/>
      <c r="G773" s="142"/>
      <c r="H773" s="142"/>
      <c r="I773" s="142"/>
      <c r="J773" s="142"/>
      <c r="K773" s="142"/>
      <c r="L773" s="142"/>
      <c r="M773" s="142"/>
      <c r="N773" s="142"/>
    </row>
    <row r="774" ht="13.65" customHeight="1">
      <c r="A774" s="142"/>
      <c r="B774" s="146"/>
      <c r="C774" t="s" s="900">
        <v>49</v>
      </c>
      <c r="D774" s="153"/>
      <c r="E774" s="153"/>
      <c r="F774" s="145"/>
      <c r="G774" s="142"/>
      <c r="H774" s="142"/>
      <c r="I774" s="142"/>
      <c r="J774" s="142"/>
      <c r="K774" s="142"/>
      <c r="L774" s="142"/>
      <c r="M774" s="142"/>
      <c r="N774" s="142"/>
    </row>
    <row r="775" ht="13.65" customHeight="1">
      <c r="A775" s="142"/>
      <c r="B775" s="146"/>
      <c r="C775" t="s" s="900">
        <v>51</v>
      </c>
      <c r="D775" s="13"/>
      <c r="E775" s="13"/>
      <c r="F775" s="145"/>
      <c r="G775" s="142"/>
      <c r="H775" s="142"/>
      <c r="I775" s="142"/>
      <c r="J775" s="142"/>
      <c r="K775" s="142"/>
      <c r="L775" s="142"/>
      <c r="M775" s="142"/>
      <c r="N775" s="142"/>
    </row>
    <row r="776" ht="13.65" customHeight="1">
      <c r="A776" s="142"/>
      <c r="B776" s="146"/>
      <c r="C776" t="s" s="1289">
        <v>64</v>
      </c>
      <c r="D776" s="18"/>
      <c r="E776" s="227"/>
      <c r="F776" s="142"/>
      <c r="G776" s="142"/>
      <c r="H776" s="142"/>
      <c r="I776" s="142"/>
      <c r="J776" s="142"/>
      <c r="K776" s="142"/>
      <c r="L776" s="142"/>
      <c r="M776" s="142"/>
      <c r="N776" s="142"/>
    </row>
  </sheetData>
  <pageMargins left="0.708661" right="0.708661" top="0.787402" bottom="0.787402" header="0.314961" footer="0.314961"/>
  <pageSetup firstPageNumber="1" fitToHeight="1" fitToWidth="1" scale="88" useFirstPageNumber="0" orientation="landscape" pageOrder="downThenOver"/>
  <headerFooter>
    <oddFooter>&amp;C&amp;"Helvetica Neue,Regular"&amp;12&amp;K000000&amp;P</oddFooter>
  </headerFooter>
</worksheet>
</file>

<file path=xl/worksheets/sheet19.xml><?xml version="1.0" encoding="utf-8"?>
<worksheet xmlns:r="http://schemas.openxmlformats.org/officeDocument/2006/relationships" xmlns="http://schemas.openxmlformats.org/spreadsheetml/2006/main">
  <dimension ref="A1:M166"/>
  <sheetViews>
    <sheetView workbookViewId="0" showGridLines="0" defaultGridColor="1"/>
  </sheetViews>
  <sheetFormatPr defaultColWidth="11.5" defaultRowHeight="12.75" customHeight="1" outlineLevelRow="0" outlineLevelCol="0"/>
  <cols>
    <col min="1" max="1" width="62.5" style="1290" customWidth="1"/>
    <col min="2" max="2" width="13.5" style="1290" customWidth="1"/>
    <col min="3" max="3" width="11.5" style="1290" customWidth="1"/>
    <col min="4" max="4" width="7.35156" style="1290" customWidth="1"/>
    <col min="5" max="5" width="8.35156" style="1290" customWidth="1"/>
    <col min="6" max="7" width="7" style="1290" customWidth="1"/>
    <col min="8" max="8" width="29.1719" style="1290" customWidth="1"/>
    <col min="9" max="13" width="11.5" style="1290" customWidth="1"/>
    <col min="14" max="16384" width="11.5" style="1290" customWidth="1"/>
  </cols>
  <sheetData>
    <row r="1" ht="13.5" customHeight="1">
      <c r="A1" s="1161"/>
      <c r="B1" s="142"/>
      <c r="C1" s="142"/>
      <c r="D1" s="142"/>
      <c r="E1" s="142"/>
      <c r="F1" s="142"/>
      <c r="G1" s="142"/>
      <c r="H1" s="142"/>
      <c r="I1" s="142"/>
      <c r="J1" s="142"/>
      <c r="K1" s="142"/>
      <c r="L1" s="237"/>
      <c r="M1" s="237"/>
    </row>
    <row r="2" ht="14.15" customHeight="1">
      <c r="A2" t="s" s="1291">
        <v>2415</v>
      </c>
      <c r="B2" s="1167"/>
      <c r="C2" s="142"/>
      <c r="D2" s="142"/>
      <c r="E2" s="142"/>
      <c r="F2" s="142"/>
      <c r="G2" s="142"/>
      <c r="H2" s="142"/>
      <c r="I2" s="142"/>
      <c r="J2" s="142"/>
      <c r="K2" s="142"/>
      <c r="L2" s="237"/>
      <c r="M2" s="237"/>
    </row>
    <row r="3" ht="13.65" customHeight="1">
      <c r="A3" t="s" s="1292">
        <f>IF('Adatlap'!$L$1='Fordítások'!C3,'Fordítások'!C175,'Fordítások'!B175)</f>
        <v>1646</v>
      </c>
      <c r="B3" s="1167"/>
      <c r="C3" s="142"/>
      <c r="D3" s="142"/>
      <c r="E3" s="142"/>
      <c r="F3" s="142"/>
      <c r="G3" s="142"/>
      <c r="H3" s="142"/>
      <c r="I3" s="142"/>
      <c r="J3" s="142"/>
      <c r="K3" s="142"/>
      <c r="L3" s="237"/>
      <c r="M3" s="237"/>
    </row>
    <row r="4" ht="13.65" customHeight="1">
      <c r="A4" t="s" s="1292">
        <f>IF('Adatlap'!$L$1='Fordítások'!C3,'Fordítások'!C176,'Fordítások'!B176)</f>
        <v>1649</v>
      </c>
      <c r="B4" s="1167"/>
      <c r="C4" s="142"/>
      <c r="D4" s="142"/>
      <c r="E4" s="142"/>
      <c r="F4" s="142"/>
      <c r="G4" s="142"/>
      <c r="H4" s="142"/>
      <c r="I4" s="142"/>
      <c r="J4" s="142"/>
      <c r="K4" s="142"/>
      <c r="L4" s="237"/>
      <c r="M4" s="237"/>
    </row>
    <row r="5" ht="13.5" customHeight="1">
      <c r="A5" t="s" s="1293">
        <f>IF('Adatlap'!$L$1='Fordítások'!C3,'Fordítások'!C177,'Fordítások'!B177)</f>
        <v>1652</v>
      </c>
      <c r="B5" s="1167"/>
      <c r="C5" s="142"/>
      <c r="D5" s="142"/>
      <c r="E5" s="142"/>
      <c r="F5" s="142"/>
      <c r="G5" s="142"/>
      <c r="H5" s="142"/>
      <c r="I5" s="142"/>
      <c r="J5" s="142"/>
      <c r="K5" s="142"/>
      <c r="L5" s="237"/>
      <c r="M5" s="237"/>
    </row>
    <row r="6" ht="13.5" customHeight="1">
      <c r="A6" s="1294"/>
      <c r="B6" s="145"/>
      <c r="C6" s="142"/>
      <c r="D6" s="142"/>
      <c r="E6" s="142"/>
      <c r="F6" s="142"/>
      <c r="G6" s="142"/>
      <c r="H6" s="142"/>
      <c r="I6" s="142"/>
      <c r="J6" s="142"/>
      <c r="K6" s="142"/>
      <c r="L6" s="237"/>
      <c r="M6" s="237"/>
    </row>
    <row r="7" ht="14.15" customHeight="1">
      <c r="A7" t="s" s="1291">
        <v>2416</v>
      </c>
      <c r="B7" s="1167"/>
      <c r="C7" s="142"/>
      <c r="D7" s="142"/>
      <c r="E7" s="142"/>
      <c r="F7" s="142"/>
      <c r="G7" s="142"/>
      <c r="H7" s="142"/>
      <c r="I7" s="142"/>
      <c r="J7" s="142"/>
      <c r="K7" s="142"/>
      <c r="L7" s="237"/>
      <c r="M7" s="237"/>
    </row>
    <row r="8" ht="13.65" customHeight="1">
      <c r="A8" t="s" s="1292">
        <f>IF('Adatlap'!$L$1='Fordítások'!C3,'Fordítások'!C179,'Fordítások'!B179)</f>
        <v>1657</v>
      </c>
      <c r="B8" s="1167"/>
      <c r="C8" s="142"/>
      <c r="D8" s="142"/>
      <c r="E8" s="142"/>
      <c r="F8" s="142"/>
      <c r="G8" s="142"/>
      <c r="H8" s="142"/>
      <c r="I8" s="142"/>
      <c r="J8" s="142"/>
      <c r="K8" s="142"/>
      <c r="L8" s="237"/>
      <c r="M8" s="237"/>
    </row>
    <row r="9" ht="13.5" customHeight="1">
      <c r="A9" t="s" s="1293">
        <f>IF('Adatlap'!$L$1='Fordítások'!C3,'Fordítások'!C180,'Fordítások'!B180)</f>
        <v>1660</v>
      </c>
      <c r="B9" s="1167"/>
      <c r="C9" s="142"/>
      <c r="D9" s="142"/>
      <c r="E9" s="142"/>
      <c r="F9" s="142"/>
      <c r="G9" s="142"/>
      <c r="H9" s="142"/>
      <c r="I9" s="142"/>
      <c r="J9" s="142"/>
      <c r="K9" s="142"/>
      <c r="L9" s="237"/>
      <c r="M9" s="237"/>
    </row>
    <row r="10" ht="13.5" customHeight="1">
      <c r="A10" s="1294"/>
      <c r="B10" s="145"/>
      <c r="C10" s="142"/>
      <c r="D10" s="142"/>
      <c r="E10" s="142"/>
      <c r="F10" s="142"/>
      <c r="G10" s="142"/>
      <c r="H10" s="142"/>
      <c r="I10" s="142"/>
      <c r="J10" s="142"/>
      <c r="K10" s="142"/>
      <c r="L10" s="237"/>
      <c r="M10" s="237"/>
    </row>
    <row r="11" ht="14.15" customHeight="1">
      <c r="A11" t="s" s="1291">
        <v>2417</v>
      </c>
      <c r="B11" s="1167"/>
      <c r="C11" s="142"/>
      <c r="D11" s="142"/>
      <c r="E11" s="142"/>
      <c r="F11" s="142"/>
      <c r="G11" s="142"/>
      <c r="H11" s="142"/>
      <c r="I11" s="142"/>
      <c r="J11" s="142"/>
      <c r="K11" s="142"/>
      <c r="L11" s="237"/>
      <c r="M11" s="237"/>
    </row>
    <row r="12" ht="13.65" customHeight="1">
      <c r="A12" t="s" s="1292">
        <f>IF('Adatlap'!L1='Fordítások'!C3,'Fordítások'!C76,'Fordítások'!B76)</f>
        <v>57</v>
      </c>
      <c r="B12" s="1167"/>
      <c r="C12" s="142"/>
      <c r="D12" s="142"/>
      <c r="E12" s="142"/>
      <c r="F12" s="142"/>
      <c r="G12" s="142"/>
      <c r="H12" s="142"/>
      <c r="I12" s="142"/>
      <c r="J12" s="142"/>
      <c r="K12" s="142"/>
      <c r="L12" s="237"/>
      <c r="M12" s="237"/>
    </row>
    <row r="13" ht="13.5" customHeight="1">
      <c r="A13" t="s" s="1293">
        <f>IF('Fordítások'!C3='Fordítások'!C3,'Fordítások'!C77,'Fordítások'!B77)</f>
        <v>59</v>
      </c>
      <c r="B13" s="1167"/>
      <c r="C13" s="142"/>
      <c r="D13" s="142"/>
      <c r="E13" s="142"/>
      <c r="F13" s="142"/>
      <c r="G13" s="142"/>
      <c r="H13" s="142"/>
      <c r="I13" s="142"/>
      <c r="J13" s="142"/>
      <c r="K13" s="142"/>
      <c r="L13" s="237"/>
      <c r="M13" s="237"/>
    </row>
    <row r="14" ht="13.5" customHeight="1">
      <c r="A14" s="1295"/>
      <c r="B14" s="142"/>
      <c r="C14" s="142"/>
      <c r="D14" s="142"/>
      <c r="E14" s="142"/>
      <c r="F14" s="142"/>
      <c r="G14" s="142"/>
      <c r="H14" s="142"/>
      <c r="I14" s="142"/>
      <c r="J14" s="142"/>
      <c r="K14" s="142"/>
      <c r="L14" s="237"/>
      <c r="M14" s="237"/>
    </row>
    <row r="15" ht="14.15" customHeight="1">
      <c r="A15" t="s" s="1291">
        <v>1276</v>
      </c>
      <c r="B15" s="1167"/>
      <c r="C15" s="142"/>
      <c r="D15" s="142"/>
      <c r="E15" s="142"/>
      <c r="F15" s="142"/>
      <c r="G15" s="142"/>
      <c r="H15" s="142"/>
      <c r="I15" s="142"/>
      <c r="J15" s="142"/>
      <c r="K15" s="142"/>
      <c r="L15" s="237"/>
      <c r="M15" s="237"/>
    </row>
    <row r="16" ht="13.65" customHeight="1">
      <c r="A16" t="s" s="1292">
        <f>IF('Adatlap'!$L$1='Fordítások'!C3,'Fordítások'!C70,'Fordítások'!B70)</f>
        <v>1403</v>
      </c>
      <c r="B16" s="1167"/>
      <c r="C16" s="142"/>
      <c r="D16" s="142"/>
      <c r="E16" s="142"/>
      <c r="F16" s="142"/>
      <c r="G16" s="142"/>
      <c r="H16" s="142"/>
      <c r="I16" s="142"/>
      <c r="J16" s="142"/>
      <c r="K16" s="142"/>
      <c r="L16" s="237"/>
      <c r="M16" s="237"/>
    </row>
    <row r="17" ht="13.65" customHeight="1">
      <c r="A17" t="s" s="1292">
        <f>IF('Adatlap'!$L$1='Fordítások'!C3,'Fordítások'!C69,'Fordítások'!B69)</f>
        <v>549</v>
      </c>
      <c r="B17" s="1167"/>
      <c r="C17" s="142"/>
      <c r="D17" s="142"/>
      <c r="E17" s="142"/>
      <c r="F17" s="142"/>
      <c r="G17" s="142"/>
      <c r="H17" s="142"/>
      <c r="I17" s="142"/>
      <c r="J17" s="142"/>
      <c r="K17" s="142"/>
      <c r="L17" s="237"/>
      <c r="M17" s="237"/>
    </row>
    <row r="18" ht="13.65" customHeight="1">
      <c r="A18" t="s" s="1292">
        <f>IF('Adatlap'!$L$1='Fordítások'!C3,'Fordítások'!C65,'Fordítások'!B65)</f>
        <v>1390</v>
      </c>
      <c r="B18" s="1167"/>
      <c r="C18" s="142"/>
      <c r="D18" s="142"/>
      <c r="E18" s="142"/>
      <c r="F18" s="142"/>
      <c r="G18" s="142"/>
      <c r="H18" s="142"/>
      <c r="I18" s="142"/>
      <c r="J18" s="142"/>
      <c r="K18" s="142"/>
      <c r="L18" s="237"/>
      <c r="M18" s="237"/>
    </row>
    <row r="19" ht="13.65" customHeight="1">
      <c r="A19" t="s" s="1292">
        <f>IF('Adatlap'!$L$1='Fordítások'!C3,'Fordítások'!C63,'Fordítások'!B63)</f>
        <v>1385</v>
      </c>
      <c r="B19" s="1167"/>
      <c r="C19" s="142"/>
      <c r="D19" s="142"/>
      <c r="E19" s="142"/>
      <c r="F19" s="142"/>
      <c r="G19" s="142"/>
      <c r="H19" s="142"/>
      <c r="I19" s="142"/>
      <c r="J19" s="142"/>
      <c r="K19" s="142"/>
      <c r="L19" s="237"/>
      <c r="M19" s="237"/>
    </row>
    <row r="20" ht="13.65" customHeight="1">
      <c r="A20" t="s" s="1292">
        <f>IF('Adatlap'!$L$1='Fordítások'!C3,'Fordítások'!C64,'Fordítások'!B64)</f>
        <v>1388</v>
      </c>
      <c r="B20" s="1167"/>
      <c r="C20" s="142"/>
      <c r="D20" s="142"/>
      <c r="E20" s="142"/>
      <c r="F20" s="142"/>
      <c r="G20" s="142"/>
      <c r="H20" s="142"/>
      <c r="I20" s="142"/>
      <c r="J20" s="142"/>
      <c r="K20" s="142"/>
      <c r="L20" s="237"/>
      <c r="M20" s="237"/>
    </row>
    <row r="21" ht="13.65" customHeight="1">
      <c r="A21" t="s" s="1292">
        <f>IF('Adatlap'!$L$1='Fordítások'!C3,'Fordítások'!C66,'Fordítások'!B66)</f>
        <v>1393</v>
      </c>
      <c r="B21" s="1167"/>
      <c r="C21" s="142"/>
      <c r="D21" s="142"/>
      <c r="E21" s="142"/>
      <c r="F21" s="142"/>
      <c r="G21" s="142"/>
      <c r="H21" s="142"/>
      <c r="I21" s="142"/>
      <c r="J21" s="142"/>
      <c r="K21" s="142"/>
      <c r="L21" s="237"/>
      <c r="M21" s="237"/>
    </row>
    <row r="22" ht="13.5" customHeight="1">
      <c r="A22" t="s" s="1293">
        <f>IF('Adatlap'!$L$1='Fordítások'!C3,'Fordítások'!C227,'Fordítások'!B227)</f>
        <v>1762</v>
      </c>
      <c r="B22" s="1167"/>
      <c r="C22" s="142"/>
      <c r="D22" s="142"/>
      <c r="E22" s="142"/>
      <c r="F22" s="142"/>
      <c r="G22" s="142"/>
      <c r="H22" s="142"/>
      <c r="I22" s="142"/>
      <c r="J22" s="142"/>
      <c r="K22" s="142"/>
      <c r="L22" s="237"/>
      <c r="M22" s="237"/>
    </row>
    <row r="23" ht="13.5" customHeight="1">
      <c r="A23" s="1295"/>
      <c r="B23" s="142"/>
      <c r="C23" s="142"/>
      <c r="D23" s="142"/>
      <c r="E23" s="142"/>
      <c r="F23" s="142"/>
      <c r="G23" s="142"/>
      <c r="H23" s="142"/>
      <c r="I23" s="142"/>
      <c r="J23" s="142"/>
      <c r="K23" s="142"/>
      <c r="L23" s="237"/>
      <c r="M23" s="237"/>
    </row>
    <row r="24" ht="14.15" customHeight="1">
      <c r="A24" t="s" s="1291">
        <v>1449</v>
      </c>
      <c r="B24" s="1167"/>
      <c r="C24" s="142"/>
      <c r="D24" s="142"/>
      <c r="E24" s="142"/>
      <c r="F24" s="142"/>
      <c r="G24" s="142"/>
      <c r="H24" s="142"/>
      <c r="I24" s="142"/>
      <c r="J24" s="142"/>
      <c r="K24" s="142"/>
      <c r="L24" s="237"/>
      <c r="M24" s="237"/>
    </row>
    <row r="25" ht="13.65" customHeight="1">
      <c r="A25" t="s" s="1292">
        <f>IF('Adatlap'!$L$1='Fordítások'!C3,'Fordítások'!C228,'Fordítások'!B228)</f>
        <v>1765</v>
      </c>
      <c r="B25" s="1167"/>
      <c r="C25" s="142"/>
      <c r="D25" s="142"/>
      <c r="E25" s="142"/>
      <c r="F25" s="142"/>
      <c r="G25" s="142"/>
      <c r="H25" s="142"/>
      <c r="I25" s="142"/>
      <c r="J25" s="142"/>
      <c r="K25" s="142"/>
      <c r="L25" s="237"/>
      <c r="M25" s="237"/>
    </row>
    <row r="26" ht="13.65" customHeight="1">
      <c r="A26" t="s" s="1292">
        <f>IF('Adatlap'!$L$1='Fordítások'!C3,'Fordítások'!C229,'Fordítások'!B229)</f>
        <v>1768</v>
      </c>
      <c r="B26" s="1167"/>
      <c r="C26" s="142"/>
      <c r="D26" s="142"/>
      <c r="E26" s="142"/>
      <c r="F26" s="142"/>
      <c r="G26" s="142"/>
      <c r="H26" s="142"/>
      <c r="I26" s="142"/>
      <c r="J26" s="142"/>
      <c r="K26" s="142"/>
      <c r="L26" s="237"/>
      <c r="M26" s="237"/>
    </row>
    <row r="27" ht="13.65" customHeight="1">
      <c r="A27" t="s" s="1292">
        <f>IF('Adatlap'!$L$1='Fordítások'!C3,'Fordítások'!C230,'Fordítások'!B230)</f>
        <v>1771</v>
      </c>
      <c r="B27" s="1167"/>
      <c r="C27" s="142"/>
      <c r="D27" s="142"/>
      <c r="E27" s="142"/>
      <c r="F27" s="142"/>
      <c r="G27" s="142"/>
      <c r="H27" s="142"/>
      <c r="I27" s="142"/>
      <c r="J27" s="142"/>
      <c r="K27" s="142"/>
      <c r="L27" s="237"/>
      <c r="M27" s="237"/>
    </row>
    <row r="28" ht="13.65" customHeight="1">
      <c r="A28" t="s" s="1292">
        <f>IF('Adatlap'!$L$1='Fordítások'!C3,'Fordítások'!C231,'Fordítások'!B231)</f>
        <v>1774</v>
      </c>
      <c r="B28" s="1167"/>
      <c r="C28" s="142"/>
      <c r="D28" s="142"/>
      <c r="E28" s="142"/>
      <c r="F28" s="142"/>
      <c r="G28" s="142"/>
      <c r="H28" s="142"/>
      <c r="I28" s="142"/>
      <c r="J28" s="142"/>
      <c r="K28" s="142"/>
      <c r="L28" s="237"/>
      <c r="M28" s="237"/>
    </row>
    <row r="29" ht="13.5" customHeight="1">
      <c r="A29" t="s" s="1293">
        <f>IF('Adatlap'!$L$1='Fordítások'!C3,'Fordítások'!C232,'Fordítások'!B232)</f>
        <v>1775</v>
      </c>
      <c r="B29" s="1167"/>
      <c r="C29" s="142"/>
      <c r="D29" s="142"/>
      <c r="E29" s="142"/>
      <c r="F29" s="142"/>
      <c r="G29" s="142"/>
      <c r="H29" s="142"/>
      <c r="I29" s="142"/>
      <c r="J29" s="142"/>
      <c r="K29" s="142"/>
      <c r="L29" s="237"/>
      <c r="M29" s="237"/>
    </row>
    <row r="30" ht="14.15" customHeight="1">
      <c r="A30" s="1251"/>
      <c r="B30" s="142"/>
      <c r="C30" s="142"/>
      <c r="D30" s="142"/>
      <c r="E30" s="142"/>
      <c r="F30" s="142"/>
      <c r="G30" s="142"/>
      <c r="H30" s="142"/>
      <c r="I30" s="142"/>
      <c r="J30" s="142"/>
      <c r="K30" s="142"/>
      <c r="L30" s="237"/>
      <c r="M30" s="237"/>
    </row>
    <row r="31" ht="13.5" customHeight="1">
      <c r="A31" s="1161"/>
      <c r="B31" s="142"/>
      <c r="C31" s="142"/>
      <c r="D31" s="142"/>
      <c r="E31" s="142"/>
      <c r="F31" s="142"/>
      <c r="G31" s="142"/>
      <c r="H31" s="142"/>
      <c r="I31" s="142"/>
      <c r="J31" s="142"/>
      <c r="K31" s="142"/>
      <c r="L31" s="237"/>
      <c r="M31" s="237"/>
    </row>
    <row r="32" ht="14.15" customHeight="1">
      <c r="A32" t="s" s="1291">
        <v>2418</v>
      </c>
      <c r="B32" s="1167"/>
      <c r="C32" s="142"/>
      <c r="D32" s="142"/>
      <c r="E32" s="142"/>
      <c r="F32" s="142"/>
      <c r="G32" s="142"/>
      <c r="H32" s="142"/>
      <c r="I32" s="142"/>
      <c r="J32" s="142"/>
      <c r="K32" s="142"/>
      <c r="L32" s="237"/>
      <c r="M32" s="237"/>
    </row>
    <row r="33" ht="13.65" customHeight="1">
      <c r="A33" t="s" s="1292">
        <v>966</v>
      </c>
      <c r="B33" s="1167"/>
      <c r="C33" s="142"/>
      <c r="D33" s="142"/>
      <c r="E33" s="142"/>
      <c r="F33" s="142"/>
      <c r="G33" s="142"/>
      <c r="H33" s="142"/>
      <c r="I33" s="142"/>
      <c r="J33" s="142"/>
      <c r="K33" s="142"/>
      <c r="L33" s="237"/>
      <c r="M33" s="237"/>
    </row>
    <row r="34" ht="13.65" customHeight="1">
      <c r="A34" t="s" s="1292">
        <v>985</v>
      </c>
      <c r="B34" s="1167"/>
      <c r="C34" s="142"/>
      <c r="D34" s="142"/>
      <c r="E34" s="142"/>
      <c r="F34" s="142"/>
      <c r="G34" s="142"/>
      <c r="H34" s="142"/>
      <c r="I34" s="142"/>
      <c r="J34" s="142"/>
      <c r="K34" s="142"/>
      <c r="L34" s="237"/>
      <c r="M34" s="237"/>
    </row>
    <row r="35" ht="13.65" customHeight="1">
      <c r="A35" t="s" s="1292">
        <v>1074</v>
      </c>
      <c r="B35" s="1167"/>
      <c r="C35" s="142"/>
      <c r="D35" s="142"/>
      <c r="E35" s="142"/>
      <c r="F35" s="142"/>
      <c r="G35" s="142"/>
      <c r="H35" s="142"/>
      <c r="I35" s="142"/>
      <c r="J35" s="142"/>
      <c r="K35" s="142"/>
      <c r="L35" s="237"/>
      <c r="M35" s="237"/>
    </row>
    <row r="36" ht="13.65" customHeight="1">
      <c r="A36" t="s" s="1292">
        <v>971</v>
      </c>
      <c r="B36" s="1167"/>
      <c r="C36" s="142"/>
      <c r="D36" s="142"/>
      <c r="E36" s="142"/>
      <c r="F36" s="142"/>
      <c r="G36" s="142"/>
      <c r="H36" s="142"/>
      <c r="I36" s="142"/>
      <c r="J36" s="142"/>
      <c r="K36" s="142"/>
      <c r="L36" s="237"/>
      <c r="M36" s="237"/>
    </row>
    <row r="37" ht="13.5" customHeight="1">
      <c r="A37" t="s" s="1293">
        <v>1096</v>
      </c>
      <c r="B37" s="1167"/>
      <c r="C37" s="142"/>
      <c r="D37" s="142"/>
      <c r="E37" s="142"/>
      <c r="F37" s="142"/>
      <c r="G37" s="142"/>
      <c r="H37" s="142"/>
      <c r="I37" s="142"/>
      <c r="J37" s="142"/>
      <c r="K37" s="142"/>
      <c r="L37" s="237"/>
      <c r="M37" s="237"/>
    </row>
    <row r="38" ht="13.5" customHeight="1">
      <c r="A38" s="1295"/>
      <c r="B38" s="142"/>
      <c r="C38" s="142"/>
      <c r="D38" s="142"/>
      <c r="E38" s="142"/>
      <c r="F38" s="142"/>
      <c r="G38" s="142"/>
      <c r="H38" s="142"/>
      <c r="I38" s="142"/>
      <c r="J38" s="142"/>
      <c r="K38" s="142"/>
      <c r="L38" s="237"/>
      <c r="M38" s="237"/>
    </row>
    <row r="39" ht="14.15" customHeight="1">
      <c r="A39" t="s" s="1291">
        <v>2419</v>
      </c>
      <c r="B39" s="1167"/>
      <c r="C39" s="142"/>
      <c r="D39" s="142"/>
      <c r="E39" s="142"/>
      <c r="F39" s="142"/>
      <c r="G39" s="142"/>
      <c r="H39" s="142"/>
      <c r="I39" s="142"/>
      <c r="J39" s="142"/>
      <c r="K39" s="142"/>
      <c r="L39" s="237"/>
      <c r="M39" s="237"/>
    </row>
    <row r="40" ht="13.65" customHeight="1">
      <c r="A40" t="s" s="1292">
        <v>969</v>
      </c>
      <c r="B40" s="1167"/>
      <c r="C40" s="142"/>
      <c r="D40" s="142"/>
      <c r="E40" s="142"/>
      <c r="F40" s="142"/>
      <c r="G40" s="142"/>
      <c r="H40" s="142"/>
      <c r="I40" s="142"/>
      <c r="J40" s="142"/>
      <c r="K40" s="142"/>
      <c r="L40" s="237"/>
      <c r="M40" s="237"/>
    </row>
    <row r="41" ht="13.65" customHeight="1">
      <c r="A41" t="s" s="1292">
        <v>257</v>
      </c>
      <c r="B41" s="1167"/>
      <c r="C41" s="142"/>
      <c r="D41" s="142"/>
      <c r="E41" s="142"/>
      <c r="F41" s="142"/>
      <c r="G41" s="142"/>
      <c r="H41" s="142"/>
      <c r="I41" s="142"/>
      <c r="J41" s="142"/>
      <c r="K41" s="142"/>
      <c r="L41" s="237"/>
      <c r="M41" s="237"/>
    </row>
    <row r="42" ht="13.65" customHeight="1">
      <c r="A42" t="s" s="1292">
        <v>971</v>
      </c>
      <c r="B42" s="1167"/>
      <c r="C42" s="142"/>
      <c r="D42" s="142"/>
      <c r="E42" s="142"/>
      <c r="F42" s="142"/>
      <c r="G42" s="142"/>
      <c r="H42" s="142"/>
      <c r="I42" s="142"/>
      <c r="J42" s="142"/>
      <c r="K42" s="142"/>
      <c r="L42" s="237"/>
      <c r="M42" s="237"/>
    </row>
    <row r="43" ht="13.5" customHeight="1">
      <c r="A43" t="s" s="1293">
        <v>1096</v>
      </c>
      <c r="B43" s="1167"/>
      <c r="C43" s="142"/>
      <c r="D43" s="142"/>
      <c r="E43" s="142"/>
      <c r="F43" s="142"/>
      <c r="G43" s="142"/>
      <c r="H43" s="142"/>
      <c r="I43" s="142"/>
      <c r="J43" s="142"/>
      <c r="K43" s="142"/>
      <c r="L43" s="237"/>
      <c r="M43" s="237"/>
    </row>
    <row r="44" ht="13.5" customHeight="1">
      <c r="A44" s="1295"/>
      <c r="B44" s="142"/>
      <c r="C44" s="142"/>
      <c r="D44" s="142"/>
      <c r="E44" s="142"/>
      <c r="F44" s="142"/>
      <c r="G44" s="142"/>
      <c r="H44" s="142"/>
      <c r="I44" s="142"/>
      <c r="J44" s="142"/>
      <c r="K44" s="142"/>
      <c r="L44" s="237"/>
      <c r="M44" s="237"/>
    </row>
    <row r="45" ht="14.15" customHeight="1">
      <c r="A45" t="s" s="1296">
        <v>2420</v>
      </c>
      <c r="B45" s="1167"/>
      <c r="C45" s="142"/>
      <c r="D45" s="142"/>
      <c r="E45" s="142"/>
      <c r="F45" s="142"/>
      <c r="G45" s="142"/>
      <c r="H45" s="142"/>
      <c r="I45" s="142"/>
      <c r="J45" s="142"/>
      <c r="K45" s="142"/>
      <c r="L45" s="237"/>
      <c r="M45" s="237"/>
    </row>
    <row r="46" ht="14.2" customHeight="1">
      <c r="A46" s="1297">
        <v>0.05</v>
      </c>
      <c r="B46" s="1167"/>
      <c r="C46" s="142"/>
      <c r="D46" s="142"/>
      <c r="E46" s="142"/>
      <c r="F46" s="142"/>
      <c r="G46" s="142"/>
      <c r="H46" s="142"/>
      <c r="I46" s="142"/>
      <c r="J46" s="142"/>
      <c r="K46" s="142"/>
      <c r="L46" s="237"/>
      <c r="M46" s="237"/>
    </row>
    <row r="47" ht="14.2" customHeight="1">
      <c r="A47" s="1297">
        <v>0.15</v>
      </c>
      <c r="B47" s="1167"/>
      <c r="C47" s="142"/>
      <c r="D47" s="142"/>
      <c r="E47" s="142"/>
      <c r="F47" s="142"/>
      <c r="G47" s="142"/>
      <c r="H47" s="142"/>
      <c r="I47" s="142"/>
      <c r="J47" s="142"/>
      <c r="K47" s="142"/>
      <c r="L47" s="237"/>
      <c r="M47" s="237"/>
    </row>
    <row r="48" ht="14.2" customHeight="1">
      <c r="A48" s="1297">
        <v>0.5</v>
      </c>
      <c r="B48" s="1167"/>
      <c r="C48" s="142"/>
      <c r="D48" s="142"/>
      <c r="E48" s="142"/>
      <c r="F48" s="142"/>
      <c r="G48" s="142"/>
      <c r="H48" s="142"/>
      <c r="I48" s="142"/>
      <c r="J48" s="142"/>
      <c r="K48" s="142"/>
      <c r="L48" s="237"/>
      <c r="M48" s="237"/>
    </row>
    <row r="49" ht="13.5" customHeight="1">
      <c r="A49" s="1298">
        <v>1</v>
      </c>
      <c r="B49" s="1167"/>
      <c r="C49" s="142"/>
      <c r="D49" s="142"/>
      <c r="E49" s="142"/>
      <c r="F49" s="142"/>
      <c r="G49" s="142"/>
      <c r="H49" s="142"/>
      <c r="I49" s="142"/>
      <c r="J49" s="142"/>
      <c r="K49" s="142"/>
      <c r="L49" s="237"/>
      <c r="M49" s="237"/>
    </row>
    <row r="50" ht="13.5" customHeight="1">
      <c r="A50" s="1295"/>
      <c r="B50" s="142"/>
      <c r="C50" s="142"/>
      <c r="D50" s="142"/>
      <c r="E50" s="142"/>
      <c r="F50" s="142"/>
      <c r="G50" s="142"/>
      <c r="H50" s="142"/>
      <c r="I50" s="142"/>
      <c r="J50" s="142"/>
      <c r="K50" s="142"/>
      <c r="L50" s="237"/>
      <c r="M50" s="237"/>
    </row>
    <row r="51" ht="14.15" customHeight="1">
      <c r="A51" t="s" s="1296">
        <v>2421</v>
      </c>
      <c r="B51" s="1167"/>
      <c r="C51" s="142"/>
      <c r="D51" s="142"/>
      <c r="E51" s="142"/>
      <c r="F51" s="142"/>
      <c r="G51" s="142"/>
      <c r="H51" s="142"/>
      <c r="I51" s="142"/>
      <c r="J51" s="142"/>
      <c r="K51" s="142"/>
      <c r="L51" s="237"/>
      <c r="M51" s="237"/>
    </row>
    <row r="52" ht="13.65" customHeight="1">
      <c r="A52" t="s" s="1299">
        <v>2421</v>
      </c>
      <c r="B52" s="1167"/>
      <c r="C52" s="142"/>
      <c r="D52" s="142"/>
      <c r="E52" s="142"/>
      <c r="F52" s="142"/>
      <c r="G52" s="142"/>
      <c r="H52" s="142"/>
      <c r="I52" s="142"/>
      <c r="J52" s="142"/>
      <c r="K52" s="142"/>
      <c r="L52" s="237"/>
      <c r="M52" s="237"/>
    </row>
    <row r="53" ht="13.65" customHeight="1">
      <c r="A53" t="s" s="1300">
        <v>2422</v>
      </c>
      <c r="B53" s="1167"/>
      <c r="C53" s="142"/>
      <c r="D53" s="142"/>
      <c r="E53" s="142"/>
      <c r="F53" s="142"/>
      <c r="G53" s="142"/>
      <c r="H53" s="142"/>
      <c r="I53" s="142"/>
      <c r="J53" s="142"/>
      <c r="K53" s="142"/>
      <c r="L53" s="237"/>
      <c r="M53" s="237"/>
    </row>
    <row r="54" ht="13.5" customHeight="1">
      <c r="A54" t="s" s="1293">
        <f>IF('Adatlap'!$L$1='Fordítások'!C3,'Fordítások'!C107,'Fordítások'!B107)</f>
        <v>1464</v>
      </c>
      <c r="B54" s="1167"/>
      <c r="C54" s="142"/>
      <c r="D54" s="142"/>
      <c r="E54" s="142"/>
      <c r="F54" s="142"/>
      <c r="G54" s="142"/>
      <c r="H54" s="142"/>
      <c r="I54" s="142"/>
      <c r="J54" s="142"/>
      <c r="K54" s="142"/>
      <c r="L54" s="237"/>
      <c r="M54" s="237"/>
    </row>
    <row r="55" ht="13.5" customHeight="1">
      <c r="A55" s="1295"/>
      <c r="B55" s="142"/>
      <c r="C55" s="142"/>
      <c r="D55" s="142"/>
      <c r="E55" s="142"/>
      <c r="F55" s="142"/>
      <c r="G55" s="142"/>
      <c r="H55" s="142"/>
      <c r="I55" s="142"/>
      <c r="J55" s="142"/>
      <c r="K55" s="142"/>
      <c r="L55" s="237"/>
      <c r="M55" s="237"/>
    </row>
    <row r="56" ht="14.15" customHeight="1">
      <c r="A56" t="s" s="1291">
        <v>2423</v>
      </c>
      <c r="B56" s="1167"/>
      <c r="C56" s="142"/>
      <c r="D56" s="142"/>
      <c r="E56" s="142"/>
      <c r="F56" s="142"/>
      <c r="G56" s="142"/>
      <c r="H56" s="142"/>
      <c r="I56" s="142"/>
      <c r="J56" s="142"/>
      <c r="K56" s="142"/>
      <c r="L56" s="237"/>
      <c r="M56" s="237"/>
    </row>
    <row r="57" ht="13.65" customHeight="1">
      <c r="A57" t="s" s="1292">
        <f>IF('Adatlap'!$L$1='Fordítások'!C3,'Fordítások'!C129,'Fordítások'!B129)</f>
        <v>1523</v>
      </c>
      <c r="B57" s="1167"/>
      <c r="C57" s="142"/>
      <c r="D57" s="142"/>
      <c r="E57" s="142"/>
      <c r="F57" s="142"/>
      <c r="G57" s="142"/>
      <c r="H57" s="142"/>
      <c r="I57" s="142"/>
      <c r="J57" s="142"/>
      <c r="K57" s="142"/>
      <c r="L57" s="237"/>
      <c r="M57" s="237"/>
    </row>
    <row r="58" ht="13.5" customHeight="1">
      <c r="A58" t="s" s="1293">
        <f>IF('Adatlap'!$L$1='Fordítások'!C3,'Fordítások'!C130,'Fordítások'!B130)</f>
        <v>1526</v>
      </c>
      <c r="B58" s="1167"/>
      <c r="C58" s="142"/>
      <c r="D58" s="142"/>
      <c r="E58" s="142"/>
      <c r="F58" s="142"/>
      <c r="G58" s="142"/>
      <c r="H58" s="142"/>
      <c r="I58" s="142"/>
      <c r="J58" s="142"/>
      <c r="K58" s="142"/>
      <c r="L58" s="237"/>
      <c r="M58" s="237"/>
    </row>
    <row r="59" ht="13.5" customHeight="1">
      <c r="A59" s="1294"/>
      <c r="B59" s="145"/>
      <c r="C59" s="142"/>
      <c r="D59" s="142"/>
      <c r="E59" s="142"/>
      <c r="F59" s="142"/>
      <c r="G59" s="142"/>
      <c r="H59" s="142"/>
      <c r="I59" s="142"/>
      <c r="J59" s="142"/>
      <c r="K59" s="142"/>
      <c r="L59" s="237"/>
      <c r="M59" s="237"/>
    </row>
    <row r="60" ht="14.15" customHeight="1">
      <c r="A60" t="s" s="1291">
        <v>2424</v>
      </c>
      <c r="B60" s="1167"/>
      <c r="C60" s="142"/>
      <c r="D60" s="142"/>
      <c r="E60" s="142"/>
      <c r="F60" s="142"/>
      <c r="G60" s="142"/>
      <c r="H60" s="142"/>
      <c r="I60" s="142"/>
      <c r="J60" s="142"/>
      <c r="K60" s="142"/>
      <c r="L60" s="237"/>
      <c r="M60" s="237"/>
    </row>
    <row r="61" ht="13.65" customHeight="1">
      <c r="A61" t="s" s="1292">
        <f>IF('Adatlap'!$L$1='Fordítások'!C3,'Fordítások'!C234,'Fordítások'!B234)</f>
        <v>1780</v>
      </c>
      <c r="B61" s="1167"/>
      <c r="C61" s="142"/>
      <c r="D61" s="142"/>
      <c r="E61" s="142"/>
      <c r="F61" s="142"/>
      <c r="G61" s="142"/>
      <c r="H61" s="142"/>
      <c r="I61" s="142"/>
      <c r="J61" s="142"/>
      <c r="K61" s="142"/>
      <c r="L61" s="237"/>
      <c r="M61" s="237"/>
    </row>
    <row r="62" ht="13.5" customHeight="1">
      <c r="A62" t="s" s="1293">
        <f>IF('Adatlap'!$L$1='Fordítások'!C3,'Fordítások'!C235,'Fordítások'!B235)</f>
        <v>1783</v>
      </c>
      <c r="B62" s="1167"/>
      <c r="C62" s="142"/>
      <c r="D62" s="142"/>
      <c r="E62" s="142"/>
      <c r="F62" s="142"/>
      <c r="G62" s="142"/>
      <c r="H62" s="142"/>
      <c r="I62" s="142"/>
      <c r="J62" s="142"/>
      <c r="K62" s="142"/>
      <c r="L62" s="237"/>
      <c r="M62" s="237"/>
    </row>
    <row r="63" ht="14.15" customHeight="1">
      <c r="A63" s="1301"/>
      <c r="B63" s="145"/>
      <c r="C63" s="142"/>
      <c r="D63" s="142"/>
      <c r="E63" s="142"/>
      <c r="F63" s="142"/>
      <c r="G63" s="142"/>
      <c r="H63" s="142"/>
      <c r="I63" s="142"/>
      <c r="J63" s="142"/>
      <c r="K63" s="142"/>
      <c r="L63" s="237"/>
      <c r="M63" s="237"/>
    </row>
    <row r="64" ht="13.5" customHeight="1">
      <c r="A64" s="1302"/>
      <c r="B64" s="142"/>
      <c r="C64" s="142"/>
      <c r="D64" s="142"/>
      <c r="E64" s="142"/>
      <c r="F64" s="142"/>
      <c r="G64" s="142"/>
      <c r="H64" s="142"/>
      <c r="I64" s="142"/>
      <c r="J64" s="142"/>
      <c r="K64" s="142"/>
      <c r="L64" s="237"/>
      <c r="M64" s="237"/>
    </row>
    <row r="65" ht="14.15" customHeight="1">
      <c r="A65" t="s" s="1291">
        <v>2425</v>
      </c>
      <c r="B65" s="1167"/>
      <c r="C65" s="142"/>
      <c r="D65" s="142"/>
      <c r="E65" s="142"/>
      <c r="F65" s="142"/>
      <c r="G65" s="142"/>
      <c r="H65" s="142"/>
      <c r="I65" s="142"/>
      <c r="J65" s="142"/>
      <c r="K65" s="142"/>
      <c r="L65" s="237"/>
      <c r="M65" s="237"/>
    </row>
    <row r="66" ht="13.65" customHeight="1">
      <c r="A66" t="s" s="1292">
        <f>IF('Adatlap'!$L$1='Fordítások'!C3,'Fordítások'!C151,'Fordítások'!B151)</f>
        <v>1576</v>
      </c>
      <c r="B66" s="1167"/>
      <c r="C66" s="142"/>
      <c r="D66" s="142"/>
      <c r="E66" s="142"/>
      <c r="F66" s="142"/>
      <c r="G66" s="142"/>
      <c r="H66" s="142"/>
      <c r="I66" s="142"/>
      <c r="J66" s="142"/>
      <c r="K66" s="142"/>
      <c r="L66" s="237"/>
      <c r="M66" s="237"/>
    </row>
    <row r="67" ht="13.65" customHeight="1">
      <c r="A67" t="s" s="1292">
        <f>IF('Adatlap'!$L$1='Fordítások'!C3,'Fordítások'!C155,'Fordítások'!B155)</f>
        <v>1588</v>
      </c>
      <c r="B67" s="1167"/>
      <c r="C67" s="142"/>
      <c r="D67" s="142"/>
      <c r="E67" s="142"/>
      <c r="F67" s="142"/>
      <c r="G67" s="142"/>
      <c r="H67" s="142"/>
      <c r="I67" s="142"/>
      <c r="J67" s="142"/>
      <c r="K67" s="142"/>
      <c r="L67" s="237"/>
      <c r="M67" s="237"/>
    </row>
    <row r="68" ht="13.5" customHeight="1">
      <c r="A68" t="s" s="1293">
        <f>IF('Adatlap'!$L$1='Fordítások'!C3,'Fordítások'!C150,'Fordítások'!B150)</f>
        <v>1573</v>
      </c>
      <c r="B68" s="1167"/>
      <c r="C68" s="142"/>
      <c r="D68" s="142"/>
      <c r="E68" s="142"/>
      <c r="F68" s="142"/>
      <c r="G68" s="142"/>
      <c r="H68" s="142"/>
      <c r="I68" s="142"/>
      <c r="J68" s="142"/>
      <c r="K68" s="142"/>
      <c r="L68" s="237"/>
      <c r="M68" s="237"/>
    </row>
    <row r="69" ht="13.5" customHeight="1">
      <c r="A69" s="1295"/>
      <c r="B69" s="142"/>
      <c r="C69" s="142"/>
      <c r="D69" s="142"/>
      <c r="E69" s="142"/>
      <c r="F69" s="142"/>
      <c r="G69" s="142"/>
      <c r="H69" s="142"/>
      <c r="I69" s="142"/>
      <c r="J69" s="142"/>
      <c r="K69" s="142"/>
      <c r="L69" s="237"/>
      <c r="M69" s="237"/>
    </row>
    <row r="70" ht="14.15" customHeight="1">
      <c r="A70" t="s" s="1291">
        <v>2426</v>
      </c>
      <c r="B70" s="1167"/>
      <c r="C70" s="142"/>
      <c r="D70" s="142"/>
      <c r="E70" s="142"/>
      <c r="F70" s="142"/>
      <c r="G70" s="142"/>
      <c r="H70" s="142"/>
      <c r="I70" s="142"/>
      <c r="J70" s="142"/>
      <c r="K70" s="142"/>
      <c r="L70" s="237"/>
      <c r="M70" s="237"/>
    </row>
    <row r="71" ht="13.65" customHeight="1">
      <c r="A71" t="s" s="1292">
        <f>IF('Adatlap'!$L$1='Fordítások'!C3,'Fordítások'!C156,'Fordítások'!B156)</f>
        <v>1591</v>
      </c>
      <c r="B71" s="1167"/>
      <c r="C71" s="142"/>
      <c r="D71" s="142"/>
      <c r="E71" s="142"/>
      <c r="F71" s="142"/>
      <c r="G71" s="142"/>
      <c r="H71" s="142"/>
      <c r="I71" s="142"/>
      <c r="J71" s="142"/>
      <c r="K71" s="142"/>
      <c r="L71" s="237"/>
      <c r="M71" s="237"/>
    </row>
    <row r="72" ht="13.65" customHeight="1">
      <c r="A72" t="s" s="1292">
        <f>IF('Adatlap'!$L$1='Fordítások'!C3,'Fordítások'!C157,'Fordítások'!B157)</f>
        <v>1594</v>
      </c>
      <c r="B72" s="1167"/>
      <c r="C72" s="142"/>
      <c r="D72" s="142"/>
      <c r="E72" s="142"/>
      <c r="F72" s="142"/>
      <c r="G72" s="142"/>
      <c r="H72" s="142"/>
      <c r="I72" s="142"/>
      <c r="J72" s="142"/>
      <c r="K72" s="142"/>
      <c r="L72" s="237"/>
      <c r="M72" s="237"/>
    </row>
    <row r="73" ht="13.65" customHeight="1">
      <c r="A73" t="s" s="1292">
        <f>IF('Adatlap'!$L$1='Fordítások'!C3,'Fordítások'!C152,'Fordítások'!B152)</f>
        <v>1579</v>
      </c>
      <c r="B73" s="1167"/>
      <c r="C73" s="142"/>
      <c r="D73" s="142"/>
      <c r="E73" s="142"/>
      <c r="F73" s="142"/>
      <c r="G73" s="142"/>
      <c r="H73" s="142"/>
      <c r="I73" s="142"/>
      <c r="J73" s="142"/>
      <c r="K73" s="142"/>
      <c r="L73" s="237"/>
      <c r="M73" s="237"/>
    </row>
    <row r="74" ht="13.65" customHeight="1">
      <c r="A74" t="s" s="1292">
        <f>IF('Adatlap'!$L$1='Fordítások'!C3,'Fordítások'!C153,'Fordítások'!B153)</f>
        <v>1582</v>
      </c>
      <c r="B74" s="1167"/>
      <c r="C74" s="142"/>
      <c r="D74" s="142"/>
      <c r="E74" s="142"/>
      <c r="F74" s="142"/>
      <c r="G74" s="142"/>
      <c r="H74" s="142"/>
      <c r="I74" s="142"/>
      <c r="J74" s="142"/>
      <c r="K74" s="142"/>
      <c r="L74" s="237"/>
      <c r="M74" s="237"/>
    </row>
    <row r="75" ht="13.65" customHeight="1">
      <c r="A75" t="s" s="1292">
        <f>IF('Adatlap'!$L$1='Fordítások'!C3,'Fordítások'!C154,'Fordítások'!B154)</f>
        <v>1585</v>
      </c>
      <c r="B75" s="1167"/>
      <c r="C75" s="142"/>
      <c r="D75" s="142"/>
      <c r="E75" s="142"/>
      <c r="F75" s="142"/>
      <c r="G75" s="142"/>
      <c r="H75" s="142"/>
      <c r="I75" s="142"/>
      <c r="J75" s="142"/>
      <c r="K75" s="142"/>
      <c r="L75" s="237"/>
      <c r="M75" s="237"/>
    </row>
    <row r="76" ht="13.5" customHeight="1">
      <c r="A76" t="s" s="1293">
        <f>IF('Adatlap'!$L$1='Fordítások'!C3,'Fordítások'!C166,'Fordítások'!B166)</f>
        <v>1621</v>
      </c>
      <c r="B76" s="1167"/>
      <c r="C76" s="142"/>
      <c r="D76" s="142"/>
      <c r="E76" s="142"/>
      <c r="F76" s="142"/>
      <c r="G76" s="142"/>
      <c r="H76" s="142"/>
      <c r="I76" s="142"/>
      <c r="J76" s="142"/>
      <c r="K76" s="142"/>
      <c r="L76" s="237"/>
      <c r="M76" s="237"/>
    </row>
    <row r="77" ht="13.5" customHeight="1">
      <c r="A77" s="1295"/>
      <c r="B77" s="142"/>
      <c r="C77" s="142"/>
      <c r="D77" s="142"/>
      <c r="E77" s="142"/>
      <c r="F77" s="142"/>
      <c r="G77" s="142"/>
      <c r="H77" s="142"/>
      <c r="I77" s="142"/>
      <c r="J77" s="142"/>
      <c r="K77" s="142"/>
      <c r="L77" s="237"/>
      <c r="M77" s="237"/>
    </row>
    <row r="78" ht="14.15" customHeight="1">
      <c r="A78" t="s" s="1291">
        <v>2427</v>
      </c>
      <c r="B78" s="1167"/>
      <c r="C78" s="142"/>
      <c r="D78" s="142"/>
      <c r="E78" s="142"/>
      <c r="F78" s="142"/>
      <c r="G78" s="142"/>
      <c r="H78" s="142"/>
      <c r="I78" s="142"/>
      <c r="J78" s="142"/>
      <c r="K78" s="142"/>
      <c r="L78" s="237"/>
      <c r="M78" s="237"/>
    </row>
    <row r="79" ht="13.65" customHeight="1">
      <c r="A79" t="s" s="1292">
        <f>IF('Adatlap'!$L$1='Fordítások'!C3,'Fordítások'!C156,'Fordítások'!B156)</f>
        <v>1591</v>
      </c>
      <c r="B79" s="1167"/>
      <c r="C79" s="142"/>
      <c r="D79" s="142"/>
      <c r="E79" s="142"/>
      <c r="F79" s="142"/>
      <c r="G79" s="142"/>
      <c r="H79" s="142"/>
      <c r="I79" s="142"/>
      <c r="J79" s="142"/>
      <c r="K79" s="142"/>
      <c r="L79" s="237"/>
      <c r="M79" s="237"/>
    </row>
    <row r="80" ht="13.65" customHeight="1">
      <c r="A80" t="s" s="1292">
        <f>IF('Adatlap'!$L$1='Fordítások'!C3,'Fordítások'!C157,'Fordítások'!B157)</f>
        <v>1594</v>
      </c>
      <c r="B80" s="1167"/>
      <c r="C80" s="142"/>
      <c r="D80" s="142"/>
      <c r="E80" s="142"/>
      <c r="F80" s="142"/>
      <c r="G80" s="142"/>
      <c r="H80" s="142"/>
      <c r="I80" s="142"/>
      <c r="J80" s="142"/>
      <c r="K80" s="142"/>
      <c r="L80" s="237"/>
      <c r="M80" s="237"/>
    </row>
    <row r="81" ht="13.65" customHeight="1">
      <c r="A81" t="s" s="1292">
        <f>IF('Adatlap'!$L$1='Fordítások'!C3,'Fordítások'!C160,'Fordítások'!B160)</f>
        <v>1603</v>
      </c>
      <c r="B81" s="1167"/>
      <c r="C81" s="142"/>
      <c r="D81" s="142"/>
      <c r="E81" s="142"/>
      <c r="F81" s="142"/>
      <c r="G81" s="142"/>
      <c r="H81" s="142"/>
      <c r="I81" s="142"/>
      <c r="J81" s="142"/>
      <c r="K81" s="142"/>
      <c r="L81" s="237"/>
      <c r="M81" s="237"/>
    </row>
    <row r="82" ht="13.65" customHeight="1">
      <c r="A82" t="s" s="1292">
        <f>IF('Adatlap'!$L$1='Fordítások'!C3,'Fordítások'!C161,'Fordítások'!B161)</f>
        <v>1606</v>
      </c>
      <c r="B82" s="1167"/>
      <c r="C82" s="142"/>
      <c r="D82" s="142"/>
      <c r="E82" s="142"/>
      <c r="F82" s="142"/>
      <c r="G82" s="142"/>
      <c r="H82" s="142"/>
      <c r="I82" s="142"/>
      <c r="J82" s="142"/>
      <c r="K82" s="142"/>
      <c r="L82" s="237"/>
      <c r="M82" s="237"/>
    </row>
    <row r="83" ht="13.65" customHeight="1">
      <c r="A83" t="s" s="1292">
        <f>IF('Adatlap'!$L$1='Fordítások'!C3,'Fordítások'!C158,'Fordítások'!B158)</f>
        <v>1597</v>
      </c>
      <c r="B83" s="1167"/>
      <c r="C83" s="142"/>
      <c r="D83" s="142"/>
      <c r="E83" s="142"/>
      <c r="F83" s="142"/>
      <c r="G83" s="142"/>
      <c r="H83" s="142"/>
      <c r="I83" s="142"/>
      <c r="J83" s="142"/>
      <c r="K83" s="142"/>
      <c r="L83" s="237"/>
      <c r="M83" s="237"/>
    </row>
    <row r="84" ht="13.65" customHeight="1">
      <c r="A84" t="s" s="1292">
        <f>IF('Adatlap'!$L$1='Fordítások'!C3,'Fordítások'!C159,'Fordítások'!B159)</f>
        <v>1600</v>
      </c>
      <c r="B84" s="1167"/>
      <c r="C84" s="142"/>
      <c r="D84" s="142"/>
      <c r="E84" s="142"/>
      <c r="F84" s="142"/>
      <c r="G84" s="142"/>
      <c r="H84" s="142"/>
      <c r="I84" s="142"/>
      <c r="J84" s="142"/>
      <c r="K84" s="142"/>
      <c r="L84" s="237"/>
      <c r="M84" s="237"/>
    </row>
    <row r="85" ht="13.5" customHeight="1">
      <c r="A85" t="s" s="1293">
        <f>IF('Adatlap'!$L$1='Fordítások'!C3,'Fordítások'!C149,'Fordítások'!B149)</f>
        <v>1570</v>
      </c>
      <c r="B85" s="1167"/>
      <c r="C85" s="142"/>
      <c r="D85" s="142"/>
      <c r="E85" s="142"/>
      <c r="F85" s="142"/>
      <c r="G85" s="142"/>
      <c r="H85" s="142"/>
      <c r="I85" s="142"/>
      <c r="J85" s="142"/>
      <c r="K85" s="142"/>
      <c r="L85" s="237"/>
      <c r="M85" s="237"/>
    </row>
    <row r="86" ht="13.5" customHeight="1">
      <c r="A86" s="1295"/>
      <c r="B86" s="142"/>
      <c r="C86" s="142"/>
      <c r="D86" s="142"/>
      <c r="E86" s="142"/>
      <c r="F86" s="142"/>
      <c r="G86" s="142"/>
      <c r="H86" s="142"/>
      <c r="I86" s="142"/>
      <c r="J86" s="142"/>
      <c r="K86" s="142"/>
      <c r="L86" s="237"/>
      <c r="M86" s="237"/>
    </row>
    <row r="87" ht="14.15" customHeight="1">
      <c r="A87" t="s" s="1291">
        <v>2428</v>
      </c>
      <c r="B87" s="1167"/>
      <c r="C87" s="142"/>
      <c r="D87" s="142"/>
      <c r="E87" s="142"/>
      <c r="F87" s="142"/>
      <c r="G87" s="142"/>
      <c r="H87" s="142"/>
      <c r="I87" s="142"/>
      <c r="J87" s="142"/>
      <c r="K87" s="142"/>
      <c r="L87" s="237"/>
      <c r="M87" s="237"/>
    </row>
    <row r="88" ht="13.65" customHeight="1">
      <c r="A88" t="s" s="1292">
        <f>IF('Adatlap'!$L$1='Fordítások'!C3,'Fordítások'!C162,'Fordítások'!B162)</f>
        <v>1609</v>
      </c>
      <c r="B88" s="1167"/>
      <c r="C88" s="142"/>
      <c r="D88" s="142"/>
      <c r="E88" s="142"/>
      <c r="F88" s="142"/>
      <c r="G88" s="142"/>
      <c r="H88" s="142"/>
      <c r="I88" s="142"/>
      <c r="J88" s="142"/>
      <c r="K88" s="142"/>
      <c r="L88" s="237"/>
      <c r="M88" s="237"/>
    </row>
    <row r="89" ht="13.65" customHeight="1">
      <c r="A89" t="s" s="1292">
        <f>IF('Adatlap'!$L$1='Fordítások'!C3,'Fordítások'!C163,'Fordítások'!B163)</f>
        <v>1612</v>
      </c>
      <c r="B89" s="1167"/>
      <c r="C89" s="142"/>
      <c r="D89" s="142"/>
      <c r="E89" s="142"/>
      <c r="F89" s="142"/>
      <c r="G89" s="142"/>
      <c r="H89" s="142"/>
      <c r="I89" s="142"/>
      <c r="J89" s="142"/>
      <c r="K89" s="142"/>
      <c r="L89" s="237"/>
      <c r="M89" s="237"/>
    </row>
    <row r="90" ht="13.65" customHeight="1">
      <c r="A90" t="s" s="1292">
        <f>IF('Adatlap'!$L$1='Fordítások'!C3,'Fordítások'!C164,'Fordítások'!B164)</f>
        <v>1615</v>
      </c>
      <c r="B90" s="1167"/>
      <c r="C90" s="142"/>
      <c r="D90" s="142"/>
      <c r="E90" s="142"/>
      <c r="F90" s="142"/>
      <c r="G90" s="142"/>
      <c r="H90" s="142"/>
      <c r="I90" s="142"/>
      <c r="J90" s="142"/>
      <c r="K90" s="142"/>
      <c r="L90" s="237"/>
      <c r="M90" s="237"/>
    </row>
    <row r="91" ht="13.65" customHeight="1">
      <c r="A91" t="s" s="1292">
        <f>IF('Adatlap'!$L$1='Fordítások'!C3,'Fordítások'!C165,'Fordítások'!B165)</f>
        <v>1618</v>
      </c>
      <c r="B91" s="1167"/>
      <c r="C91" s="142"/>
      <c r="D91" s="142"/>
      <c r="E91" s="142"/>
      <c r="F91" s="142"/>
      <c r="G91" s="142"/>
      <c r="H91" s="142"/>
      <c r="I91" s="142"/>
      <c r="J91" s="142"/>
      <c r="K91" s="142"/>
      <c r="L91" s="237"/>
      <c r="M91" s="237"/>
    </row>
    <row r="92" ht="13.5" customHeight="1">
      <c r="A92" t="s" s="1293">
        <f>IF('Adatlap'!$L$1='Fordítások'!C3,'Fordítások'!C166,'Fordítások'!B166)</f>
        <v>1621</v>
      </c>
      <c r="B92" s="1167"/>
      <c r="C92" s="142"/>
      <c r="D92" s="142"/>
      <c r="E92" s="142"/>
      <c r="F92" s="142"/>
      <c r="G92" s="142"/>
      <c r="H92" s="142"/>
      <c r="I92" s="142"/>
      <c r="J92" s="142"/>
      <c r="K92" s="142"/>
      <c r="L92" s="237"/>
      <c r="M92" s="237"/>
    </row>
    <row r="93" ht="13.5" customHeight="1">
      <c r="A93" s="1295"/>
      <c r="B93" s="142"/>
      <c r="C93" s="142"/>
      <c r="D93" s="142"/>
      <c r="E93" s="142"/>
      <c r="F93" s="142"/>
      <c r="G93" s="142"/>
      <c r="H93" s="142"/>
      <c r="I93" s="142"/>
      <c r="J93" s="142"/>
      <c r="K93" s="142"/>
      <c r="L93" s="237"/>
      <c r="M93" s="237"/>
    </row>
    <row r="94" ht="14.15" customHeight="1">
      <c r="A94" t="s" s="1291">
        <v>2416</v>
      </c>
      <c r="B94" s="1167"/>
      <c r="C94" s="142"/>
      <c r="D94" s="142"/>
      <c r="E94" s="142"/>
      <c r="F94" s="142"/>
      <c r="G94" s="142"/>
      <c r="H94" s="142"/>
      <c r="I94" s="142"/>
      <c r="J94" s="142"/>
      <c r="K94" s="142"/>
      <c r="L94" s="237"/>
      <c r="M94" s="237"/>
    </row>
    <row r="95" ht="13.65" customHeight="1">
      <c r="A95" t="s" s="1292">
        <f>IF('Adatlap'!$L$1='Fordítások'!C3,'Fordítások'!C206,'Fordítások'!B206)</f>
        <v>1710</v>
      </c>
      <c r="B95" s="1167"/>
      <c r="C95" s="142"/>
      <c r="D95" s="142"/>
      <c r="E95" s="142"/>
      <c r="F95" s="142"/>
      <c r="G95" s="142"/>
      <c r="H95" s="142"/>
      <c r="I95" s="142"/>
      <c r="J95" s="142"/>
      <c r="K95" s="142"/>
      <c r="L95" s="237"/>
      <c r="M95" s="237"/>
    </row>
    <row r="96" ht="13.5" customHeight="1">
      <c r="A96" t="s" s="1293">
        <f>IF('Adatlap'!$L$1='Fordítások'!C3,'Fordítások'!C207,'Fordítások'!B207)</f>
        <v>549</v>
      </c>
      <c r="B96" s="1167"/>
      <c r="C96" s="142"/>
      <c r="D96" s="142"/>
      <c r="E96" s="142"/>
      <c r="F96" s="142"/>
      <c r="G96" s="142"/>
      <c r="H96" s="142"/>
      <c r="I96" s="142"/>
      <c r="J96" s="142"/>
      <c r="K96" s="142"/>
      <c r="L96" s="237"/>
      <c r="M96" s="237"/>
    </row>
    <row r="97" ht="13.5" customHeight="1">
      <c r="A97" s="1295"/>
      <c r="B97" s="142"/>
      <c r="C97" s="142"/>
      <c r="D97" s="142"/>
      <c r="E97" s="142"/>
      <c r="F97" s="142"/>
      <c r="G97" s="142"/>
      <c r="H97" s="142"/>
      <c r="I97" s="142"/>
      <c r="J97" s="142"/>
      <c r="K97" s="142"/>
      <c r="L97" s="237"/>
      <c r="M97" s="237"/>
    </row>
    <row r="98" ht="14.15" customHeight="1">
      <c r="A98" t="s" s="1296">
        <v>2429</v>
      </c>
      <c r="B98" s="1167"/>
      <c r="C98" s="142"/>
      <c r="D98" s="142"/>
      <c r="E98" s="142"/>
      <c r="F98" s="142"/>
      <c r="G98" s="142"/>
      <c r="H98" s="142"/>
      <c r="I98" s="142"/>
      <c r="J98" s="142"/>
      <c r="K98" s="142"/>
      <c r="L98" s="237"/>
      <c r="M98" s="237"/>
    </row>
    <row r="99" ht="13.65" customHeight="1">
      <c r="A99" t="s" s="1303">
        <f>IF('Adatlap'!$L$1='Fordítások'!C3,'Fordítások'!C224,'Fordítások'!B224)</f>
        <v>1755</v>
      </c>
      <c r="B99" s="1167"/>
      <c r="C99" s="142"/>
      <c r="D99" s="142"/>
      <c r="E99" s="142"/>
      <c r="F99" s="142"/>
      <c r="G99" s="142"/>
      <c r="H99" s="142"/>
      <c r="I99" s="142"/>
      <c r="J99" s="142"/>
      <c r="K99" s="142"/>
      <c r="L99" s="237"/>
      <c r="M99" s="237"/>
    </row>
    <row r="100" ht="13.65" customHeight="1">
      <c r="A100" t="s" s="1303">
        <f>IF('Adatlap'!$L$1='Fordítások'!C$3,'Fordítások'!C685,'Fordítások'!B685)</f>
        <v>2373</v>
      </c>
      <c r="B100" s="1167"/>
      <c r="C100" s="142"/>
      <c r="D100" s="142"/>
      <c r="E100" s="142"/>
      <c r="F100" s="142"/>
      <c r="G100" s="142"/>
      <c r="H100" s="142"/>
      <c r="I100" s="142"/>
      <c r="J100" s="142"/>
      <c r="K100" s="142"/>
      <c r="L100" s="237"/>
      <c r="M100" s="237"/>
    </row>
    <row r="101" ht="13.65" customHeight="1">
      <c r="A101" t="s" s="1303">
        <f>IF('Adatlap'!$L$1='Fordítások'!C$3,'Fordítások'!C686,'Fordítások'!B686)</f>
        <v>2375</v>
      </c>
      <c r="B101" s="1167"/>
      <c r="C101" s="142"/>
      <c r="D101" s="142"/>
      <c r="E101" s="142"/>
      <c r="F101" s="142"/>
      <c r="G101" s="142"/>
      <c r="H101" s="142"/>
      <c r="I101" s="142"/>
      <c r="J101" s="142"/>
      <c r="K101" s="142"/>
      <c r="L101" s="237"/>
      <c r="M101" s="237"/>
    </row>
    <row r="102" ht="13.65" customHeight="1">
      <c r="A102" t="s" s="1303">
        <f>IF('Adatlap'!$L$1='Fordítások'!C$3,'Fordítások'!C687,'Fordítások'!B687)</f>
        <v>2377</v>
      </c>
      <c r="B102" s="1167"/>
      <c r="C102" s="142"/>
      <c r="D102" s="142"/>
      <c r="E102" s="142"/>
      <c r="F102" s="142"/>
      <c r="G102" s="142"/>
      <c r="H102" s="142"/>
      <c r="I102" s="142"/>
      <c r="J102" s="142"/>
      <c r="K102" s="142"/>
      <c r="L102" s="237"/>
      <c r="M102" s="237"/>
    </row>
    <row r="103" ht="13.5" customHeight="1">
      <c r="A103" s="1161"/>
      <c r="B103" s="142"/>
      <c r="C103" s="142"/>
      <c r="D103" s="142"/>
      <c r="E103" s="142"/>
      <c r="F103" s="142"/>
      <c r="G103" s="142"/>
      <c r="H103" s="142"/>
      <c r="I103" s="142"/>
      <c r="J103" s="142"/>
      <c r="K103" s="142"/>
      <c r="L103" s="237"/>
      <c r="M103" s="237"/>
    </row>
    <row r="104" ht="14.15" customHeight="1">
      <c r="A104" t="s" s="1304">
        <v>2430</v>
      </c>
      <c r="B104" s="1167"/>
      <c r="C104" s="142"/>
      <c r="D104" s="142"/>
      <c r="E104" s="142"/>
      <c r="F104" s="142"/>
      <c r="G104" s="142"/>
      <c r="H104" s="142"/>
      <c r="I104" s="142"/>
      <c r="J104" s="142"/>
      <c r="K104" s="142"/>
      <c r="L104" s="237"/>
      <c r="M104" s="237"/>
    </row>
    <row r="105" ht="13.65" customHeight="1">
      <c r="A105" t="s" s="1237">
        <f>IF('Adatlap'!$L$1='Fordítások'!C3,'Fordítások'!C237,'Fordítások'!B237)</f>
        <v>130</v>
      </c>
      <c r="B105" s="1167"/>
      <c r="C105" s="142"/>
      <c r="D105" s="142"/>
      <c r="E105" s="142"/>
      <c r="F105" s="142"/>
      <c r="G105" s="142"/>
      <c r="H105" s="142"/>
      <c r="I105" s="142"/>
      <c r="J105" s="142"/>
      <c r="K105" s="142"/>
      <c r="L105" s="237"/>
      <c r="M105" s="237"/>
    </row>
    <row r="106" ht="13.65" customHeight="1">
      <c r="A106" t="s" s="1237">
        <f>IF('Adatlap'!$L$1='Fordítások'!C3,'Fordítások'!C238,'Fordítások'!B238)</f>
        <v>132</v>
      </c>
      <c r="B106" s="1167"/>
      <c r="C106" s="142"/>
      <c r="D106" s="142"/>
      <c r="E106" s="142"/>
      <c r="F106" s="142"/>
      <c r="G106" s="142"/>
      <c r="H106" s="142"/>
      <c r="I106" s="142"/>
      <c r="J106" s="142"/>
      <c r="K106" s="142"/>
      <c r="L106" s="237"/>
      <c r="M106" s="237"/>
    </row>
    <row r="107" ht="13.65" customHeight="1">
      <c r="A107" t="s" s="1237">
        <f>IF('Adatlap'!$L$1='Fordítások'!C3,'Fordítások'!C239,'Fordítások'!B239)</f>
        <v>134</v>
      </c>
      <c r="B107" s="1167"/>
      <c r="C107" s="142"/>
      <c r="D107" s="142"/>
      <c r="E107" s="142"/>
      <c r="F107" s="142"/>
      <c r="G107" s="142"/>
      <c r="H107" s="142"/>
      <c r="I107" s="142"/>
      <c r="J107" s="142"/>
      <c r="K107" s="142"/>
      <c r="L107" s="237"/>
      <c r="M107" s="237"/>
    </row>
    <row r="108" ht="13.65" customHeight="1">
      <c r="A108" t="s" s="1237">
        <f>IF('Adatlap'!$L$1='Fordítások'!C3,'Fordítások'!C240,'Fordítások'!B240)</f>
        <v>135</v>
      </c>
      <c r="B108" s="1167"/>
      <c r="C108" s="142"/>
      <c r="D108" s="142"/>
      <c r="E108" s="142"/>
      <c r="F108" s="142"/>
      <c r="G108" s="142"/>
      <c r="H108" s="142"/>
      <c r="I108" s="142"/>
      <c r="J108" s="142"/>
      <c r="K108" s="142"/>
      <c r="L108" s="237"/>
      <c r="M108" s="237"/>
    </row>
    <row r="109" ht="13.65" customHeight="1">
      <c r="A109" t="s" s="1237">
        <f>IF('Adatlap'!$L$1='Fordítások'!C3,'Fordítások'!C241,'Fordítások'!B241)</f>
        <v>136</v>
      </c>
      <c r="B109" s="1167"/>
      <c r="C109" s="142"/>
      <c r="D109" s="142"/>
      <c r="E109" s="142"/>
      <c r="F109" s="142"/>
      <c r="G109" s="142"/>
      <c r="H109" s="142"/>
      <c r="I109" s="142"/>
      <c r="J109" s="142"/>
      <c r="K109" s="142"/>
      <c r="L109" s="237"/>
      <c r="M109" s="237"/>
    </row>
    <row r="110" ht="13.5" customHeight="1">
      <c r="A110" t="s" s="1305">
        <f>IF('Adatlap'!$L$1='Fordítások'!C3,'Fordítások'!C242,'Fordítások'!B242)</f>
        <v>137</v>
      </c>
      <c r="B110" s="1167"/>
      <c r="C110" s="142"/>
      <c r="D110" s="142"/>
      <c r="E110" s="142"/>
      <c r="F110" s="142"/>
      <c r="G110" s="142"/>
      <c r="H110" s="142"/>
      <c r="I110" s="142"/>
      <c r="J110" s="142"/>
      <c r="K110" s="142"/>
      <c r="L110" s="237"/>
      <c r="M110" s="237"/>
    </row>
    <row r="111" ht="13.5" customHeight="1">
      <c r="A111" s="1295"/>
      <c r="B111" s="1161"/>
      <c r="C111" s="1161"/>
      <c r="D111" s="1161"/>
      <c r="E111" s="1161"/>
      <c r="F111" s="1161"/>
      <c r="G111" s="1161"/>
      <c r="H111" s="1161"/>
      <c r="I111" s="142"/>
      <c r="J111" s="142"/>
      <c r="K111" s="142"/>
      <c r="L111" s="237"/>
      <c r="M111" s="237"/>
    </row>
    <row r="112" ht="14.15" customHeight="1">
      <c r="A112" t="s" s="1304">
        <v>2431</v>
      </c>
      <c r="B112" t="s" s="1306">
        <v>2432</v>
      </c>
      <c r="C112" t="s" s="1307">
        <v>522</v>
      </c>
      <c r="D112" t="s" s="1307">
        <v>523</v>
      </c>
      <c r="E112" t="s" s="1307">
        <v>316</v>
      </c>
      <c r="F112" t="s" s="1308">
        <v>1074</v>
      </c>
      <c r="G112" t="s" s="1309">
        <v>2433</v>
      </c>
      <c r="H112" t="s" s="1309">
        <v>2434</v>
      </c>
      <c r="I112" s="1167"/>
      <c r="J112" s="142"/>
      <c r="K112" s="142"/>
      <c r="L112" s="237"/>
      <c r="M112" s="237"/>
    </row>
    <row r="113" ht="13.65" customHeight="1">
      <c r="A113" t="s" s="1237">
        <f>IF('Adatlap'!$L$1='Fordítások'!C3,'Fordítások'!C243,'Fordítások'!B243)</f>
        <v>601</v>
      </c>
      <c r="B113" s="1310">
        <v>350000</v>
      </c>
      <c r="C113" s="1311">
        <v>3</v>
      </c>
      <c r="D113" s="1311">
        <v>55</v>
      </c>
      <c r="E113" s="1311">
        <v>30</v>
      </c>
      <c r="F113" s="1312">
        <v>0.02</v>
      </c>
      <c r="G113" s="1313">
        <v>150</v>
      </c>
      <c r="H113" t="s" s="1314">
        <v>2435</v>
      </c>
      <c r="I113" s="1167"/>
      <c r="J113" s="142"/>
      <c r="K113" s="377">
        <f>F113</f>
        <v>0.02</v>
      </c>
      <c r="L113" s="237"/>
      <c r="M113" t="s" s="275">
        <v>478</v>
      </c>
    </row>
    <row r="114" ht="13.65" customHeight="1">
      <c r="A114" t="s" s="1237">
        <f>IF('Adatlap'!$L$1='Fordítások'!C3,'Fordítások'!C244,'Fordítások'!B244)</f>
        <v>479</v>
      </c>
      <c r="B114" s="1310">
        <v>18000</v>
      </c>
      <c r="C114" s="1311">
        <v>0.2</v>
      </c>
      <c r="D114" s="1311">
        <v>0.5</v>
      </c>
      <c r="E114" s="1311">
        <v>30</v>
      </c>
      <c r="F114" s="1312">
        <v>0.02</v>
      </c>
      <c r="G114" s="1313">
        <v>15</v>
      </c>
      <c r="H114" t="s" s="1314">
        <v>2435</v>
      </c>
      <c r="I114" s="1167"/>
      <c r="J114" s="142"/>
      <c r="K114" s="377">
        <f>F114</f>
        <v>0.02</v>
      </c>
      <c r="L114" s="237"/>
      <c r="M114" s="237"/>
    </row>
    <row r="115" ht="13.65" customHeight="1">
      <c r="A115" t="s" s="1237">
        <f>IF('Adatlap'!$L$1='Fordítások'!C3,'Fordítások'!C245,'Fordítások'!B245)</f>
        <v>480</v>
      </c>
      <c r="B115" s="1310">
        <v>600000</v>
      </c>
      <c r="C115" s="1311">
        <v>5</v>
      </c>
      <c r="D115" s="1311">
        <v>35</v>
      </c>
      <c r="E115" s="1311">
        <v>60</v>
      </c>
      <c r="F115" s="1315">
        <v>1</v>
      </c>
      <c r="G115" s="1313">
        <v>150</v>
      </c>
      <c r="H115" t="s" s="1314">
        <v>2435</v>
      </c>
      <c r="I115" s="1167"/>
      <c r="J115" s="142"/>
      <c r="K115" t="s" s="1316">
        <v>2436</v>
      </c>
      <c r="L115" s="237"/>
      <c r="M115" s="237"/>
    </row>
    <row r="116" ht="13.65" customHeight="1">
      <c r="A116" t="s" s="1237">
        <f>IF('Adatlap'!$L$1='Fordítások'!C3,'Fordítások'!C246,'Fordítások'!B246)</f>
        <v>481</v>
      </c>
      <c r="B116" s="1310">
        <v>45000</v>
      </c>
      <c r="C116" s="1311">
        <v>0.2</v>
      </c>
      <c r="D116" s="1311">
        <v>0.5</v>
      </c>
      <c r="E116" s="1311">
        <v>60</v>
      </c>
      <c r="F116" s="1315">
        <v>1</v>
      </c>
      <c r="G116" s="1313">
        <v>15</v>
      </c>
      <c r="H116" t="s" s="1314">
        <v>2435</v>
      </c>
      <c r="I116" s="1167"/>
      <c r="J116" s="142"/>
      <c r="K116" t="s" s="1316">
        <v>2436</v>
      </c>
      <c r="L116" s="237"/>
      <c r="M116" s="237"/>
    </row>
    <row r="117" ht="13.65" customHeight="1">
      <c r="A117" t="s" s="1237">
        <f>IF('Adatlap'!$L$1='Fordítások'!C3,'Fordítások'!C247,'Fordítások'!B247)</f>
        <v>482</v>
      </c>
      <c r="B117" s="1310">
        <v>48000</v>
      </c>
      <c r="C117" s="1311">
        <v>2</v>
      </c>
      <c r="D117" s="1311">
        <v>20</v>
      </c>
      <c r="E117" s="1311">
        <v>100</v>
      </c>
      <c r="F117" s="1315">
        <v>0</v>
      </c>
      <c r="G117" s="1313">
        <v>150</v>
      </c>
      <c r="H117" t="s" s="1314">
        <v>2435</v>
      </c>
      <c r="I117" s="1167"/>
      <c r="J117" s="142"/>
      <c r="K117" t="s" s="1316">
        <v>2437</v>
      </c>
      <c r="L117" s="237"/>
      <c r="M117" s="237"/>
    </row>
    <row r="118" ht="13.65" customHeight="1">
      <c r="A118" t="s" s="1237">
        <f>IF('Adatlap'!$L$1='Fordítások'!C3,'Fordítások'!C248,'Fordítások'!B248)</f>
        <v>483</v>
      </c>
      <c r="B118" s="1310">
        <v>18000</v>
      </c>
      <c r="C118" s="1311">
        <v>0.2</v>
      </c>
      <c r="D118" s="1311">
        <v>0.5</v>
      </c>
      <c r="E118" s="1311">
        <v>100</v>
      </c>
      <c r="F118" s="1315">
        <v>0</v>
      </c>
      <c r="G118" s="1313">
        <v>15</v>
      </c>
      <c r="H118" t="s" s="1314">
        <v>2435</v>
      </c>
      <c r="I118" s="1167"/>
      <c r="J118" s="142"/>
      <c r="K118" t="s" s="1316">
        <v>2437</v>
      </c>
      <c r="L118" s="237"/>
      <c r="M118" s="237"/>
    </row>
    <row r="119" ht="13.65" customHeight="1">
      <c r="A119" t="s" s="1237">
        <f>IF('Adatlap'!$L$1='Fordítások'!C3,'Fordítások'!C249,'Fordítások'!B249)</f>
        <v>484</v>
      </c>
      <c r="B119" s="1310">
        <v>600000</v>
      </c>
      <c r="C119" s="1311">
        <v>5</v>
      </c>
      <c r="D119" s="1311">
        <v>35</v>
      </c>
      <c r="E119" s="1311">
        <v>60</v>
      </c>
      <c r="F119" s="1315">
        <v>1</v>
      </c>
      <c r="G119" s="1313">
        <v>150</v>
      </c>
      <c r="H119" t="s" s="1314">
        <v>2435</v>
      </c>
      <c r="I119" s="1167"/>
      <c r="J119" s="142"/>
      <c r="K119" t="s" s="1316">
        <v>2436</v>
      </c>
      <c r="L119" s="237"/>
      <c r="M119" s="237"/>
    </row>
    <row r="120" ht="13.65" customHeight="1">
      <c r="A120" t="s" s="1237">
        <f>IF('Adatlap'!$L$1='Fordítások'!C3,'Fordítások'!C250,'Fordítások'!B250)</f>
        <v>485</v>
      </c>
      <c r="B120" s="1310">
        <v>45000</v>
      </c>
      <c r="C120" s="1311">
        <v>0.2</v>
      </c>
      <c r="D120" s="1311">
        <v>0.5</v>
      </c>
      <c r="E120" s="1311">
        <v>60</v>
      </c>
      <c r="F120" s="1315">
        <v>1</v>
      </c>
      <c r="G120" s="1313">
        <v>15</v>
      </c>
      <c r="H120" t="s" s="1314">
        <v>2435</v>
      </c>
      <c r="I120" s="1167"/>
      <c r="J120" s="142"/>
      <c r="K120" t="s" s="1316">
        <v>2436</v>
      </c>
      <c r="L120" s="237"/>
      <c r="M120" s="237"/>
    </row>
    <row r="121" ht="13.65" customHeight="1">
      <c r="A121" t="s" s="1237">
        <f>IF('Adatlap'!$L$1='Fordítások'!C3,'Fordítások'!C251,'Fordítások'!B251)</f>
        <v>478</v>
      </c>
      <c r="B121" s="1310">
        <v>2500</v>
      </c>
      <c r="C121" s="1311">
        <v>0.03</v>
      </c>
      <c r="D121" s="1311">
        <v>0.08</v>
      </c>
      <c r="E121" t="s" s="804">
        <v>2435</v>
      </c>
      <c r="F121" s="1312">
        <v>0.08</v>
      </c>
      <c r="G121" s="1313">
        <v>0.6</v>
      </c>
      <c r="H121" t="s" s="1314">
        <v>2435</v>
      </c>
      <c r="I121" s="1167"/>
      <c r="J121" s="142"/>
      <c r="K121" s="377">
        <f>F121</f>
        <v>0.08</v>
      </c>
      <c r="L121" s="237"/>
      <c r="M121" t="s" s="275">
        <v>478</v>
      </c>
    </row>
    <row r="122" ht="13.65" customHeight="1">
      <c r="A122" t="s" s="1237">
        <f>IF('Adatlap'!$L$1='Fordítások'!C3,'Fordítások'!C252,'Fordítások'!B252)</f>
        <v>1818</v>
      </c>
      <c r="B122" s="1310">
        <v>22500</v>
      </c>
      <c r="C122" s="1311">
        <v>1</v>
      </c>
      <c r="D122" s="1311">
        <v>3</v>
      </c>
      <c r="E122" t="s" s="804">
        <v>2435</v>
      </c>
      <c r="F122" s="1312">
        <v>0.2</v>
      </c>
      <c r="G122" s="1313">
        <v>2.4</v>
      </c>
      <c r="H122" s="1313">
        <v>19</v>
      </c>
      <c r="I122" s="1167"/>
      <c r="J122" s="142"/>
      <c r="K122" s="377">
        <f>F122</f>
        <v>0.2</v>
      </c>
      <c r="L122" s="237"/>
      <c r="M122" s="237"/>
    </row>
    <row r="123" ht="13.65" customHeight="1">
      <c r="A123" t="s" s="1237">
        <f>IF('Adatlap'!$L$1='Fordítások'!C3,'Fordítások'!C253,'Fordítások'!B253)</f>
        <v>1821</v>
      </c>
      <c r="B123" s="1310">
        <v>27000</v>
      </c>
      <c r="C123" s="1311">
        <v>1</v>
      </c>
      <c r="D123" s="1311">
        <v>3</v>
      </c>
      <c r="E123" t="s" s="804">
        <v>2435</v>
      </c>
      <c r="F123" s="1312">
        <v>0.2</v>
      </c>
      <c r="G123" s="1313">
        <v>2.4</v>
      </c>
      <c r="H123" s="1313">
        <v>21</v>
      </c>
      <c r="I123" s="1167"/>
      <c r="J123" s="142"/>
      <c r="K123" s="377">
        <f>F123</f>
        <v>0.2</v>
      </c>
      <c r="L123" s="237"/>
      <c r="M123" s="237"/>
    </row>
    <row r="124" ht="13.65" customHeight="1">
      <c r="A124" t="s" s="1237">
        <f>IF('Adatlap'!$L$1='Fordítások'!C3,'Fordítások'!C254,'Fordítások'!B254)</f>
        <v>844</v>
      </c>
      <c r="B124" s="1310">
        <v>7500</v>
      </c>
      <c r="C124" s="1311">
        <v>0.15</v>
      </c>
      <c r="D124" s="1311">
        <v>0.5</v>
      </c>
      <c r="E124" t="s" s="804">
        <v>2435</v>
      </c>
      <c r="F124" s="1312">
        <v>0.03</v>
      </c>
      <c r="G124" s="1313">
        <v>1.5</v>
      </c>
      <c r="H124" t="s" s="1314">
        <v>2435</v>
      </c>
      <c r="I124" s="1167"/>
      <c r="J124" s="142"/>
      <c r="K124" s="377">
        <f>F124</f>
        <v>0.03</v>
      </c>
      <c r="L124" s="237"/>
      <c r="M124" s="237"/>
    </row>
    <row r="125" ht="13.65" customHeight="1">
      <c r="A125" t="s" s="1237">
        <f>IF('Adatlap'!$L$1='Fordítások'!C3,'Fordítások'!C255,'Fordítások'!B255)</f>
        <v>1826</v>
      </c>
      <c r="B125" s="1310">
        <v>31500</v>
      </c>
      <c r="C125" s="1311">
        <v>1</v>
      </c>
      <c r="D125" s="1311">
        <v>1.1</v>
      </c>
      <c r="E125" t="s" s="804">
        <v>2435</v>
      </c>
      <c r="F125" s="1312">
        <v>0.04</v>
      </c>
      <c r="G125" s="1313">
        <v>1.2</v>
      </c>
      <c r="H125" s="1313">
        <v>16</v>
      </c>
      <c r="I125" s="1167"/>
      <c r="J125" s="142"/>
      <c r="K125" s="377">
        <f>F125</f>
        <v>0.04</v>
      </c>
      <c r="L125" s="237"/>
      <c r="M125" s="237"/>
    </row>
    <row r="126" ht="13.65" customHeight="1">
      <c r="A126" t="s" s="1237">
        <f>IF('Adatlap'!$L$1='Fordítások'!C3,'Fordítások'!C256,'Fordítások'!B256)</f>
        <v>1829</v>
      </c>
      <c r="B126" s="1310">
        <v>31500</v>
      </c>
      <c r="C126" s="1311">
        <v>0.45</v>
      </c>
      <c r="D126" s="1311">
        <v>0.55</v>
      </c>
      <c r="E126" t="s" s="804">
        <v>2435</v>
      </c>
      <c r="F126" s="1312">
        <v>0.04</v>
      </c>
      <c r="G126" s="1313">
        <v>1.4</v>
      </c>
      <c r="H126" s="1313">
        <v>16</v>
      </c>
      <c r="I126" s="1167"/>
      <c r="J126" s="142"/>
      <c r="K126" s="377">
        <f>F126</f>
        <v>0.04</v>
      </c>
      <c r="L126" s="237"/>
      <c r="M126" s="237"/>
    </row>
    <row r="127" ht="13.65" customHeight="1">
      <c r="A127" t="s" s="1237">
        <f>IF('Adatlap'!$L$1='Fordítások'!C3,'Fordítások'!C257,'Fordítások'!B257)</f>
        <v>1832</v>
      </c>
      <c r="B127" s="1310">
        <v>20000</v>
      </c>
      <c r="C127" s="1311">
        <v>0.55</v>
      </c>
      <c r="D127" s="1311">
        <v>0.55</v>
      </c>
      <c r="E127" t="s" s="804">
        <v>2435</v>
      </c>
      <c r="F127" s="1312">
        <v>0.04</v>
      </c>
      <c r="G127" s="1313">
        <v>1.2</v>
      </c>
      <c r="H127" s="1313">
        <v>16</v>
      </c>
      <c r="I127" s="1167"/>
      <c r="J127" s="142"/>
      <c r="K127" s="377">
        <f>F127</f>
        <v>0.04</v>
      </c>
      <c r="L127" s="237"/>
      <c r="M127" s="237"/>
    </row>
    <row r="128" ht="13.65" customHeight="1">
      <c r="A128" t="s" s="1237">
        <f>IF('Adatlap'!$L$1='Fordítások'!C3,'Fordítások'!C258,'Fordítások'!B258)</f>
        <v>1835</v>
      </c>
      <c r="B128" s="1310">
        <v>20000</v>
      </c>
      <c r="C128" s="1311">
        <v>0.3</v>
      </c>
      <c r="D128" s="1311">
        <v>0.3</v>
      </c>
      <c r="E128" t="s" s="804">
        <v>2435</v>
      </c>
      <c r="F128" s="1312">
        <v>0.04</v>
      </c>
      <c r="G128" s="1313">
        <v>1.4</v>
      </c>
      <c r="H128" s="1313">
        <v>16</v>
      </c>
      <c r="I128" s="1167"/>
      <c r="J128" s="142"/>
      <c r="K128" s="377">
        <f>F128</f>
        <v>0.04</v>
      </c>
      <c r="L128" s="237"/>
      <c r="M128" s="237"/>
    </row>
    <row r="129" ht="13.65" customHeight="1">
      <c r="A129" t="s" s="1237">
        <f>IF('Adatlap'!$L$1='Fordítások'!C3,'Fordítások'!C259,'Fordítások'!B259)</f>
        <v>842</v>
      </c>
      <c r="B129" s="1310">
        <v>3500</v>
      </c>
      <c r="C129" s="1311">
        <v>0.1</v>
      </c>
      <c r="D129" s="1311">
        <v>0.1</v>
      </c>
      <c r="E129" t="s" s="804">
        <v>2435</v>
      </c>
      <c r="F129" s="1312">
        <v>0.005</v>
      </c>
      <c r="G129" s="1313">
        <v>1.2</v>
      </c>
      <c r="H129" s="1313">
        <v>2.7</v>
      </c>
      <c r="I129" s="1167"/>
      <c r="J129" s="142"/>
      <c r="K129" s="377">
        <f>F129</f>
        <v>0.005</v>
      </c>
      <c r="L129" s="237"/>
      <c r="M129" s="237"/>
    </row>
    <row r="130" ht="13.65" customHeight="1">
      <c r="A130" t="s" s="1317">
        <f>IF('Adatlap'!$L$1='Fordítások'!C3,'Fordítások'!C260,'Fordítások'!B260)</f>
        <v>1840</v>
      </c>
      <c r="B130" t="s" s="804">
        <v>2435</v>
      </c>
      <c r="C130" t="s" s="804">
        <v>2435</v>
      </c>
      <c r="D130" t="s" s="804">
        <v>2435</v>
      </c>
      <c r="E130" t="s" s="804">
        <v>2435</v>
      </c>
      <c r="F130" t="s" s="640">
        <v>2435</v>
      </c>
      <c r="G130" s="1318"/>
      <c r="H130" t="s" s="1314">
        <v>2435</v>
      </c>
      <c r="I130" s="1167"/>
      <c r="J130" s="142"/>
      <c r="K130" s="142"/>
      <c r="L130" s="237"/>
      <c r="M130" s="237"/>
    </row>
    <row r="131" ht="13.65" customHeight="1">
      <c r="A131" t="s" s="1317">
        <f>IF('Adatlap'!$L$1='Fordítások'!C3,'Fordítások'!C261,'Fordítások'!B261)</f>
        <v>1843</v>
      </c>
      <c r="B131" t="s" s="804">
        <v>2435</v>
      </c>
      <c r="C131" t="s" s="804">
        <v>2435</v>
      </c>
      <c r="D131" t="s" s="804">
        <v>2435</v>
      </c>
      <c r="E131" t="s" s="804">
        <v>2435</v>
      </c>
      <c r="F131" t="s" s="640">
        <v>2435</v>
      </c>
      <c r="G131" s="1318"/>
      <c r="H131" t="s" s="1314">
        <v>2435</v>
      </c>
      <c r="I131" s="1167"/>
      <c r="J131" s="142"/>
      <c r="K131" s="142"/>
      <c r="L131" s="237"/>
      <c r="M131" s="237"/>
    </row>
    <row r="132" ht="13.65" customHeight="1">
      <c r="A132" t="s" s="1317">
        <f>IF('Adatlap'!$L$1='Fordítások'!C3,'Fordítások'!C262,'Fordítások'!B262)</f>
        <v>1846</v>
      </c>
      <c r="B132" t="s" s="804">
        <v>2435</v>
      </c>
      <c r="C132" t="s" s="804">
        <v>2435</v>
      </c>
      <c r="D132" t="s" s="804">
        <v>2435</v>
      </c>
      <c r="E132" t="s" s="804">
        <v>2435</v>
      </c>
      <c r="F132" t="s" s="640">
        <v>2435</v>
      </c>
      <c r="G132" s="1318"/>
      <c r="H132" t="s" s="1314">
        <v>2435</v>
      </c>
      <c r="I132" s="1167"/>
      <c r="J132" s="142"/>
      <c r="K132" s="142"/>
      <c r="L132" s="237"/>
      <c r="M132" s="237"/>
    </row>
    <row r="133" ht="13.65" customHeight="1">
      <c r="A133" t="s" s="1317">
        <f>IF('Adatlap'!$L$1='Fordítások'!C3,'Fordítások'!C263,'Fordítások'!B263)</f>
        <v>1849</v>
      </c>
      <c r="B133" t="s" s="804">
        <v>2435</v>
      </c>
      <c r="C133" t="s" s="804">
        <v>2435</v>
      </c>
      <c r="D133" t="s" s="804">
        <v>2435</v>
      </c>
      <c r="E133" t="s" s="804">
        <v>2435</v>
      </c>
      <c r="F133" t="s" s="640">
        <v>2435</v>
      </c>
      <c r="G133" s="1318"/>
      <c r="H133" t="s" s="1314">
        <v>2435</v>
      </c>
      <c r="I133" s="1167"/>
      <c r="J133" s="142"/>
      <c r="K133" s="142"/>
      <c r="L133" s="237"/>
      <c r="M133" s="237"/>
    </row>
    <row r="134" ht="13.65" customHeight="1">
      <c r="A134" t="s" s="1317">
        <f>IF('Adatlap'!$L$1='Fordítások'!C3,'Fordítások'!C264,'Fordítások'!B264)</f>
        <v>1852</v>
      </c>
      <c r="B134" t="s" s="804">
        <v>2435</v>
      </c>
      <c r="C134" t="s" s="804">
        <v>2435</v>
      </c>
      <c r="D134" t="s" s="804">
        <v>2435</v>
      </c>
      <c r="E134" t="s" s="804">
        <v>2435</v>
      </c>
      <c r="F134" t="s" s="640">
        <v>2435</v>
      </c>
      <c r="G134" s="1318"/>
      <c r="H134" t="s" s="1314">
        <v>2435</v>
      </c>
      <c r="I134" s="1167"/>
      <c r="J134" s="142"/>
      <c r="K134" s="142"/>
      <c r="L134" s="237"/>
      <c r="M134" s="237"/>
    </row>
    <row r="135" ht="13.65" customHeight="1">
      <c r="A135" t="s" s="1317">
        <f>IF('Adatlap'!$L$1='Fordítások'!C3,'Fordítások'!C265,'Fordítások'!B265)</f>
        <v>1855</v>
      </c>
      <c r="B135" t="s" s="804">
        <v>2435</v>
      </c>
      <c r="C135" t="s" s="804">
        <v>2435</v>
      </c>
      <c r="D135" t="s" s="804">
        <v>2435</v>
      </c>
      <c r="E135" t="s" s="804">
        <v>2435</v>
      </c>
      <c r="F135" t="s" s="640">
        <v>2435</v>
      </c>
      <c r="G135" s="1318"/>
      <c r="H135" t="s" s="1314">
        <v>2435</v>
      </c>
      <c r="I135" s="1167"/>
      <c r="J135" s="142"/>
      <c r="K135" s="142"/>
      <c r="L135" s="237"/>
      <c r="M135" s="237"/>
    </row>
    <row r="136" ht="13.65" customHeight="1">
      <c r="A136" t="s" s="1317">
        <f>IF('Adatlap'!$L$1='Fordítások'!C3,'Fordítások'!C266,'Fordítások'!B266)</f>
        <v>1858</v>
      </c>
      <c r="B136" t="s" s="804">
        <v>2435</v>
      </c>
      <c r="C136" t="s" s="804">
        <v>2435</v>
      </c>
      <c r="D136" t="s" s="804">
        <v>2435</v>
      </c>
      <c r="E136" t="s" s="804">
        <v>2435</v>
      </c>
      <c r="F136" t="s" s="640">
        <v>2435</v>
      </c>
      <c r="G136" s="1318"/>
      <c r="H136" t="s" s="1314">
        <v>2435</v>
      </c>
      <c r="I136" s="1167"/>
      <c r="J136" s="142"/>
      <c r="K136" s="142"/>
      <c r="L136" s="237"/>
      <c r="M136" s="237"/>
    </row>
    <row r="137" ht="13.5" customHeight="1">
      <c r="A137" t="s" s="1319">
        <f>IF('Adatlap'!$L$1='Fordítások'!C3,'Fordítások'!C267,'Fordítások'!B267)</f>
        <v>1861</v>
      </c>
      <c r="B137" t="s" s="804">
        <v>2435</v>
      </c>
      <c r="C137" t="s" s="804">
        <v>2435</v>
      </c>
      <c r="D137" t="s" s="804">
        <v>2435</v>
      </c>
      <c r="E137" t="s" s="804">
        <v>2435</v>
      </c>
      <c r="F137" t="s" s="640">
        <v>2435</v>
      </c>
      <c r="G137" s="1320"/>
      <c r="H137" t="s" s="1321">
        <v>2435</v>
      </c>
      <c r="I137" s="1167"/>
      <c r="J137" s="142"/>
      <c r="K137" s="142"/>
      <c r="L137" s="237"/>
      <c r="M137" s="237"/>
    </row>
    <row r="138" ht="13.5" customHeight="1">
      <c r="A138" s="1295"/>
      <c r="B138" s="1322"/>
      <c r="C138" s="1322"/>
      <c r="D138" s="1322"/>
      <c r="E138" s="1322"/>
      <c r="F138" s="1322"/>
      <c r="G138" s="1251"/>
      <c r="H138" s="1251"/>
      <c r="I138" s="142"/>
      <c r="J138" s="142"/>
      <c r="K138" s="142"/>
      <c r="L138" s="237"/>
      <c r="M138" s="237"/>
    </row>
    <row r="139" ht="14.15" customHeight="1">
      <c r="A139" t="s" s="1304">
        <v>2438</v>
      </c>
      <c r="B139" s="1167"/>
      <c r="C139" s="142"/>
      <c r="D139" s="142"/>
      <c r="E139" s="142"/>
      <c r="F139" s="142"/>
      <c r="G139" s="142"/>
      <c r="H139" s="142"/>
      <c r="I139" s="142"/>
      <c r="J139" s="142"/>
      <c r="K139" s="142"/>
      <c r="L139" s="237"/>
      <c r="M139" s="237"/>
    </row>
    <row r="140" ht="13.65" customHeight="1">
      <c r="A140" t="s" s="1237">
        <f>IF('Adatlap'!$L$1='Fordítások'!C3,'Fordítások'!C272,'Fordítások'!B272)</f>
        <v>1873</v>
      </c>
      <c r="B140" s="1167"/>
      <c r="C140" s="142"/>
      <c r="D140" s="142"/>
      <c r="E140" s="142"/>
      <c r="F140" s="142"/>
      <c r="G140" s="142"/>
      <c r="H140" s="142"/>
      <c r="I140" s="142"/>
      <c r="J140" s="142"/>
      <c r="K140" s="142"/>
      <c r="L140" s="237"/>
      <c r="M140" s="237"/>
    </row>
    <row r="141" ht="13.65" customHeight="1">
      <c r="A141" t="s" s="1237">
        <f>IF('Adatlap'!$L$1='Fordítások'!C3,'Fordítások'!C273,'Fordítások'!B273)</f>
        <v>1876</v>
      </c>
      <c r="B141" s="1167"/>
      <c r="C141" s="142"/>
      <c r="D141" s="142"/>
      <c r="E141" s="142"/>
      <c r="F141" s="142"/>
      <c r="G141" s="142"/>
      <c r="H141" s="142"/>
      <c r="I141" s="142"/>
      <c r="J141" s="142"/>
      <c r="K141" s="142"/>
      <c r="L141" s="237"/>
      <c r="M141" s="237"/>
    </row>
    <row r="142" ht="13.5" customHeight="1">
      <c r="A142" t="s" s="1305">
        <f>IF('Adatlap'!$L$1='Fordítások'!C3,'Fordítások'!C274,'Fordítások'!B274)</f>
        <v>1879</v>
      </c>
      <c r="B142" s="1167"/>
      <c r="C142" s="142"/>
      <c r="D142" s="142"/>
      <c r="E142" s="142"/>
      <c r="F142" s="142"/>
      <c r="G142" s="142"/>
      <c r="H142" s="142"/>
      <c r="I142" s="142"/>
      <c r="J142" s="142"/>
      <c r="K142" s="142"/>
      <c r="L142" s="237"/>
      <c r="M142" s="237"/>
    </row>
    <row r="143" ht="13.5" customHeight="1">
      <c r="A143" s="1295"/>
      <c r="B143" s="142"/>
      <c r="C143" s="142"/>
      <c r="D143" s="142"/>
      <c r="E143" s="142"/>
      <c r="F143" s="142"/>
      <c r="G143" s="142"/>
      <c r="H143" s="142"/>
      <c r="I143" s="142"/>
      <c r="J143" s="142"/>
      <c r="K143" s="142"/>
      <c r="L143" s="237"/>
      <c r="M143" s="237"/>
    </row>
    <row r="144" ht="14.15" customHeight="1">
      <c r="A144" t="s" s="1304">
        <v>2439</v>
      </c>
      <c r="B144" s="1167"/>
      <c r="C144" s="142"/>
      <c r="D144" s="142"/>
      <c r="E144" s="142"/>
      <c r="F144" s="142"/>
      <c r="G144" s="142"/>
      <c r="H144" s="142"/>
      <c r="I144" s="142"/>
      <c r="J144" s="142"/>
      <c r="K144" s="142"/>
      <c r="L144" s="237"/>
      <c r="M144" s="237"/>
    </row>
    <row r="145" ht="13.65" customHeight="1">
      <c r="A145" t="s" s="1237">
        <f>IF('Adatlap'!$L$1='Fordítások'!C3,'Fordítások'!C289,'Fordítások'!B289)</f>
        <v>1911</v>
      </c>
      <c r="B145" s="1167"/>
      <c r="C145" s="142"/>
      <c r="D145" s="142"/>
      <c r="E145" s="142"/>
      <c r="F145" s="142"/>
      <c r="G145" s="142"/>
      <c r="H145" s="142"/>
      <c r="I145" s="142"/>
      <c r="J145" s="142"/>
      <c r="K145" s="142"/>
      <c r="L145" s="237"/>
      <c r="M145" s="237"/>
    </row>
    <row r="146" ht="13.65" customHeight="1">
      <c r="A146" t="s" s="1237">
        <f>IF('Adatlap'!$L$1='Fordítások'!C3,'Fordítások'!C290,'Fordítások'!B290)</f>
        <v>524</v>
      </c>
      <c r="B146" s="1167"/>
      <c r="C146" s="142"/>
      <c r="D146" s="142"/>
      <c r="E146" s="142"/>
      <c r="F146" s="142"/>
      <c r="G146" s="142"/>
      <c r="H146" s="142"/>
      <c r="I146" s="142"/>
      <c r="J146" s="142"/>
      <c r="K146" s="142"/>
      <c r="L146" s="237"/>
      <c r="M146" s="237"/>
    </row>
    <row r="147" ht="13.65" customHeight="1">
      <c r="A147" t="s" s="1237">
        <f>IF('Adatlap'!$L$1='Fordítások'!C3,'Fordítások'!C291,'Fordítások'!B291)</f>
        <v>1916</v>
      </c>
      <c r="B147" s="1167"/>
      <c r="C147" s="142"/>
      <c r="D147" s="142"/>
      <c r="E147" s="142"/>
      <c r="F147" s="142"/>
      <c r="G147" s="142"/>
      <c r="H147" s="142"/>
      <c r="I147" s="142"/>
      <c r="J147" s="142"/>
      <c r="K147" s="142"/>
      <c r="L147" s="237"/>
      <c r="M147" s="237"/>
    </row>
    <row r="148" ht="13.65" customHeight="1">
      <c r="A148" t="s" s="1237">
        <f>IF('Adatlap'!$L$1='Fordítások'!C3,'Fordítások'!C292,'Fordítások'!B292)</f>
        <v>1919</v>
      </c>
      <c r="B148" s="1167"/>
      <c r="C148" s="142"/>
      <c r="D148" s="142"/>
      <c r="E148" s="142"/>
      <c r="F148" s="142"/>
      <c r="G148" s="142"/>
      <c r="H148" s="142"/>
      <c r="I148" s="142"/>
      <c r="J148" s="142"/>
      <c r="K148" s="142"/>
      <c r="L148" s="237"/>
      <c r="M148" s="237"/>
    </row>
    <row r="149" ht="13.65" customHeight="1">
      <c r="A149" t="s" s="1237">
        <f>IF('Adatlap'!$L$1='Fordítások'!C3,'Fordítások'!C293,'Fordítások'!B293)</f>
        <v>1922</v>
      </c>
      <c r="B149" s="1167"/>
      <c r="C149" s="142"/>
      <c r="D149" s="142"/>
      <c r="E149" s="142"/>
      <c r="F149" s="142"/>
      <c r="G149" s="142"/>
      <c r="H149" s="142"/>
      <c r="I149" s="142"/>
      <c r="J149" s="142"/>
      <c r="K149" s="142"/>
      <c r="L149" s="237"/>
      <c r="M149" s="237"/>
    </row>
    <row r="150" ht="13.65" customHeight="1">
      <c r="A150" t="s" s="1237">
        <f>IF('Adatlap'!$L$1='Fordítások'!C3,'Fordítások'!C294,'Fordítások'!B294)</f>
        <v>1925</v>
      </c>
      <c r="B150" s="1167"/>
      <c r="C150" s="142"/>
      <c r="D150" s="142"/>
      <c r="E150" s="142"/>
      <c r="F150" s="142"/>
      <c r="G150" s="142"/>
      <c r="H150" s="142"/>
      <c r="I150" s="142"/>
      <c r="J150" s="142"/>
      <c r="K150" s="142"/>
      <c r="L150" s="237"/>
      <c r="M150" s="237"/>
    </row>
    <row r="151" ht="13.65" customHeight="1">
      <c r="A151" t="s" s="1237">
        <f>IF('Adatlap'!$L$1='Fordítások'!C3,'Fordítások'!C295,'Fordítások'!B295)</f>
        <v>1928</v>
      </c>
      <c r="B151" s="1167"/>
      <c r="C151" s="142"/>
      <c r="D151" s="142"/>
      <c r="E151" s="142"/>
      <c r="F151" s="142"/>
      <c r="G151" s="142"/>
      <c r="H151" s="142"/>
      <c r="I151" s="142"/>
      <c r="J151" s="142"/>
      <c r="K151" s="142"/>
      <c r="L151" s="237"/>
      <c r="M151" s="237"/>
    </row>
    <row r="152" ht="13.65" customHeight="1">
      <c r="A152" t="s" s="1237">
        <f>IF('Adatlap'!$L$1='Fordítások'!C3,'Fordítások'!C296,'Fordítások'!B296)</f>
        <v>1931</v>
      </c>
      <c r="B152" s="1167"/>
      <c r="C152" s="142"/>
      <c r="D152" s="142"/>
      <c r="E152" s="142"/>
      <c r="F152" s="142"/>
      <c r="G152" s="142"/>
      <c r="H152" s="142"/>
      <c r="I152" s="142"/>
      <c r="J152" s="142"/>
      <c r="K152" s="142"/>
      <c r="L152" s="237"/>
      <c r="M152" s="237"/>
    </row>
    <row r="153" ht="13.5" customHeight="1">
      <c r="A153" t="s" s="1305">
        <f>IF('Adatlap'!$L$1='Fordítások'!C3,'Fordítások'!C297,'Fordítások'!B297)</f>
        <v>1934</v>
      </c>
      <c r="B153" s="1167"/>
      <c r="C153" s="142"/>
      <c r="D153" s="142"/>
      <c r="E153" s="142"/>
      <c r="F153" s="142"/>
      <c r="G153" s="142"/>
      <c r="H153" s="142"/>
      <c r="I153" s="142"/>
      <c r="J153" s="142"/>
      <c r="K153" s="142"/>
      <c r="L153" s="237"/>
      <c r="M153" s="237"/>
    </row>
    <row r="154" ht="13.5" customHeight="1">
      <c r="A154" s="1295"/>
      <c r="B154" s="142"/>
      <c r="C154" s="142"/>
      <c r="D154" s="142"/>
      <c r="E154" s="142"/>
      <c r="F154" s="142"/>
      <c r="G154" s="142"/>
      <c r="H154" s="142"/>
      <c r="I154" s="142"/>
      <c r="J154" s="142"/>
      <c r="K154" s="142"/>
      <c r="L154" s="237"/>
      <c r="M154" s="237"/>
    </row>
    <row r="155" ht="14.15" customHeight="1">
      <c r="A155" t="s" s="1304">
        <v>2440</v>
      </c>
      <c r="B155" s="1167"/>
      <c r="C155" s="142"/>
      <c r="D155" s="142"/>
      <c r="E155" s="142"/>
      <c r="F155" s="142"/>
      <c r="G155" s="142"/>
      <c r="H155" s="142"/>
      <c r="I155" s="142"/>
      <c r="J155" s="142"/>
      <c r="K155" s="142"/>
      <c r="L155" s="237"/>
      <c r="M155" s="237"/>
    </row>
    <row r="156" ht="25.5" customHeight="1">
      <c r="A156" t="s" s="1323">
        <f>IF('Adatlap'!$L$1='Fordítások'!C3,'Fordítások'!C301,'Fordítások'!B301)</f>
        <v>1944</v>
      </c>
      <c r="B156" s="1167"/>
      <c r="C156" s="142"/>
      <c r="D156" s="142"/>
      <c r="E156" s="142"/>
      <c r="F156" s="142"/>
      <c r="G156" s="142"/>
      <c r="H156" s="142"/>
      <c r="I156" s="142"/>
      <c r="J156" s="142"/>
      <c r="K156" s="142"/>
      <c r="L156" s="237"/>
      <c r="M156" s="237"/>
    </row>
    <row r="157" ht="25.5" customHeight="1">
      <c r="A157" t="s" s="1323">
        <f>IF('Adatlap'!$L$1='Fordítások'!C3,'Fordítások'!C302,'Fordítások'!B302)</f>
        <v>1947</v>
      </c>
      <c r="B157" s="1167"/>
      <c r="C157" s="142"/>
      <c r="D157" s="142"/>
      <c r="E157" s="142"/>
      <c r="F157" s="142"/>
      <c r="G157" s="142"/>
      <c r="H157" s="142"/>
      <c r="I157" s="142"/>
      <c r="J157" s="142"/>
      <c r="K157" s="142"/>
      <c r="L157" s="237"/>
      <c r="M157" s="237"/>
    </row>
    <row r="158" ht="26.25" customHeight="1">
      <c r="A158" t="s" s="1324">
        <f>IF('Adatlap'!$L$1='Fordítások'!C3,'Fordítások'!C303,'Fordítások'!B303)</f>
        <v>1950</v>
      </c>
      <c r="B158" s="1167"/>
      <c r="C158" s="142"/>
      <c r="D158" s="142"/>
      <c r="E158" s="142"/>
      <c r="F158" s="142"/>
      <c r="G158" s="142"/>
      <c r="H158" s="142"/>
      <c r="I158" s="142"/>
      <c r="J158" s="142"/>
      <c r="K158" s="142"/>
      <c r="L158" s="237"/>
      <c r="M158" s="237"/>
    </row>
    <row r="159" ht="13.5" customHeight="1">
      <c r="A159" s="1295"/>
      <c r="B159" s="142"/>
      <c r="C159" s="142"/>
      <c r="D159" s="142"/>
      <c r="E159" s="142"/>
      <c r="F159" s="142"/>
      <c r="G159" s="142"/>
      <c r="H159" s="142"/>
      <c r="I159" s="142"/>
      <c r="J159" s="142"/>
      <c r="K159" s="142"/>
      <c r="L159" s="237"/>
      <c r="M159" s="237"/>
    </row>
    <row r="160" ht="14.15" customHeight="1">
      <c r="A160" t="s" s="1304">
        <v>2441</v>
      </c>
      <c r="B160" s="1167"/>
      <c r="C160" s="142"/>
      <c r="D160" s="142"/>
      <c r="E160" s="142"/>
      <c r="F160" s="142"/>
      <c r="G160" s="142"/>
      <c r="H160" s="142"/>
      <c r="I160" s="142"/>
      <c r="J160" s="142"/>
      <c r="K160" s="142"/>
      <c r="L160" s="237"/>
      <c r="M160" s="237"/>
    </row>
    <row r="161" ht="13.65" customHeight="1">
      <c r="A161" t="s" s="1237">
        <f>IF('Adatlap'!$L$1="Magyar",'Fordítások'!C341,'Fordítások'!B341)</f>
        <v>69</v>
      </c>
      <c r="B161" s="1167"/>
      <c r="C161" s="142"/>
      <c r="D161" s="142"/>
      <c r="E161" s="142"/>
      <c r="F161" s="142"/>
      <c r="G161" s="142"/>
      <c r="H161" s="142"/>
      <c r="I161" s="142"/>
      <c r="J161" s="142"/>
      <c r="K161" s="142"/>
      <c r="L161" s="237"/>
      <c r="M161" s="237"/>
    </row>
    <row r="162" ht="13.65" customHeight="1">
      <c r="A162" t="s" s="1237">
        <f>IF('Adatlap'!$L$1="Magyar",'Fordítások'!C342,'Fordítások'!B342)</f>
        <v>72</v>
      </c>
      <c r="B162" s="1167"/>
      <c r="C162" s="142"/>
      <c r="D162" s="142"/>
      <c r="E162" s="142"/>
      <c r="F162" s="142"/>
      <c r="G162" s="142"/>
      <c r="H162" s="142"/>
      <c r="I162" s="142"/>
      <c r="J162" s="142"/>
      <c r="K162" s="142"/>
      <c r="L162" s="237"/>
      <c r="M162" s="237"/>
    </row>
    <row r="163" ht="13.65" customHeight="1">
      <c r="A163" t="s" s="1237">
        <f>IF('Adatlap'!$L$1="Magyar",'Fordítások'!C343,'Fordítások'!B343)</f>
        <v>77</v>
      </c>
      <c r="B163" s="1167"/>
      <c r="C163" s="142"/>
      <c r="D163" s="142"/>
      <c r="E163" s="142"/>
      <c r="F163" s="142"/>
      <c r="G163" s="142"/>
      <c r="H163" s="142"/>
      <c r="I163" s="142"/>
      <c r="J163" s="142"/>
      <c r="K163" s="142"/>
      <c r="L163" s="237"/>
      <c r="M163" s="237"/>
    </row>
    <row r="164" ht="13.65" customHeight="1">
      <c r="A164" t="s" s="1237">
        <f>IF('Adatlap'!$L$1="Magyar",'Fordítások'!C344,'Fordítások'!B344)</f>
        <v>74</v>
      </c>
      <c r="B164" s="1167"/>
      <c r="C164" s="142"/>
      <c r="D164" s="142"/>
      <c r="E164" s="142"/>
      <c r="F164" s="142"/>
      <c r="G164" s="142"/>
      <c r="H164" s="142"/>
      <c r="I164" s="142"/>
      <c r="J164" s="142"/>
      <c r="K164" s="142"/>
      <c r="L164" s="237"/>
      <c r="M164" s="237"/>
    </row>
    <row r="165" ht="13.65" customHeight="1">
      <c r="A165" t="s" s="1237">
        <f>IF('Adatlap'!$L$1="Magyar",'Fordítások'!C345,'Fordítások'!B345)</f>
        <v>79</v>
      </c>
      <c r="B165" s="1167"/>
      <c r="C165" s="142"/>
      <c r="D165" s="142"/>
      <c r="E165" s="142"/>
      <c r="F165" s="142"/>
      <c r="G165" s="142"/>
      <c r="H165" s="142"/>
      <c r="I165" s="142"/>
      <c r="J165" s="142"/>
      <c r="K165" s="142"/>
      <c r="L165" s="237"/>
      <c r="M165" s="237"/>
    </row>
    <row r="166" ht="13.5" customHeight="1">
      <c r="A166" t="s" s="1305">
        <f>IF('Adatlap'!$L$1="Magyar",'Fordítások'!C346,'Fordítások'!B346)</f>
        <v>82</v>
      </c>
      <c r="B166" s="1167"/>
      <c r="C166" s="142"/>
      <c r="D166" s="142"/>
      <c r="E166" s="142"/>
      <c r="F166" s="142"/>
      <c r="G166" s="142"/>
      <c r="H166" s="142"/>
      <c r="I166" s="142"/>
      <c r="J166" s="142"/>
      <c r="K166" s="142"/>
      <c r="L166" s="237"/>
      <c r="M166" s="237"/>
    </row>
  </sheetData>
  <pageMargins left="0.787402" right="0.787402" top="0.984252" bottom="0.984252" header="0.492126" footer="0.492126"/>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9.16667" defaultRowHeight="12.75" customHeight="1" outlineLevelRow="0" outlineLevelCol="0"/>
  <cols>
    <col min="1" max="2" width="59.6719" style="6" customWidth="1"/>
    <col min="3" max="5" width="9.17188" style="6" customWidth="1"/>
    <col min="6" max="16384" width="9.17188" style="6" customWidth="1"/>
  </cols>
  <sheetData>
    <row r="1" ht="19.5" customHeight="1">
      <c r="A1" t="s" s="7">
        <v>6</v>
      </c>
      <c r="B1" t="s" s="8">
        <v>7</v>
      </c>
      <c r="C1" s="9"/>
      <c r="D1" s="9"/>
      <c r="E1" s="10"/>
    </row>
    <row r="2" ht="46.5" customHeight="1">
      <c r="A2" t="s" s="11">
        <v>8</v>
      </c>
      <c r="B2" t="s" s="12">
        <v>9</v>
      </c>
      <c r="C2" s="13"/>
      <c r="D2" s="13"/>
      <c r="E2" s="14"/>
    </row>
    <row r="3" ht="73.5" customHeight="1">
      <c r="A3" t="s" s="11">
        <v>10</v>
      </c>
      <c r="B3" t="s" s="12">
        <v>11</v>
      </c>
      <c r="C3" s="13"/>
      <c r="D3" s="13"/>
      <c r="E3" s="14"/>
    </row>
    <row r="4" ht="60.75" customHeight="1">
      <c r="A4" t="s" s="11">
        <v>12</v>
      </c>
      <c r="B4" t="s" s="12">
        <v>13</v>
      </c>
      <c r="C4" s="13"/>
      <c r="D4" s="13"/>
      <c r="E4" s="14"/>
    </row>
    <row r="5" ht="61.5" customHeight="1">
      <c r="A5" t="s" s="11">
        <v>14</v>
      </c>
      <c r="B5" t="s" s="12">
        <v>15</v>
      </c>
      <c r="C5" s="13"/>
      <c r="D5" s="13"/>
      <c r="E5" s="14"/>
    </row>
    <row r="6" ht="165.75" customHeight="1">
      <c r="A6" t="s" s="11">
        <v>16</v>
      </c>
      <c r="B6" t="s" s="12">
        <v>17</v>
      </c>
      <c r="C6" s="13"/>
      <c r="D6" s="13"/>
      <c r="E6" s="14"/>
    </row>
    <row r="7" ht="102.75" customHeight="1">
      <c r="A7" t="s" s="11">
        <v>18</v>
      </c>
      <c r="B7" t="s" s="12">
        <v>19</v>
      </c>
      <c r="C7" s="13"/>
      <c r="D7" s="13"/>
      <c r="E7" s="14"/>
    </row>
    <row r="8" ht="117.75" customHeight="1">
      <c r="A8" t="s" s="11">
        <v>20</v>
      </c>
      <c r="B8" t="s" s="12">
        <v>21</v>
      </c>
      <c r="C8" s="13"/>
      <c r="D8" s="13"/>
      <c r="E8" s="14"/>
    </row>
    <row r="9" ht="38.25" customHeight="1">
      <c r="A9" t="s" s="11">
        <v>22</v>
      </c>
      <c r="B9" t="s" s="12">
        <v>23</v>
      </c>
      <c r="C9" s="13"/>
      <c r="D9" s="13"/>
      <c r="E9" s="14"/>
    </row>
    <row r="10" ht="13.65" customHeight="1">
      <c r="A10" s="15"/>
      <c r="B10" s="16"/>
      <c r="C10" s="17"/>
      <c r="D10" s="17"/>
      <c r="E10" s="18"/>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0.xml><?xml version="1.0" encoding="utf-8"?>
<worksheet xmlns:r="http://schemas.openxmlformats.org/officeDocument/2006/relationships" xmlns="http://schemas.openxmlformats.org/spreadsheetml/2006/main">
  <dimension ref="A1:E19"/>
  <sheetViews>
    <sheetView workbookViewId="0" showGridLines="0" defaultGridColor="1"/>
  </sheetViews>
  <sheetFormatPr defaultColWidth="11.5" defaultRowHeight="12.75" customHeight="1" outlineLevelRow="0" outlineLevelCol="0"/>
  <cols>
    <col min="1" max="1" width="49.5" style="1325" customWidth="1"/>
    <col min="2" max="2" width="19.6719" style="1325" customWidth="1"/>
    <col min="3" max="3" width="12.5" style="1325" customWidth="1"/>
    <col min="4" max="4" width="148.5" style="1325" customWidth="1"/>
    <col min="5" max="5" width="11.5" style="1325" customWidth="1"/>
    <col min="6" max="16384" width="11.5" style="1325" customWidth="1"/>
  </cols>
  <sheetData>
    <row r="1" ht="13.65" customHeight="1">
      <c r="A1" t="s" s="1326">
        <v>2443</v>
      </c>
      <c r="B1" t="s" s="1326">
        <v>2444</v>
      </c>
      <c r="C1" t="s" s="1326">
        <v>2445</v>
      </c>
      <c r="D1" t="s" s="1326">
        <v>2446</v>
      </c>
      <c r="E1" s="142"/>
    </row>
    <row r="2" ht="13.65" customHeight="1">
      <c r="A2" t="s" s="275">
        <v>2447</v>
      </c>
      <c r="B2" t="s" s="275">
        <v>2448</v>
      </c>
      <c r="C2" t="s" s="275">
        <v>2449</v>
      </c>
      <c r="D2" s="237"/>
      <c r="E2" s="142"/>
    </row>
    <row r="3" ht="13.65" customHeight="1">
      <c r="A3" t="s" s="275">
        <v>2450</v>
      </c>
      <c r="B3" t="s" s="275">
        <v>2448</v>
      </c>
      <c r="C3" t="s" s="275">
        <v>2449</v>
      </c>
      <c r="D3" t="s" s="275">
        <v>2451</v>
      </c>
      <c r="E3" s="142"/>
    </row>
    <row r="4" ht="13.65" customHeight="1">
      <c r="A4" t="s" s="275">
        <v>2452</v>
      </c>
      <c r="B4" t="s" s="275">
        <v>2448</v>
      </c>
      <c r="C4" t="s" s="275">
        <v>2449</v>
      </c>
      <c r="D4" t="s" s="275">
        <v>2453</v>
      </c>
      <c r="E4" s="142"/>
    </row>
    <row r="5" ht="13.65" customHeight="1">
      <c r="A5" t="s" s="275">
        <v>2454</v>
      </c>
      <c r="B5" t="s" s="275">
        <v>2448</v>
      </c>
      <c r="C5" t="s" s="275">
        <v>2449</v>
      </c>
      <c r="D5" t="s" s="275">
        <v>2455</v>
      </c>
      <c r="E5" s="142"/>
    </row>
    <row r="6" ht="13.65" customHeight="1">
      <c r="A6" t="s" s="275">
        <v>2456</v>
      </c>
      <c r="B6" t="s" s="275">
        <v>2457</v>
      </c>
      <c r="C6" t="s" s="275">
        <v>2458</v>
      </c>
      <c r="D6" t="s" s="275">
        <v>2459</v>
      </c>
      <c r="E6" s="142"/>
    </row>
    <row r="7" ht="13.65" customHeight="1">
      <c r="A7" t="s" s="275">
        <v>2460</v>
      </c>
      <c r="B7" t="s" s="275">
        <v>2461</v>
      </c>
      <c r="C7" t="s" s="275">
        <v>2462</v>
      </c>
      <c r="D7" t="s" s="275">
        <v>2463</v>
      </c>
      <c r="E7" s="142"/>
    </row>
    <row r="8" ht="13.65" customHeight="1">
      <c r="A8" t="s" s="275">
        <v>2464</v>
      </c>
      <c r="B8" t="s" s="275">
        <v>2465</v>
      </c>
      <c r="C8" t="s" s="275">
        <v>2466</v>
      </c>
      <c r="D8" t="s" s="275">
        <v>2467</v>
      </c>
      <c r="E8" s="142"/>
    </row>
    <row r="9" ht="13.65" customHeight="1">
      <c r="A9" t="s" s="275">
        <v>2468</v>
      </c>
      <c r="B9" t="s" s="275">
        <v>2469</v>
      </c>
      <c r="C9" s="1327">
        <v>43061</v>
      </c>
      <c r="D9" t="s" s="275">
        <v>2470</v>
      </c>
      <c r="E9" s="142"/>
    </row>
    <row r="10" ht="13.65" customHeight="1">
      <c r="A10" s="237"/>
      <c r="B10" t="s" s="275">
        <v>2471</v>
      </c>
      <c r="C10" s="1328">
        <v>43745</v>
      </c>
      <c r="D10" t="s" s="275">
        <v>2472</v>
      </c>
      <c r="E10" s="142"/>
    </row>
    <row r="11" ht="13.65" customHeight="1">
      <c r="A11" s="237"/>
      <c r="B11" t="s" s="275">
        <v>2473</v>
      </c>
      <c r="C11" s="237"/>
      <c r="D11" t="s" s="275">
        <v>2474</v>
      </c>
      <c r="E11" s="142"/>
    </row>
    <row r="12" ht="13.65" customHeight="1">
      <c r="A12" t="s" s="275">
        <v>2475</v>
      </c>
      <c r="B12" t="s" s="275">
        <v>2476</v>
      </c>
      <c r="C12" s="1328">
        <v>43815</v>
      </c>
      <c r="D12" t="s" s="1326">
        <v>2477</v>
      </c>
      <c r="E12" s="142"/>
    </row>
    <row r="13" ht="13.65" customHeight="1">
      <c r="A13" s="237"/>
      <c r="B13" s="237"/>
      <c r="C13" s="237"/>
      <c r="D13" t="s" s="275">
        <v>2478</v>
      </c>
      <c r="E13" s="142"/>
    </row>
    <row r="14" ht="13.65" customHeight="1">
      <c r="A14" s="237"/>
      <c r="B14" s="237"/>
      <c r="C14" s="237"/>
      <c r="D14" t="s" s="275">
        <v>2479</v>
      </c>
      <c r="E14" s="142"/>
    </row>
    <row r="15" ht="13.65" customHeight="1">
      <c r="A15" s="237"/>
      <c r="B15" s="237"/>
      <c r="C15" s="237"/>
      <c r="D15" t="s" s="275">
        <v>2480</v>
      </c>
      <c r="E15" s="142"/>
    </row>
    <row r="16" ht="13.65" customHeight="1">
      <c r="A16" s="237"/>
      <c r="B16" s="237"/>
      <c r="C16" s="237"/>
      <c r="D16" t="s" s="275">
        <v>2481</v>
      </c>
      <c r="E16" s="142"/>
    </row>
    <row r="17" ht="13.65" customHeight="1">
      <c r="A17" t="s" s="275">
        <v>2482</v>
      </c>
      <c r="B17" t="s" s="275">
        <v>123</v>
      </c>
      <c r="C17" s="1328">
        <v>43832</v>
      </c>
      <c r="D17" t="s" s="275">
        <v>2483</v>
      </c>
      <c r="E17" s="142"/>
    </row>
    <row r="18" ht="13.65" customHeight="1">
      <c r="A18" t="s" s="275">
        <v>2484</v>
      </c>
      <c r="B18" t="s" s="275">
        <v>2485</v>
      </c>
      <c r="C18" s="237"/>
      <c r="D18" t="s" s="275">
        <v>2486</v>
      </c>
      <c r="E18" s="142"/>
    </row>
    <row r="19" ht="13.65" customHeight="1">
      <c r="A19" t="s" s="275">
        <v>2484</v>
      </c>
      <c r="B19" t="s" s="275">
        <v>2485</v>
      </c>
      <c r="C19" s="1328">
        <v>44042</v>
      </c>
      <c r="D19" t="s" s="275">
        <v>2487</v>
      </c>
      <c r="E19" s="142"/>
    </row>
  </sheetData>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1:Q23"/>
  <sheetViews>
    <sheetView workbookViewId="0" showGridLines="0" defaultGridColor="1"/>
  </sheetViews>
  <sheetFormatPr defaultColWidth="11.5" defaultRowHeight="12.75" customHeight="1" outlineLevelRow="0" outlineLevelCol="0"/>
  <cols>
    <col min="1" max="1" width="27.8516" style="1329" customWidth="1"/>
    <col min="2" max="2" width="16.8516" style="1329" customWidth="1"/>
    <col min="3" max="3" width="18.8516" style="1329" customWidth="1"/>
    <col min="4" max="9" width="11.5" style="1329" customWidth="1"/>
    <col min="10" max="10" width="19" style="1329" customWidth="1"/>
    <col min="11" max="11" width="11.5" style="1329" customWidth="1"/>
    <col min="12" max="12" width="41.3516" style="1329" customWidth="1"/>
    <col min="13" max="17" width="11.5" style="1329" customWidth="1"/>
    <col min="18" max="16384" width="11.5" style="1329" customWidth="1"/>
  </cols>
  <sheetData>
    <row r="1" ht="15.75" customHeight="1">
      <c r="A1" s="229"/>
      <c r="B1" s="324"/>
      <c r="C1" s="324"/>
      <c r="D1" s="324"/>
      <c r="E1" s="324"/>
      <c r="F1" s="324"/>
      <c r="G1" s="324"/>
      <c r="H1" s="325"/>
      <c r="I1" s="1330"/>
      <c r="J1" s="135"/>
      <c r="K1" s="1331"/>
      <c r="L1" s="1332"/>
      <c r="M1" s="235"/>
      <c r="N1" s="231"/>
      <c r="O1" s="231"/>
      <c r="P1" s="231"/>
      <c r="Q1" s="1333"/>
    </row>
    <row r="2" ht="15.75" customHeight="1">
      <c r="A2" s="248"/>
      <c r="B2" s="267"/>
      <c r="C2" s="267"/>
      <c r="D2" s="267"/>
      <c r="E2" s="267"/>
      <c r="F2" s="267"/>
      <c r="G2" s="311"/>
      <c r="H2" s="267"/>
      <c r="I2" s="1334"/>
      <c r="J2" s="257"/>
      <c r="K2" s="245"/>
      <c r="L2" s="245"/>
      <c r="M2" s="247"/>
      <c r="N2" s="247"/>
      <c r="O2" s="247"/>
      <c r="P2" s="247"/>
      <c r="Q2" s="1335"/>
    </row>
    <row r="3" ht="15.75" customHeight="1">
      <c r="A3" t="s" s="161">
        <f>'Termék'!A6</f>
        <v>168</v>
      </c>
      <c r="B3" s="162"/>
      <c r="C3" s="253">
        <f>'Termék'!C6:E6</f>
        <v>0</v>
      </c>
      <c r="D3" s="164"/>
      <c r="E3" s="164"/>
      <c r="F3" s="164"/>
      <c r="G3" s="164"/>
      <c r="H3" s="164"/>
      <c r="I3" s="165"/>
      <c r="J3" s="254"/>
      <c r="K3" s="1336">
        <f>'Termék'!H6</f>
        <v>0</v>
      </c>
      <c r="L3" s="1337">
        <f>'Termék'!I6</f>
      </c>
      <c r="M3" s="252"/>
      <c r="N3" s="247"/>
      <c r="O3" s="247"/>
      <c r="P3" s="247"/>
      <c r="Q3" s="1335"/>
    </row>
    <row r="4" ht="15.75" customHeight="1">
      <c r="A4" t="s" s="161">
        <f>'Termék'!A7</f>
        <v>170</v>
      </c>
      <c r="B4" s="162"/>
      <c r="C4" t="s" s="171">
        <f>'Termék'!C7:E7</f>
      </c>
      <c r="D4" s="164"/>
      <c r="E4" s="164"/>
      <c r="F4" s="164"/>
      <c r="G4" s="164"/>
      <c r="H4" s="164"/>
      <c r="I4" s="165"/>
      <c r="J4" s="254"/>
      <c r="K4" s="1338"/>
      <c r="L4" s="1339">
        <f>'Termék'!I7</f>
        <v>0</v>
      </c>
      <c r="M4" s="252"/>
      <c r="N4" s="247"/>
      <c r="O4" s="247"/>
      <c r="P4" s="247"/>
      <c r="Q4" s="1335"/>
    </row>
    <row r="5" ht="15.75" customHeight="1">
      <c r="A5" t="s" s="161">
        <f>'Termék'!A8</f>
        <v>133</v>
      </c>
      <c r="B5" s="162"/>
      <c r="C5" s="253">
        <f>'Termék'!C8:E8</f>
        <v>0</v>
      </c>
      <c r="D5" s="164"/>
      <c r="E5" s="164"/>
      <c r="F5" s="164"/>
      <c r="G5" s="164"/>
      <c r="H5" s="164"/>
      <c r="I5" s="165"/>
      <c r="J5" s="255"/>
      <c r="K5" s="257"/>
      <c r="L5" s="257"/>
      <c r="M5" s="247"/>
      <c r="N5" s="247"/>
      <c r="O5" s="247"/>
      <c r="P5" s="247"/>
      <c r="Q5" s="1335"/>
    </row>
    <row r="6" ht="13.65" customHeight="1">
      <c r="A6" s="1340"/>
      <c r="B6" s="315"/>
      <c r="C6" s="1340"/>
      <c r="D6" s="315"/>
      <c r="E6" s="315"/>
      <c r="F6" s="315"/>
      <c r="G6" s="315"/>
      <c r="H6" s="315"/>
      <c r="I6" s="315"/>
      <c r="J6" s="1341"/>
      <c r="K6" s="1341"/>
      <c r="L6" s="1341"/>
      <c r="M6" s="317"/>
      <c r="N6" s="317"/>
      <c r="O6" s="317"/>
      <c r="P6" s="317"/>
      <c r="Q6" s="317"/>
    </row>
    <row r="7" ht="40.5" customHeight="1">
      <c r="A7" t="s" s="1342">
        <v>2489</v>
      </c>
      <c r="B7" s="1343"/>
      <c r="C7" t="s" s="1344">
        <v>2490</v>
      </c>
      <c r="D7" s="1345"/>
      <c r="E7" s="1346"/>
      <c r="F7" s="1346"/>
      <c r="G7" s="1346"/>
      <c r="H7" s="1346"/>
      <c r="I7" s="1346"/>
      <c r="J7" s="1346"/>
      <c r="K7" s="1346"/>
      <c r="L7" s="1347"/>
      <c r="M7" s="1348"/>
      <c r="N7" s="237"/>
      <c r="O7" s="237"/>
      <c r="P7" s="237"/>
      <c r="Q7" s="237"/>
    </row>
    <row r="8" ht="40.5" customHeight="1">
      <c r="A8" t="s" s="1342">
        <v>2491</v>
      </c>
      <c r="B8" s="1343"/>
      <c r="C8" t="s" s="1344">
        <v>2490</v>
      </c>
      <c r="D8" s="1345"/>
      <c r="E8" s="1346"/>
      <c r="F8" s="1346"/>
      <c r="G8" s="1346"/>
      <c r="H8" s="1346"/>
      <c r="I8" s="1346"/>
      <c r="J8" s="1346"/>
      <c r="K8" s="1346"/>
      <c r="L8" s="1347"/>
      <c r="M8" s="1348"/>
      <c r="N8" s="237"/>
      <c r="O8" s="237"/>
      <c r="P8" s="237"/>
      <c r="Q8" s="237"/>
    </row>
    <row r="9" ht="40.5" customHeight="1">
      <c r="A9" t="s" s="1342">
        <v>2492</v>
      </c>
      <c r="B9" s="1349"/>
      <c r="C9" t="s" s="1344">
        <v>2490</v>
      </c>
      <c r="D9" s="1345"/>
      <c r="E9" s="1346"/>
      <c r="F9" s="1346"/>
      <c r="G9" s="1346"/>
      <c r="H9" s="1346"/>
      <c r="I9" s="1346"/>
      <c r="J9" s="1346"/>
      <c r="K9" s="1346"/>
      <c r="L9" s="1347"/>
      <c r="M9" s="1348"/>
      <c r="N9" s="237"/>
      <c r="O9" s="237"/>
      <c r="P9" s="237"/>
      <c r="Q9" s="237"/>
    </row>
    <row r="10" ht="40.5" customHeight="1">
      <c r="A10" t="s" s="1342">
        <v>2493</v>
      </c>
      <c r="B10" s="1349"/>
      <c r="C10" t="s" s="1344">
        <v>2490</v>
      </c>
      <c r="D10" s="1345"/>
      <c r="E10" s="1346"/>
      <c r="F10" s="1346"/>
      <c r="G10" s="1346"/>
      <c r="H10" s="1346"/>
      <c r="I10" s="1346"/>
      <c r="J10" s="1346"/>
      <c r="K10" s="1346"/>
      <c r="L10" s="1347"/>
      <c r="M10" s="1348"/>
      <c r="N10" s="237"/>
      <c r="O10" s="237"/>
      <c r="P10" s="237"/>
      <c r="Q10" s="237"/>
    </row>
    <row r="11" ht="40.5" customHeight="1">
      <c r="A11" t="s" s="1342">
        <v>2494</v>
      </c>
      <c r="B11" s="1349"/>
      <c r="C11" t="s" s="1344">
        <v>2490</v>
      </c>
      <c r="D11" s="1345"/>
      <c r="E11" s="1346"/>
      <c r="F11" s="1346"/>
      <c r="G11" s="1346"/>
      <c r="H11" s="1346"/>
      <c r="I11" s="1346"/>
      <c r="J11" s="1346"/>
      <c r="K11" s="1346"/>
      <c r="L11" s="1347"/>
      <c r="M11" s="1348"/>
      <c r="N11" s="237"/>
      <c r="O11" s="237"/>
      <c r="P11" s="237"/>
      <c r="Q11" s="237"/>
    </row>
    <row r="12" ht="40.5" customHeight="1">
      <c r="A12" t="s" s="1342">
        <v>2495</v>
      </c>
      <c r="B12" s="1343"/>
      <c r="C12" t="s" s="1344">
        <v>2490</v>
      </c>
      <c r="D12" s="1345"/>
      <c r="E12" s="1346"/>
      <c r="F12" s="1346"/>
      <c r="G12" s="1346"/>
      <c r="H12" s="1346"/>
      <c r="I12" s="1346"/>
      <c r="J12" s="1346"/>
      <c r="K12" s="1346"/>
      <c r="L12" s="1347"/>
      <c r="M12" s="1348"/>
      <c r="N12" s="237"/>
      <c r="O12" s="237"/>
      <c r="P12" s="237"/>
      <c r="Q12" s="237"/>
    </row>
    <row r="13" ht="40.5" customHeight="1">
      <c r="A13" t="s" s="1342">
        <v>2496</v>
      </c>
      <c r="B13" s="1343"/>
      <c r="C13" t="s" s="1344">
        <v>2490</v>
      </c>
      <c r="D13" s="1345"/>
      <c r="E13" s="1346"/>
      <c r="F13" s="1346"/>
      <c r="G13" s="1346"/>
      <c r="H13" s="1346"/>
      <c r="I13" s="1346"/>
      <c r="J13" s="1346"/>
      <c r="K13" s="1346"/>
      <c r="L13" s="1347"/>
      <c r="M13" s="1348"/>
      <c r="N13" s="237"/>
      <c r="O13" s="237"/>
      <c r="P13" s="237"/>
      <c r="Q13" s="237"/>
    </row>
    <row r="14" ht="40.5" customHeight="1">
      <c r="A14" t="s" s="1342">
        <v>2492</v>
      </c>
      <c r="B14" s="1349"/>
      <c r="C14" t="s" s="1344">
        <v>2490</v>
      </c>
      <c r="D14" s="1345"/>
      <c r="E14" s="1346"/>
      <c r="F14" s="1346"/>
      <c r="G14" s="1346"/>
      <c r="H14" s="1346"/>
      <c r="I14" s="1346"/>
      <c r="J14" s="1346"/>
      <c r="K14" s="1346"/>
      <c r="L14" s="1347"/>
      <c r="M14" s="1348"/>
      <c r="N14" s="237"/>
      <c r="O14" s="237"/>
      <c r="P14" s="237"/>
      <c r="Q14" s="237"/>
    </row>
    <row r="15" ht="13.65" customHeight="1">
      <c r="A15" s="237"/>
      <c r="B15" s="1340"/>
      <c r="C15" s="237"/>
      <c r="D15" s="1340"/>
      <c r="E15" s="1340"/>
      <c r="F15" s="1340"/>
      <c r="G15" s="1340"/>
      <c r="H15" s="1340"/>
      <c r="I15" s="1340"/>
      <c r="J15" s="1340"/>
      <c r="K15" s="1340"/>
      <c r="L15" s="1340"/>
      <c r="M15" s="237"/>
      <c r="N15" s="237"/>
      <c r="O15" s="237"/>
      <c r="P15" s="237"/>
      <c r="Q15" s="237"/>
    </row>
    <row r="16" ht="13.65" customHeight="1">
      <c r="A16" s="237"/>
      <c r="B16" s="237"/>
      <c r="C16" s="237"/>
      <c r="D16" s="237"/>
      <c r="E16" s="237"/>
      <c r="F16" s="237"/>
      <c r="G16" s="237"/>
      <c r="H16" s="237"/>
      <c r="I16" s="237"/>
      <c r="J16" s="237"/>
      <c r="K16" s="237"/>
      <c r="L16" s="237"/>
      <c r="M16" s="237"/>
      <c r="N16" s="237"/>
      <c r="O16" s="237"/>
      <c r="P16" s="237"/>
      <c r="Q16" s="237"/>
    </row>
    <row r="17" ht="13.65" customHeight="1">
      <c r="A17" s="237"/>
      <c r="B17" s="237"/>
      <c r="C17" s="237"/>
      <c r="D17" s="237"/>
      <c r="E17" s="237"/>
      <c r="F17" s="237"/>
      <c r="G17" s="237"/>
      <c r="H17" s="237"/>
      <c r="I17" s="237"/>
      <c r="J17" s="237"/>
      <c r="K17" s="237"/>
      <c r="L17" s="237"/>
      <c r="M17" s="237"/>
      <c r="N17" s="237"/>
      <c r="O17" s="237"/>
      <c r="P17" s="237"/>
      <c r="Q17" s="237"/>
    </row>
    <row r="18" ht="13.65" customHeight="1">
      <c r="A18" s="237"/>
      <c r="B18" s="237"/>
      <c r="C18" s="237"/>
      <c r="D18" s="237"/>
      <c r="E18" s="237"/>
      <c r="F18" s="237"/>
      <c r="G18" s="237"/>
      <c r="H18" s="237"/>
      <c r="I18" s="237"/>
      <c r="J18" s="237"/>
      <c r="K18" s="237"/>
      <c r="L18" s="237"/>
      <c r="M18" s="237"/>
      <c r="N18" s="237"/>
      <c r="O18" s="237"/>
      <c r="P18" s="237"/>
      <c r="Q18" s="237"/>
    </row>
    <row r="19" ht="13.65" customHeight="1">
      <c r="A19" s="237"/>
      <c r="B19" s="237"/>
      <c r="C19" s="237"/>
      <c r="D19" s="237"/>
      <c r="E19" s="237"/>
      <c r="F19" s="237"/>
      <c r="G19" s="237"/>
      <c r="H19" s="237"/>
      <c r="I19" s="237"/>
      <c r="J19" s="237"/>
      <c r="K19" s="237"/>
      <c r="L19" s="237"/>
      <c r="M19" s="237"/>
      <c r="N19" s="237"/>
      <c r="O19" s="237"/>
      <c r="P19" s="237"/>
      <c r="Q19" s="237"/>
    </row>
    <row r="20" ht="13.65" customHeight="1">
      <c r="A20" s="237"/>
      <c r="B20" s="237"/>
      <c r="C20" s="237"/>
      <c r="D20" s="237"/>
      <c r="E20" s="237"/>
      <c r="F20" s="237"/>
      <c r="G20" s="237"/>
      <c r="H20" s="237"/>
      <c r="I20" s="237"/>
      <c r="J20" s="237"/>
      <c r="K20" s="237"/>
      <c r="L20" s="237"/>
      <c r="M20" s="237"/>
      <c r="N20" s="237"/>
      <c r="O20" s="237"/>
      <c r="P20" s="237"/>
      <c r="Q20" s="237"/>
    </row>
    <row r="21" ht="13.65" customHeight="1">
      <c r="A21" s="237"/>
      <c r="B21" s="237"/>
      <c r="C21" s="237"/>
      <c r="D21" s="237"/>
      <c r="E21" s="237"/>
      <c r="F21" s="237"/>
      <c r="G21" s="237"/>
      <c r="H21" s="237"/>
      <c r="I21" s="237"/>
      <c r="J21" s="237"/>
      <c r="K21" s="237"/>
      <c r="L21" s="237"/>
      <c r="M21" s="237"/>
      <c r="N21" s="237"/>
      <c r="O21" s="237"/>
      <c r="P21" s="237"/>
      <c r="Q21" s="237"/>
    </row>
    <row r="22" ht="13.65" customHeight="1">
      <c r="A22" s="237"/>
      <c r="B22" s="237"/>
      <c r="C22" s="237"/>
      <c r="D22" s="237"/>
      <c r="E22" s="237"/>
      <c r="F22" s="237"/>
      <c r="G22" s="237"/>
      <c r="H22" s="237"/>
      <c r="I22" s="237"/>
      <c r="J22" s="237"/>
      <c r="K22" s="237"/>
      <c r="L22" s="237"/>
      <c r="M22" s="237"/>
      <c r="N22" s="237"/>
      <c r="O22" s="237"/>
      <c r="P22" s="237"/>
      <c r="Q22" s="237"/>
    </row>
    <row r="23" ht="13.65" customHeight="1">
      <c r="A23" s="237"/>
      <c r="B23" s="237"/>
      <c r="C23" s="237"/>
      <c r="D23" s="237"/>
      <c r="E23" s="237"/>
      <c r="F23" s="237"/>
      <c r="G23" s="237"/>
      <c r="H23" s="237"/>
      <c r="I23" s="237"/>
      <c r="J23" s="237"/>
      <c r="K23" s="237"/>
      <c r="L23" s="237"/>
      <c r="M23" s="237"/>
      <c r="N23" s="237"/>
      <c r="O23" s="237"/>
      <c r="P23" s="237"/>
      <c r="Q23" s="237"/>
    </row>
  </sheetData>
  <mergeCells count="16">
    <mergeCell ref="I1:J1"/>
    <mergeCell ref="K1:L1"/>
    <mergeCell ref="D12:L12"/>
    <mergeCell ref="D13:L13"/>
    <mergeCell ref="D14:L14"/>
    <mergeCell ref="D7:L7"/>
    <mergeCell ref="D8:L8"/>
    <mergeCell ref="D9:L9"/>
    <mergeCell ref="D10:L10"/>
    <mergeCell ref="D11:L11"/>
    <mergeCell ref="A3:B3"/>
    <mergeCell ref="C3:I3"/>
    <mergeCell ref="A4:B4"/>
    <mergeCell ref="C4:I4"/>
    <mergeCell ref="A5:B5"/>
    <mergeCell ref="C5:I5"/>
  </mergeCells>
  <pageMargins left="0.708661" right="0.708661" top="0.787402" bottom="0.787402" header="0.314961" footer="0.314961"/>
  <pageSetup firstPageNumber="1" fitToHeight="1" fitToWidth="1" scale="7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S90"/>
  <sheetViews>
    <sheetView workbookViewId="0" showGridLines="0" defaultGridColor="1"/>
  </sheetViews>
  <sheetFormatPr defaultColWidth="9.16667" defaultRowHeight="12.75" customHeight="1" outlineLevelRow="0" outlineLevelCol="0"/>
  <cols>
    <col min="1" max="1" width="15.8516" style="19" customWidth="1"/>
    <col min="2" max="2" width="4.5" style="19" customWidth="1"/>
    <col min="3" max="3" width="29" style="19" customWidth="1"/>
    <col min="4" max="4" width="29.1719" style="19" customWidth="1"/>
    <col min="5" max="14" width="9.17188" style="19" customWidth="1"/>
    <col min="15" max="15" hidden="1" width="9.16667" style="19" customWidth="1"/>
    <col min="16" max="16" width="14.8516" style="19" customWidth="1"/>
    <col min="17" max="17" width="15.8516" style="19" customWidth="1"/>
    <col min="18" max="18" width="17.1719" style="19" customWidth="1"/>
    <col min="19" max="19" width="9.17188" style="19" customWidth="1"/>
    <col min="20" max="16384" width="9.17188" style="19" customWidth="1"/>
  </cols>
  <sheetData>
    <row r="1" ht="75" customHeight="1">
      <c r="A1" s="20"/>
      <c r="B1" s="9"/>
      <c r="C1" t="s" s="21">
        <f>IF(L1="Magyar",'Fordítások'!C310,'Fordítások'!B310)</f>
        <v>25</v>
      </c>
      <c r="D1" s="22"/>
      <c r="E1" s="22"/>
      <c r="F1" s="22"/>
      <c r="G1" s="9"/>
      <c r="H1" s="9"/>
      <c r="I1" s="9"/>
      <c r="J1" s="23"/>
      <c r="K1" s="23"/>
      <c r="L1" t="s" s="24">
        <f>IF(M1=1,"Magyar","English")</f>
        <v>26</v>
      </c>
      <c r="M1" s="25">
        <v>1</v>
      </c>
      <c r="N1" s="26"/>
      <c r="O1" s="26"/>
      <c r="P1" s="27"/>
      <c r="Q1" s="9"/>
      <c r="R1" s="9"/>
      <c r="S1" s="10"/>
    </row>
    <row r="2" ht="12.75" customHeight="1">
      <c r="A2" s="28"/>
      <c r="B2" s="13"/>
      <c r="C2" s="29"/>
      <c r="D2" s="13"/>
      <c r="E2" s="13"/>
      <c r="F2" s="13"/>
      <c r="G2" s="13"/>
      <c r="H2" s="13"/>
      <c r="I2" s="13"/>
      <c r="J2" s="13"/>
      <c r="K2" s="13"/>
      <c r="L2" s="13"/>
      <c r="M2" s="13"/>
      <c r="N2" s="13"/>
      <c r="O2" s="13"/>
      <c r="P2" s="30"/>
      <c r="Q2" s="13"/>
      <c r="R2" s="13"/>
      <c r="S2" s="14"/>
    </row>
    <row r="3" ht="20.25" customHeight="1">
      <c r="A3" t="s" s="31">
        <f>IF(L1="Magyar",'Fordítások'!C311,'Fordítások'!B311)</f>
        <v>27</v>
      </c>
      <c r="B3" s="13"/>
      <c r="C3" s="13"/>
      <c r="D3" s="13"/>
      <c r="E3" s="13"/>
      <c r="F3" s="13"/>
      <c r="G3" s="13"/>
      <c r="H3" s="13"/>
      <c r="I3" s="13"/>
      <c r="J3" s="32"/>
      <c r="K3" s="32"/>
      <c r="L3" t="s" s="33">
        <f>IF(M3=0,"",CHOOSE(M3,H41,H42,H43,H44,H45,H46))</f>
        <v>28</v>
      </c>
      <c r="M3" s="34">
        <v>2</v>
      </c>
      <c r="N3" s="32"/>
      <c r="O3" s="32"/>
      <c r="P3" s="35"/>
      <c r="Q3" s="13"/>
      <c r="R3" s="13"/>
      <c r="S3" s="14"/>
    </row>
    <row r="4" ht="20.25" customHeight="1">
      <c r="A4" s="36"/>
      <c r="B4" s="13"/>
      <c r="C4" s="13"/>
      <c r="D4" s="13"/>
      <c r="E4" s="13"/>
      <c r="F4" s="13"/>
      <c r="G4" s="13"/>
      <c r="H4" s="13"/>
      <c r="I4" s="13"/>
      <c r="J4" s="32"/>
      <c r="K4" s="32"/>
      <c r="L4" s="32"/>
      <c r="M4" s="32"/>
      <c r="N4" s="32"/>
      <c r="O4" s="32"/>
      <c r="P4" s="35"/>
      <c r="Q4" s="13"/>
      <c r="R4" s="13"/>
      <c r="S4" s="14"/>
    </row>
    <row r="5" ht="20.25" customHeight="1">
      <c r="A5" t="s" s="37">
        <f>IF(L1="Magyar","Információk a pályázóról","Information about the applicant")</f>
        <v>29</v>
      </c>
      <c r="B5" s="38"/>
      <c r="C5" s="38"/>
      <c r="D5" s="38"/>
      <c r="E5" s="38"/>
      <c r="F5" s="38"/>
      <c r="G5" s="13"/>
      <c r="H5" s="13"/>
      <c r="I5" s="13"/>
      <c r="J5" s="13"/>
      <c r="K5" s="13"/>
      <c r="L5" s="13"/>
      <c r="M5" s="13"/>
      <c r="N5" s="13"/>
      <c r="O5" s="32"/>
      <c r="P5" s="35"/>
      <c r="Q5" s="13"/>
      <c r="R5" s="13"/>
      <c r="S5" s="14"/>
    </row>
    <row r="6" ht="12.75" customHeight="1">
      <c r="A6" s="28"/>
      <c r="B6" s="13"/>
      <c r="C6" s="13"/>
      <c r="D6" s="39"/>
      <c r="E6" s="39"/>
      <c r="F6" s="39"/>
      <c r="G6" s="13"/>
      <c r="H6" s="13"/>
      <c r="I6" s="13"/>
      <c r="J6" s="13"/>
      <c r="K6" s="13"/>
      <c r="L6" s="13"/>
      <c r="M6" s="13"/>
      <c r="N6" s="13"/>
      <c r="O6" s="13"/>
      <c r="P6" s="30"/>
      <c r="Q6" s="13"/>
      <c r="R6" s="13"/>
      <c r="S6" s="14"/>
    </row>
    <row r="7" ht="15.75" customHeight="1">
      <c r="A7" t="s" s="40">
        <f>IF($L$1="Magyar",O7,P7)</f>
        <v>30</v>
      </c>
      <c r="B7" s="41"/>
      <c r="C7" s="42"/>
      <c r="D7" s="43"/>
      <c r="E7" s="44"/>
      <c r="F7" s="45"/>
      <c r="G7" s="46"/>
      <c r="H7" s="47"/>
      <c r="I7" s="47"/>
      <c r="J7" s="13"/>
      <c r="K7" s="13"/>
      <c r="L7" s="13"/>
      <c r="M7" s="13"/>
      <c r="N7" s="13"/>
      <c r="O7" t="s" s="33">
        <v>30</v>
      </c>
      <c r="P7" t="s" s="48">
        <v>31</v>
      </c>
      <c r="Q7" s="13"/>
      <c r="R7" s="13"/>
      <c r="S7" s="14"/>
    </row>
    <row r="8" ht="8.1" customHeight="1">
      <c r="A8" s="49"/>
      <c r="B8" s="50"/>
      <c r="C8" s="51"/>
      <c r="D8" s="52"/>
      <c r="E8" s="53"/>
      <c r="F8" s="54"/>
      <c r="G8" s="51"/>
      <c r="H8" s="51"/>
      <c r="I8" s="51"/>
      <c r="J8" s="13"/>
      <c r="K8" s="13"/>
      <c r="L8" s="13"/>
      <c r="M8" s="13"/>
      <c r="N8" s="13"/>
      <c r="O8" s="13"/>
      <c r="P8" s="30"/>
      <c r="Q8" s="13"/>
      <c r="R8" s="13"/>
      <c r="S8" s="14"/>
    </row>
    <row r="9" ht="27" customHeight="1">
      <c r="A9" t="s" s="40">
        <f>IF($L$1="Magyar",O9,P9)</f>
        <v>32</v>
      </c>
      <c r="B9" s="41"/>
      <c r="C9" s="42"/>
      <c r="D9" s="43"/>
      <c r="E9" s="44"/>
      <c r="F9" s="45"/>
      <c r="G9" s="46"/>
      <c r="H9" s="47"/>
      <c r="I9" s="47"/>
      <c r="J9" s="13"/>
      <c r="K9" s="13"/>
      <c r="L9" s="13"/>
      <c r="M9" s="13"/>
      <c r="N9" s="13"/>
      <c r="O9" t="s" s="33">
        <v>32</v>
      </c>
      <c r="P9" t="s" s="48">
        <v>33</v>
      </c>
      <c r="Q9" s="13"/>
      <c r="R9" s="13"/>
      <c r="S9" s="14"/>
    </row>
    <row r="10" ht="8.1" customHeight="1">
      <c r="A10" s="55"/>
      <c r="B10" s="56"/>
      <c r="C10" s="51"/>
      <c r="D10" s="52"/>
      <c r="E10" s="53"/>
      <c r="F10" s="54"/>
      <c r="G10" s="51"/>
      <c r="H10" s="51"/>
      <c r="I10" s="51"/>
      <c r="J10" s="13"/>
      <c r="K10" s="13"/>
      <c r="L10" s="13"/>
      <c r="M10" s="13"/>
      <c r="N10" s="13"/>
      <c r="O10" s="13"/>
      <c r="P10" s="30"/>
      <c r="Q10" s="13"/>
      <c r="R10" s="13"/>
      <c r="S10" s="14"/>
    </row>
    <row r="11" ht="15.75" customHeight="1">
      <c r="A11" t="s" s="40">
        <f>IF($L$1="Magyar",O11,P11)</f>
        <v>34</v>
      </c>
      <c r="B11" s="41"/>
      <c r="C11" s="42"/>
      <c r="D11" s="43"/>
      <c r="E11" s="44"/>
      <c r="F11" s="45"/>
      <c r="G11" s="46"/>
      <c r="H11" s="47"/>
      <c r="I11" s="47"/>
      <c r="J11" s="13"/>
      <c r="K11" s="13"/>
      <c r="L11" s="13"/>
      <c r="M11" s="13"/>
      <c r="N11" s="13"/>
      <c r="O11" t="s" s="33">
        <v>34</v>
      </c>
      <c r="P11" t="s" s="48">
        <v>35</v>
      </c>
      <c r="Q11" s="13"/>
      <c r="R11" s="13"/>
      <c r="S11" s="14"/>
    </row>
    <row r="12" ht="8.1" customHeight="1">
      <c r="A12" s="55"/>
      <c r="B12" s="56"/>
      <c r="C12" s="51"/>
      <c r="D12" s="52"/>
      <c r="E12" s="53"/>
      <c r="F12" s="54"/>
      <c r="G12" s="51"/>
      <c r="H12" s="51"/>
      <c r="I12" s="51"/>
      <c r="J12" s="13"/>
      <c r="K12" s="13"/>
      <c r="L12" s="13"/>
      <c r="M12" s="13"/>
      <c r="N12" s="13"/>
      <c r="O12" s="13"/>
      <c r="P12" s="30"/>
      <c r="Q12" s="13"/>
      <c r="R12" s="13"/>
      <c r="S12" s="14"/>
    </row>
    <row r="13" ht="15.75" customHeight="1">
      <c r="A13" t="s" s="40">
        <f>IF($L$1="Magyar",O13,P13)</f>
        <v>36</v>
      </c>
      <c r="B13" s="41"/>
      <c r="C13" s="42"/>
      <c r="D13" s="43"/>
      <c r="E13" s="44"/>
      <c r="F13" s="45"/>
      <c r="G13" s="57"/>
      <c r="H13" s="51"/>
      <c r="I13" s="51"/>
      <c r="J13" s="13"/>
      <c r="K13" s="13"/>
      <c r="L13" s="13"/>
      <c r="M13" s="13"/>
      <c r="N13" s="13"/>
      <c r="O13" t="s" s="33">
        <v>36</v>
      </c>
      <c r="P13" t="s" s="48">
        <v>37</v>
      </c>
      <c r="Q13" s="13"/>
      <c r="R13" s="13"/>
      <c r="S13" s="14"/>
    </row>
    <row r="14" ht="8.1" customHeight="1">
      <c r="A14" s="55"/>
      <c r="B14" s="56"/>
      <c r="C14" s="51"/>
      <c r="D14" s="52"/>
      <c r="E14" s="53"/>
      <c r="F14" s="54"/>
      <c r="G14" s="51"/>
      <c r="H14" s="51"/>
      <c r="I14" s="51"/>
      <c r="J14" s="13"/>
      <c r="K14" s="13"/>
      <c r="L14" s="13"/>
      <c r="M14" s="13"/>
      <c r="N14" s="13"/>
      <c r="O14" s="13"/>
      <c r="P14" s="30"/>
      <c r="Q14" s="13"/>
      <c r="R14" s="13"/>
      <c r="S14" s="14"/>
    </row>
    <row r="15" ht="15.75" customHeight="1">
      <c r="A15" t="s" s="40">
        <f>IF($L$1="Magyar",O15,P15)</f>
        <v>38</v>
      </c>
      <c r="B15" s="41"/>
      <c r="C15" s="42"/>
      <c r="D15" s="43"/>
      <c r="E15" s="44"/>
      <c r="F15" s="45"/>
      <c r="G15" s="58"/>
      <c r="H15" s="59"/>
      <c r="I15" s="60"/>
      <c r="J15" s="13"/>
      <c r="K15" s="13"/>
      <c r="L15" s="13"/>
      <c r="M15" s="13"/>
      <c r="N15" s="13"/>
      <c r="O15" t="s" s="33">
        <v>38</v>
      </c>
      <c r="P15" t="s" s="48">
        <v>39</v>
      </c>
      <c r="Q15" s="13"/>
      <c r="R15" s="13"/>
      <c r="S15" s="14"/>
    </row>
    <row r="16" ht="8.1" customHeight="1">
      <c r="A16" s="55"/>
      <c r="B16" s="56"/>
      <c r="C16" s="51"/>
      <c r="D16" s="52"/>
      <c r="E16" s="53"/>
      <c r="F16" s="54"/>
      <c r="G16" s="51"/>
      <c r="H16" s="51"/>
      <c r="I16" s="51"/>
      <c r="J16" s="13"/>
      <c r="K16" s="13"/>
      <c r="L16" s="13"/>
      <c r="M16" s="13"/>
      <c r="N16" s="13"/>
      <c r="O16" s="13"/>
      <c r="P16" s="30"/>
      <c r="Q16" s="13"/>
      <c r="R16" s="13"/>
      <c r="S16" s="14"/>
    </row>
    <row r="17" ht="15.75" customHeight="1">
      <c r="A17" t="s" s="40">
        <f>IF($L$1="Magyar",O17,P17)</f>
        <v>40</v>
      </c>
      <c r="B17" s="41"/>
      <c r="C17" s="42"/>
      <c r="D17" t="s" s="61">
        <v>41</v>
      </c>
      <c r="E17" s="44"/>
      <c r="F17" s="45"/>
      <c r="G17" s="46"/>
      <c r="H17" s="47"/>
      <c r="I17" s="47"/>
      <c r="J17" s="13"/>
      <c r="K17" s="13"/>
      <c r="L17" s="13"/>
      <c r="M17" s="13"/>
      <c r="N17" s="13"/>
      <c r="O17" t="s" s="33">
        <v>40</v>
      </c>
      <c r="P17" t="s" s="48">
        <v>42</v>
      </c>
      <c r="Q17" s="13"/>
      <c r="R17" s="13"/>
      <c r="S17" s="14"/>
    </row>
    <row r="18" ht="8.1" customHeight="1">
      <c r="A18" s="62"/>
      <c r="B18" s="56"/>
      <c r="C18" s="51"/>
      <c r="D18" s="52"/>
      <c r="E18" s="53"/>
      <c r="F18" s="54"/>
      <c r="G18" s="51"/>
      <c r="H18" s="51"/>
      <c r="I18" s="51"/>
      <c r="J18" s="13"/>
      <c r="K18" s="13"/>
      <c r="L18" s="13"/>
      <c r="M18" s="13"/>
      <c r="N18" s="13"/>
      <c r="O18" s="13"/>
      <c r="P18" s="30"/>
      <c r="Q18" s="13"/>
      <c r="R18" s="13"/>
      <c r="S18" s="14"/>
    </row>
    <row r="19" ht="15.75" customHeight="1">
      <c r="A19" t="s" s="40">
        <f>IF($L$1="Magyar",O19,P19)</f>
        <v>43</v>
      </c>
      <c r="B19" s="41"/>
      <c r="C19" s="42"/>
      <c r="D19" s="43"/>
      <c r="E19" s="44"/>
      <c r="F19" s="45"/>
      <c r="G19" s="46"/>
      <c r="H19" s="47"/>
      <c r="I19" s="47"/>
      <c r="J19" s="13"/>
      <c r="K19" s="13"/>
      <c r="L19" s="13"/>
      <c r="M19" s="13"/>
      <c r="N19" s="13"/>
      <c r="O19" t="s" s="48">
        <v>43</v>
      </c>
      <c r="P19" t="s" s="48">
        <v>44</v>
      </c>
      <c r="Q19" s="13"/>
      <c r="R19" s="13"/>
      <c r="S19" s="14"/>
    </row>
    <row r="20" ht="8.1" customHeight="1">
      <c r="A20" s="62"/>
      <c r="B20" s="56"/>
      <c r="C20" s="51"/>
      <c r="D20" s="52"/>
      <c r="E20" s="53"/>
      <c r="F20" s="54"/>
      <c r="G20" s="51"/>
      <c r="H20" s="51"/>
      <c r="I20" s="51"/>
      <c r="J20" s="13"/>
      <c r="K20" s="13"/>
      <c r="L20" s="13"/>
      <c r="M20" s="13"/>
      <c r="N20" s="13"/>
      <c r="O20" s="63">
        <v>0</v>
      </c>
      <c r="P20" s="30"/>
      <c r="Q20" s="13"/>
      <c r="R20" s="13"/>
      <c r="S20" s="14"/>
    </row>
    <row r="21" ht="15.75" customHeight="1">
      <c r="A21" t="s" s="40">
        <f>IF($L$1="Magyar",O21,P21)</f>
        <v>45</v>
      </c>
      <c r="B21" s="41"/>
      <c r="C21" s="42"/>
      <c r="D21" s="43"/>
      <c r="E21" s="44"/>
      <c r="F21" s="45"/>
      <c r="G21" s="46"/>
      <c r="H21" s="47"/>
      <c r="I21" s="47"/>
      <c r="J21" s="13"/>
      <c r="K21" s="13"/>
      <c r="L21" s="13"/>
      <c r="M21" s="13"/>
      <c r="N21" s="13"/>
      <c r="O21" t="s" s="48">
        <v>45</v>
      </c>
      <c r="P21" t="s" s="48">
        <v>46</v>
      </c>
      <c r="Q21" s="13"/>
      <c r="R21" s="13"/>
      <c r="S21" s="14"/>
    </row>
    <row r="22" ht="8.1" customHeight="1">
      <c r="A22" s="62"/>
      <c r="B22" s="56"/>
      <c r="C22" s="51"/>
      <c r="D22" s="52"/>
      <c r="E22" s="53"/>
      <c r="F22" s="54"/>
      <c r="G22" s="51"/>
      <c r="H22" s="51"/>
      <c r="I22" s="51"/>
      <c r="J22" s="13"/>
      <c r="K22" s="13"/>
      <c r="L22" s="13"/>
      <c r="M22" s="13"/>
      <c r="N22" s="13"/>
      <c r="O22" s="63">
        <v>0</v>
      </c>
      <c r="P22" s="30"/>
      <c r="Q22" s="13"/>
      <c r="R22" s="13"/>
      <c r="S22" s="14"/>
    </row>
    <row r="23" ht="15.75" customHeight="1">
      <c r="A23" t="s" s="40">
        <f>IF($L$1="Magyar",O23,P23)</f>
        <v>47</v>
      </c>
      <c r="B23" s="41"/>
      <c r="C23" s="42"/>
      <c r="D23" s="43"/>
      <c r="E23" s="44"/>
      <c r="F23" s="45"/>
      <c r="G23" s="46"/>
      <c r="H23" s="47"/>
      <c r="I23" s="47"/>
      <c r="J23" s="13"/>
      <c r="K23" s="13"/>
      <c r="L23" s="13"/>
      <c r="M23" s="13"/>
      <c r="N23" s="13"/>
      <c r="O23" t="s" s="48">
        <v>47</v>
      </c>
      <c r="P23" t="s" s="48">
        <v>48</v>
      </c>
      <c r="Q23" s="13"/>
      <c r="R23" s="13"/>
      <c r="S23" s="14"/>
    </row>
    <row r="24" ht="8.1" customHeight="1">
      <c r="A24" s="62"/>
      <c r="B24" s="56"/>
      <c r="C24" s="51"/>
      <c r="D24" s="52"/>
      <c r="E24" s="53"/>
      <c r="F24" s="54"/>
      <c r="G24" s="51"/>
      <c r="H24" s="51"/>
      <c r="I24" s="51"/>
      <c r="J24" s="13"/>
      <c r="K24" s="13"/>
      <c r="L24" s="13"/>
      <c r="M24" s="13"/>
      <c r="N24" s="13"/>
      <c r="O24" s="63">
        <v>0</v>
      </c>
      <c r="P24" s="30"/>
      <c r="Q24" s="13"/>
      <c r="R24" s="13"/>
      <c r="S24" s="14"/>
    </row>
    <row r="25" ht="15.75" customHeight="1">
      <c r="A25" t="s" s="40">
        <f>IF($L$1="Magyar",O25,P25)</f>
        <v>49</v>
      </c>
      <c r="B25" s="41"/>
      <c r="C25" s="42"/>
      <c r="D25" t="s" s="61">
        <v>41</v>
      </c>
      <c r="E25" s="44"/>
      <c r="F25" s="45"/>
      <c r="G25" s="46"/>
      <c r="H25" s="47"/>
      <c r="I25" s="47"/>
      <c r="J25" s="13"/>
      <c r="K25" s="13"/>
      <c r="L25" s="13"/>
      <c r="M25" s="13"/>
      <c r="N25" s="13"/>
      <c r="O25" t="s" s="48">
        <v>49</v>
      </c>
      <c r="P25" t="s" s="48">
        <v>50</v>
      </c>
      <c r="Q25" s="13"/>
      <c r="R25" s="13"/>
      <c r="S25" s="14"/>
    </row>
    <row r="26" ht="8.1" customHeight="1">
      <c r="A26" s="62"/>
      <c r="B26" s="56"/>
      <c r="C26" s="51"/>
      <c r="D26" s="52"/>
      <c r="E26" s="53"/>
      <c r="F26" s="54"/>
      <c r="G26" s="51"/>
      <c r="H26" s="51"/>
      <c r="I26" s="51"/>
      <c r="J26" s="13"/>
      <c r="K26" s="13"/>
      <c r="L26" s="13"/>
      <c r="M26" s="13"/>
      <c r="N26" s="13"/>
      <c r="O26" s="63">
        <v>0</v>
      </c>
      <c r="P26" s="30"/>
      <c r="Q26" s="13"/>
      <c r="R26" s="13"/>
      <c r="S26" s="14"/>
    </row>
    <row r="27" ht="15.75" customHeight="1">
      <c r="A27" t="s" s="40">
        <f>IF($L$1="Magyar",O27,P27)</f>
        <v>51</v>
      </c>
      <c r="B27" s="41"/>
      <c r="C27" s="42"/>
      <c r="D27" s="43"/>
      <c r="E27" s="44"/>
      <c r="F27" s="45"/>
      <c r="G27" s="46"/>
      <c r="H27" t="s" s="64">
        <v>26</v>
      </c>
      <c r="I27" s="65"/>
      <c r="J27" s="13"/>
      <c r="K27" s="13"/>
      <c r="L27" s="13"/>
      <c r="M27" s="13"/>
      <c r="N27" s="13"/>
      <c r="O27" t="s" s="48">
        <v>51</v>
      </c>
      <c r="P27" t="s" s="48">
        <v>52</v>
      </c>
      <c r="Q27" s="13"/>
      <c r="R27" s="13"/>
      <c r="S27" s="14"/>
    </row>
    <row r="28" ht="8.1" customHeight="1">
      <c r="A28" s="62"/>
      <c r="B28" s="56"/>
      <c r="C28" s="51"/>
      <c r="D28" s="52"/>
      <c r="E28" s="53"/>
      <c r="F28" s="54"/>
      <c r="G28" s="51"/>
      <c r="H28" t="s" s="66">
        <v>53</v>
      </c>
      <c r="I28" s="67"/>
      <c r="J28" s="13"/>
      <c r="K28" s="13"/>
      <c r="L28" s="13"/>
      <c r="M28" s="13"/>
      <c r="N28" s="13"/>
      <c r="O28" s="63">
        <v>0</v>
      </c>
      <c r="P28" s="30"/>
      <c r="Q28" s="13"/>
      <c r="R28" s="13"/>
      <c r="S28" s="14"/>
    </row>
    <row r="29" ht="15.75" customHeight="1">
      <c r="A29" t="s" s="40">
        <f>IF($L$1="Magyar",O29,P29)</f>
        <v>54</v>
      </c>
      <c r="B29" s="41"/>
      <c r="C29" s="42"/>
      <c r="D29" s="43"/>
      <c r="E29" s="44"/>
      <c r="F29" s="45"/>
      <c r="G29" s="46"/>
      <c r="H29" s="65"/>
      <c r="I29" s="65"/>
      <c r="J29" s="13"/>
      <c r="K29" s="13"/>
      <c r="L29" s="13"/>
      <c r="M29" s="13"/>
      <c r="N29" s="13"/>
      <c r="O29" t="s" s="48">
        <v>54</v>
      </c>
      <c r="P29" t="s" s="48">
        <v>55</v>
      </c>
      <c r="Q29" s="13"/>
      <c r="R29" s="13"/>
      <c r="S29" s="14"/>
    </row>
    <row r="30" ht="8.1" customHeight="1">
      <c r="A30" s="62"/>
      <c r="B30" s="56"/>
      <c r="C30" s="51"/>
      <c r="D30" s="52"/>
      <c r="E30" s="53"/>
      <c r="F30" s="54"/>
      <c r="G30" s="51"/>
      <c r="H30" s="67"/>
      <c r="I30" s="67"/>
      <c r="J30" s="13"/>
      <c r="K30" s="13"/>
      <c r="L30" s="13"/>
      <c r="M30" s="13"/>
      <c r="N30" s="13"/>
      <c r="O30" s="63">
        <v>0</v>
      </c>
      <c r="P30" s="30"/>
      <c r="Q30" s="13"/>
      <c r="R30" s="13"/>
      <c r="S30" s="14"/>
    </row>
    <row r="31" ht="15.75" customHeight="1">
      <c r="A31" t="s" s="40">
        <f>IF($L$1="Magyar",O31,P31)</f>
        <v>47</v>
      </c>
      <c r="B31" s="41"/>
      <c r="C31" s="42"/>
      <c r="D31" s="43"/>
      <c r="E31" s="44"/>
      <c r="F31" s="45"/>
      <c r="G31" s="46"/>
      <c r="H31" t="s" s="64">
        <f>IF($L$1="Magyar",'Fordítások'!C336,'Fordítások'!B336)</f>
        <v>56</v>
      </c>
      <c r="I31" s="65"/>
      <c r="J31" s="13"/>
      <c r="K31" s="13"/>
      <c r="L31" s="13"/>
      <c r="M31" t="s" s="33">
        <f>IF(L1="Magyar","Igen","Yes")</f>
        <v>57</v>
      </c>
      <c r="N31" s="13"/>
      <c r="O31" t="s" s="48">
        <v>47</v>
      </c>
      <c r="P31" t="s" s="48">
        <v>48</v>
      </c>
      <c r="Q31" s="13"/>
      <c r="R31" s="13"/>
      <c r="S31" s="14"/>
    </row>
    <row r="32" ht="8.1" customHeight="1">
      <c r="A32" s="62"/>
      <c r="B32" s="56"/>
      <c r="C32" s="51"/>
      <c r="D32" s="52"/>
      <c r="E32" s="53"/>
      <c r="F32" s="54"/>
      <c r="G32" s="51"/>
      <c r="H32" t="s" s="64">
        <f>IF($L$1="Magyar",'Fordítások'!C337,'Fordítások'!B337)</f>
        <v>58</v>
      </c>
      <c r="I32" s="67"/>
      <c r="J32" s="13"/>
      <c r="K32" s="13"/>
      <c r="L32" s="13"/>
      <c r="M32" t="s" s="33">
        <f>IF(L1="Magyar","Nem","No")</f>
        <v>59</v>
      </c>
      <c r="N32" s="13"/>
      <c r="O32" s="63">
        <v>0</v>
      </c>
      <c r="P32" s="30"/>
      <c r="Q32" s="13"/>
      <c r="R32" s="13"/>
      <c r="S32" s="14"/>
    </row>
    <row r="33" ht="15.75" customHeight="1">
      <c r="A33" t="s" s="40">
        <f>IF($L$1="Magyar",O33,P33)</f>
        <v>49</v>
      </c>
      <c r="B33" s="41"/>
      <c r="C33" s="42"/>
      <c r="D33" t="s" s="61">
        <v>41</v>
      </c>
      <c r="E33" s="44"/>
      <c r="F33" s="45"/>
      <c r="G33" s="46"/>
      <c r="H33" t="s" s="64">
        <f>IF($L$1="Magyar",'Fordítások'!C338,'Fordítások'!B338)</f>
        <v>60</v>
      </c>
      <c r="I33" s="65"/>
      <c r="J33" s="13"/>
      <c r="K33" s="13"/>
      <c r="L33" s="13"/>
      <c r="M33" s="13"/>
      <c r="N33" s="13"/>
      <c r="O33" t="s" s="48">
        <v>49</v>
      </c>
      <c r="P33" t="s" s="48">
        <v>61</v>
      </c>
      <c r="Q33" s="13"/>
      <c r="R33" s="13"/>
      <c r="S33" s="14"/>
    </row>
    <row r="34" ht="8.1" customHeight="1">
      <c r="A34" s="62"/>
      <c r="B34" s="56"/>
      <c r="C34" s="51"/>
      <c r="D34" s="52"/>
      <c r="E34" s="53"/>
      <c r="F34" s="54"/>
      <c r="G34" s="51"/>
      <c r="H34" t="s" s="64">
        <f>IF($L$1="Magyar",'Fordítások'!C339,'Fordítások'!B339)</f>
        <v>62</v>
      </c>
      <c r="I34" s="67"/>
      <c r="J34" s="13"/>
      <c r="K34" s="13"/>
      <c r="L34" s="13"/>
      <c r="M34" s="13"/>
      <c r="N34" s="13"/>
      <c r="O34" s="63">
        <v>0</v>
      </c>
      <c r="P34" s="30"/>
      <c r="Q34" s="13"/>
      <c r="R34" s="13"/>
      <c r="S34" s="14"/>
    </row>
    <row r="35" ht="15.75" customHeight="1">
      <c r="A35" t="s" s="40">
        <f>IF($L$1="Magyar",O35,P35)</f>
        <v>51</v>
      </c>
      <c r="B35" s="41"/>
      <c r="C35" s="42"/>
      <c r="D35" s="43"/>
      <c r="E35" s="44"/>
      <c r="F35" s="45"/>
      <c r="G35" s="46"/>
      <c r="H35" t="s" s="64">
        <f>IF($L$1="Magyar",'Fordítások'!C340,'Fordítások'!B340)</f>
        <v>63</v>
      </c>
      <c r="I35" s="65"/>
      <c r="J35" s="13"/>
      <c r="K35" s="13"/>
      <c r="L35" s="13"/>
      <c r="M35" s="13"/>
      <c r="N35" s="13"/>
      <c r="O35" t="s" s="48">
        <v>51</v>
      </c>
      <c r="P35" t="s" s="48">
        <v>52</v>
      </c>
      <c r="Q35" s="13"/>
      <c r="R35" s="13"/>
      <c r="S35" s="14"/>
    </row>
    <row r="36" ht="8.1" customHeight="1">
      <c r="A36" s="28"/>
      <c r="B36" s="13"/>
      <c r="C36" s="13"/>
      <c r="D36" s="68"/>
      <c r="E36" s="69"/>
      <c r="F36" s="69"/>
      <c r="G36" s="13"/>
      <c r="H36" s="70"/>
      <c r="I36" s="32"/>
      <c r="J36" s="13"/>
      <c r="K36" s="13"/>
      <c r="L36" s="13"/>
      <c r="M36" s="13"/>
      <c r="N36" s="13"/>
      <c r="O36" s="63">
        <v>0</v>
      </c>
      <c r="P36" s="30"/>
      <c r="Q36" s="13"/>
      <c r="R36" s="13"/>
      <c r="S36" s="14"/>
    </row>
    <row r="37" ht="51.75" customHeight="1">
      <c r="A37" t="s" s="40">
        <f>IF($L$1="Magyar",O37,P37)</f>
        <v>64</v>
      </c>
      <c r="B37" s="41"/>
      <c r="C37" s="42"/>
      <c r="D37" s="71"/>
      <c r="E37" s="72"/>
      <c r="F37" s="13"/>
      <c r="G37" s="13"/>
      <c r="H37" s="65"/>
      <c r="I37" s="32"/>
      <c r="J37" s="13"/>
      <c r="K37" s="13"/>
      <c r="L37" s="13"/>
      <c r="M37" s="13"/>
      <c r="N37" s="13"/>
      <c r="O37" t="s" s="48">
        <v>64</v>
      </c>
      <c r="P37" t="s" s="48">
        <v>65</v>
      </c>
      <c r="Q37" s="13"/>
      <c r="R37" s="13"/>
      <c r="S37" s="14"/>
    </row>
    <row r="38" ht="15.75" customHeight="1">
      <c r="A38" s="28"/>
      <c r="B38" s="13"/>
      <c r="C38" s="13"/>
      <c r="D38" s="69"/>
      <c r="E38" s="13"/>
      <c r="F38" s="13"/>
      <c r="G38" s="13"/>
      <c r="H38" s="70"/>
      <c r="I38" s="32"/>
      <c r="J38" s="13"/>
      <c r="K38" s="13"/>
      <c r="L38" s="13"/>
      <c r="M38" s="13"/>
      <c r="N38" s="13"/>
      <c r="O38" s="63">
        <v>0</v>
      </c>
      <c r="P38" s="30"/>
      <c r="Q38" s="13"/>
      <c r="R38" s="13"/>
      <c r="S38" s="14"/>
    </row>
    <row r="39" ht="15.75" customHeight="1">
      <c r="A39" t="s" s="37">
        <f>IF($L$1="Magyar",O39,P39)</f>
        <v>66</v>
      </c>
      <c r="B39" s="38"/>
      <c r="C39" s="38"/>
      <c r="D39" s="38"/>
      <c r="E39" s="38"/>
      <c r="F39" s="38"/>
      <c r="G39" s="13"/>
      <c r="H39" s="65"/>
      <c r="I39" s="32"/>
      <c r="J39" s="13"/>
      <c r="K39" s="13"/>
      <c r="L39" s="13"/>
      <c r="M39" s="13"/>
      <c r="N39" s="13"/>
      <c r="O39" t="s" s="48">
        <v>66</v>
      </c>
      <c r="P39" t="s" s="48">
        <v>67</v>
      </c>
      <c r="Q39" s="13"/>
      <c r="R39" s="13"/>
      <c r="S39" s="14"/>
    </row>
    <row r="40" ht="15.75" customHeight="1">
      <c r="A40" s="73"/>
      <c r="B40" s="74"/>
      <c r="C40" s="74"/>
      <c r="D40" s="75"/>
      <c r="E40" s="75"/>
      <c r="F40" s="75"/>
      <c r="G40" s="13"/>
      <c r="H40" s="65"/>
      <c r="I40" s="65"/>
      <c r="J40" s="13"/>
      <c r="K40" s="13"/>
      <c r="L40" s="13"/>
      <c r="M40" s="13"/>
      <c r="N40" s="13"/>
      <c r="O40" s="76">
        <v>0</v>
      </c>
      <c r="P40" s="77"/>
      <c r="Q40" s="13"/>
      <c r="R40" s="13"/>
      <c r="S40" s="14"/>
    </row>
    <row r="41" ht="30" customHeight="1">
      <c r="A41" t="s" s="40">
        <f>IF($L$1="Magyar",O41,P41)</f>
        <v>68</v>
      </c>
      <c r="B41" s="41"/>
      <c r="C41" s="42"/>
      <c r="D41" s="78"/>
      <c r="E41" s="79"/>
      <c r="F41" s="80"/>
      <c r="G41" s="72"/>
      <c r="H41" t="s" s="81">
        <f>IF($L$1="Magyar",'Fordítások'!C341,'Fordítások'!B341)</f>
        <v>69</v>
      </c>
      <c r="I41" s="65"/>
      <c r="J41" s="13"/>
      <c r="K41" s="13"/>
      <c r="L41" s="13"/>
      <c r="M41" s="13"/>
      <c r="N41" s="13"/>
      <c r="O41" t="s" s="82">
        <v>70</v>
      </c>
      <c r="P41" t="s" s="82">
        <v>71</v>
      </c>
      <c r="Q41" s="13"/>
      <c r="R41" s="13"/>
      <c r="S41" s="14"/>
    </row>
    <row r="42" ht="8.1" customHeight="1">
      <c r="A42" s="73"/>
      <c r="B42" s="74"/>
      <c r="C42" s="74"/>
      <c r="D42" s="83"/>
      <c r="E42" s="83"/>
      <c r="F42" s="83"/>
      <c r="G42" s="13"/>
      <c r="H42" t="s" s="81">
        <f>IF($L$1="Magyar",'Fordítások'!C342,'Fordítások'!B342)</f>
        <v>72</v>
      </c>
      <c r="I42" s="65"/>
      <c r="J42" s="13"/>
      <c r="K42" s="13"/>
      <c r="L42" s="13"/>
      <c r="M42" s="13"/>
      <c r="N42" s="13"/>
      <c r="O42" s="76">
        <v>0</v>
      </c>
      <c r="P42" s="77"/>
      <c r="Q42" s="13"/>
      <c r="R42" s="13"/>
      <c r="S42" s="14"/>
    </row>
    <row r="43" ht="30" customHeight="1">
      <c r="A43" t="s" s="40">
        <f>IF($L$1="Magyar",O43,P43)</f>
        <v>73</v>
      </c>
      <c r="B43" s="41"/>
      <c r="C43" s="42"/>
      <c r="D43" s="78"/>
      <c r="E43" s="79"/>
      <c r="F43" s="80"/>
      <c r="G43" s="72"/>
      <c r="H43" t="s" s="81">
        <f>IF($L$1="Magyar",'Fordítások'!C344,'Fordítások'!B344)</f>
        <v>74</v>
      </c>
      <c r="I43" s="65"/>
      <c r="J43" s="13"/>
      <c r="K43" s="13"/>
      <c r="L43" s="13"/>
      <c r="M43" s="13"/>
      <c r="N43" s="13"/>
      <c r="O43" t="s" s="82">
        <v>75</v>
      </c>
      <c r="P43" t="s" s="82">
        <v>76</v>
      </c>
      <c r="Q43" s="13"/>
      <c r="R43" s="13"/>
      <c r="S43" s="14"/>
    </row>
    <row r="44" ht="8.1" customHeight="1">
      <c r="A44" s="73"/>
      <c r="B44" s="74"/>
      <c r="C44" s="74"/>
      <c r="D44" s="83"/>
      <c r="E44" s="83"/>
      <c r="F44" s="83"/>
      <c r="G44" s="13"/>
      <c r="H44" t="s" s="81">
        <f>IF($L$1="Magyar",'Fordítások'!C343,'Fordítások'!B343)</f>
        <v>77</v>
      </c>
      <c r="I44" s="65"/>
      <c r="J44" s="13"/>
      <c r="K44" s="13"/>
      <c r="L44" s="13"/>
      <c r="M44" s="13"/>
      <c r="N44" s="13"/>
      <c r="O44" s="76">
        <v>0</v>
      </c>
      <c r="P44" s="77"/>
      <c r="Q44" s="13"/>
      <c r="R44" s="13"/>
      <c r="S44" s="14"/>
    </row>
    <row r="45" ht="15.75" customHeight="1">
      <c r="A45" t="s" s="40">
        <f>IF($L$1="Magyar",O45,P45)</f>
        <v>78</v>
      </c>
      <c r="B45" s="41"/>
      <c r="C45" s="42"/>
      <c r="D45" t="s" s="84">
        <f>L3</f>
        <v>28</v>
      </c>
      <c r="E45" s="85"/>
      <c r="F45" s="86"/>
      <c r="G45" s="72"/>
      <c r="H45" t="s" s="81">
        <f>IF($L$1="Magyar",'Fordítások'!C345,'Fordítások'!B345)</f>
        <v>79</v>
      </c>
      <c r="I45" s="65"/>
      <c r="J45" s="13"/>
      <c r="K45" s="13"/>
      <c r="L45" s="13"/>
      <c r="M45" s="13"/>
      <c r="N45" s="13"/>
      <c r="O45" t="s" s="82">
        <v>80</v>
      </c>
      <c r="P45" t="s" s="82">
        <v>81</v>
      </c>
      <c r="Q45" s="13"/>
      <c r="R45" s="13"/>
      <c r="S45" s="14"/>
    </row>
    <row r="46" ht="8.1" customHeight="1">
      <c r="A46" s="73"/>
      <c r="B46" s="74"/>
      <c r="C46" s="74"/>
      <c r="D46" s="83"/>
      <c r="E46" s="83"/>
      <c r="F46" s="83"/>
      <c r="G46" s="13"/>
      <c r="H46" t="s" s="81">
        <f>IF($L$1="Magyar",'Fordítások'!C346,'Fordítások'!B346)</f>
        <v>82</v>
      </c>
      <c r="I46" s="65"/>
      <c r="J46" s="13"/>
      <c r="K46" s="13"/>
      <c r="L46" s="13"/>
      <c r="M46" s="13"/>
      <c r="N46" s="13"/>
      <c r="O46" s="76">
        <v>0</v>
      </c>
      <c r="P46" s="77"/>
      <c r="Q46" s="13"/>
      <c r="R46" s="13"/>
      <c r="S46" s="14"/>
    </row>
    <row r="47" ht="15.75" customHeight="1">
      <c r="A47" t="s" s="40">
        <f>IF($L$1="Magyar",O47,P47)</f>
        <v>83</v>
      </c>
      <c r="B47" s="41"/>
      <c r="C47" s="42"/>
      <c r="D47" s="87"/>
      <c r="E47" s="88"/>
      <c r="F47" s="89"/>
      <c r="G47" s="72"/>
      <c r="H47" s="13"/>
      <c r="I47" s="13"/>
      <c r="J47" s="13"/>
      <c r="K47" s="13"/>
      <c r="L47" s="13"/>
      <c r="M47" s="13"/>
      <c r="N47" s="13"/>
      <c r="O47" t="s" s="82">
        <v>84</v>
      </c>
      <c r="P47" t="s" s="82">
        <v>85</v>
      </c>
      <c r="Q47" s="13"/>
      <c r="R47" s="13"/>
      <c r="S47" s="14"/>
    </row>
    <row r="48" ht="24" customHeight="1">
      <c r="A48" s="13"/>
      <c r="B48" s="41"/>
      <c r="C48" s="42"/>
      <c r="D48" s="90"/>
      <c r="E48" s="91"/>
      <c r="F48" s="92"/>
      <c r="G48" s="72"/>
      <c r="H48" s="13"/>
      <c r="I48" s="13"/>
      <c r="J48" s="13"/>
      <c r="K48" s="13"/>
      <c r="L48" s="13"/>
      <c r="M48" s="13"/>
      <c r="N48" s="13"/>
      <c r="O48" s="77"/>
      <c r="P48" s="77"/>
      <c r="Q48" s="13"/>
      <c r="R48" s="13"/>
      <c r="S48" s="14"/>
    </row>
    <row r="49" ht="8.1" customHeight="1">
      <c r="A49" s="73"/>
      <c r="B49" s="74"/>
      <c r="C49" s="74"/>
      <c r="D49" s="83"/>
      <c r="E49" s="83"/>
      <c r="F49" s="83"/>
      <c r="G49" s="13"/>
      <c r="H49" s="13"/>
      <c r="I49" s="13"/>
      <c r="J49" s="13"/>
      <c r="K49" s="13"/>
      <c r="L49" s="13"/>
      <c r="M49" s="13"/>
      <c r="N49" s="13"/>
      <c r="O49" s="76">
        <v>0</v>
      </c>
      <c r="P49" s="77"/>
      <c r="Q49" s="13"/>
      <c r="R49" s="13"/>
      <c r="S49" s="14"/>
    </row>
    <row r="50" ht="56.25" customHeight="1">
      <c r="A50" t="s" s="40">
        <f>IF($L$1="Magyar",O50,P50)</f>
        <v>86</v>
      </c>
      <c r="B50" s="41"/>
      <c r="C50" s="42"/>
      <c r="D50" s="78"/>
      <c r="E50" s="79"/>
      <c r="F50" s="80"/>
      <c r="G50" s="72"/>
      <c r="H50" s="13"/>
      <c r="I50" s="13"/>
      <c r="J50" s="13"/>
      <c r="K50" s="13"/>
      <c r="L50" s="13"/>
      <c r="M50" s="13"/>
      <c r="N50" s="13"/>
      <c r="O50" t="s" s="82">
        <v>87</v>
      </c>
      <c r="P50" t="s" s="82">
        <v>88</v>
      </c>
      <c r="Q50" s="13"/>
      <c r="R50" s="13"/>
      <c r="S50" s="14"/>
    </row>
    <row r="51" ht="8.1" customHeight="1">
      <c r="A51" s="73"/>
      <c r="B51" s="74"/>
      <c r="C51" s="74"/>
      <c r="D51" s="83"/>
      <c r="E51" s="83"/>
      <c r="F51" s="83"/>
      <c r="G51" s="13"/>
      <c r="H51" s="13"/>
      <c r="I51" s="13"/>
      <c r="J51" s="13"/>
      <c r="K51" s="13"/>
      <c r="L51" s="13"/>
      <c r="M51" s="13"/>
      <c r="N51" s="13"/>
      <c r="O51" s="76">
        <v>0</v>
      </c>
      <c r="P51" s="77"/>
      <c r="Q51" s="13"/>
      <c r="R51" s="13"/>
      <c r="S51" s="14"/>
    </row>
    <row r="52" ht="39" customHeight="1">
      <c r="A52" t="s" s="40">
        <f>IF($L$1="Magyar",O52,P52)</f>
        <v>89</v>
      </c>
      <c r="B52" s="41"/>
      <c r="C52" s="42"/>
      <c r="D52" s="78"/>
      <c r="E52" s="79"/>
      <c r="F52" s="80"/>
      <c r="G52" s="72"/>
      <c r="H52" s="13"/>
      <c r="I52" s="13"/>
      <c r="J52" s="13"/>
      <c r="K52" s="13"/>
      <c r="L52" s="13"/>
      <c r="M52" s="13"/>
      <c r="N52" s="13"/>
      <c r="O52" t="s" s="82">
        <v>90</v>
      </c>
      <c r="P52" t="s" s="82">
        <v>91</v>
      </c>
      <c r="Q52" s="13"/>
      <c r="R52" s="13"/>
      <c r="S52" s="14"/>
    </row>
    <row r="53" ht="8.1" customHeight="1">
      <c r="A53" s="73"/>
      <c r="B53" s="74"/>
      <c r="C53" s="74"/>
      <c r="D53" s="83"/>
      <c r="E53" s="93"/>
      <c r="F53" s="93"/>
      <c r="G53" s="13"/>
      <c r="H53" s="13"/>
      <c r="I53" s="13"/>
      <c r="J53" s="13"/>
      <c r="K53" s="13"/>
      <c r="L53" s="13"/>
      <c r="M53" s="13"/>
      <c r="N53" s="13"/>
      <c r="O53" s="76">
        <v>0</v>
      </c>
      <c r="P53" s="77"/>
      <c r="Q53" s="13"/>
      <c r="R53" s="13"/>
      <c r="S53" s="14"/>
    </row>
    <row r="54" ht="33" customHeight="1">
      <c r="A54" t="s" s="40">
        <f>IF($L$1="Magyar",O54,P54)</f>
        <v>92</v>
      </c>
      <c r="B54" s="41"/>
      <c r="C54" s="42"/>
      <c r="D54" s="94"/>
      <c r="E54" s="72"/>
      <c r="F54" s="13"/>
      <c r="G54" s="13"/>
      <c r="H54" s="47"/>
      <c r="I54" s="13"/>
      <c r="J54" s="13"/>
      <c r="K54" s="13"/>
      <c r="L54" s="13"/>
      <c r="M54" s="13"/>
      <c r="N54" s="47"/>
      <c r="O54" t="s" s="48">
        <v>92</v>
      </c>
      <c r="P54" t="s" s="48">
        <v>93</v>
      </c>
      <c r="Q54" s="13"/>
      <c r="R54" s="13"/>
      <c r="S54" s="14"/>
    </row>
    <row r="55" ht="8.1" customHeight="1">
      <c r="A55" s="28"/>
      <c r="B55" s="13"/>
      <c r="C55" s="13"/>
      <c r="D55" s="68"/>
      <c r="E55" s="39"/>
      <c r="F55" s="39"/>
      <c r="G55" s="13"/>
      <c r="H55" s="56"/>
      <c r="I55" s="13"/>
      <c r="J55" s="13"/>
      <c r="K55" s="13"/>
      <c r="L55" s="13"/>
      <c r="M55" s="13"/>
      <c r="N55" s="13"/>
      <c r="O55" s="63">
        <v>0</v>
      </c>
      <c r="P55" s="30"/>
      <c r="Q55" s="13"/>
      <c r="R55" s="13"/>
      <c r="S55" s="14"/>
    </row>
    <row r="56" ht="15.75" customHeight="1">
      <c r="A56" t="s" s="95">
        <f>IF($L$1="Magyar",O56,P56)</f>
        <v>94</v>
      </c>
      <c r="B56" s="96"/>
      <c r="C56" s="97"/>
      <c r="D56" s="87"/>
      <c r="E56" s="88"/>
      <c r="F56" s="89"/>
      <c r="G56" s="72"/>
      <c r="H56" s="47"/>
      <c r="I56" s="13"/>
      <c r="J56" s="13"/>
      <c r="K56" s="13"/>
      <c r="L56" s="13"/>
      <c r="M56" s="13"/>
      <c r="N56" s="13"/>
      <c r="O56" t="s" s="48">
        <v>94</v>
      </c>
      <c r="P56" t="s" s="33">
        <v>95</v>
      </c>
      <c r="Q56" s="13"/>
      <c r="R56" s="13"/>
      <c r="S56" s="14"/>
    </row>
    <row r="57" ht="21" customHeight="1">
      <c r="A57" s="13"/>
      <c r="B57" s="96"/>
      <c r="C57" s="97"/>
      <c r="D57" s="98"/>
      <c r="E57" s="99"/>
      <c r="F57" s="100"/>
      <c r="G57" s="72"/>
      <c r="H57" s="56"/>
      <c r="I57" s="13"/>
      <c r="J57" s="13"/>
      <c r="K57" s="13"/>
      <c r="L57" s="13"/>
      <c r="M57" s="13"/>
      <c r="N57" s="13"/>
      <c r="O57" s="63">
        <v>0</v>
      </c>
      <c r="P57" s="30"/>
      <c r="Q57" s="13"/>
      <c r="R57" s="13"/>
      <c r="S57" s="14"/>
    </row>
    <row r="58" ht="15.75" customHeight="1">
      <c r="A58" s="28"/>
      <c r="B58" s="13"/>
      <c r="C58" s="101"/>
      <c r="D58" s="90"/>
      <c r="E58" s="91"/>
      <c r="F58" s="92"/>
      <c r="G58" s="72"/>
      <c r="H58" s="102"/>
      <c r="I58" s="13"/>
      <c r="J58" s="13"/>
      <c r="K58" s="13"/>
      <c r="L58" s="13"/>
      <c r="M58" s="13"/>
      <c r="N58" s="13"/>
      <c r="O58" s="63">
        <v>0</v>
      </c>
      <c r="P58" s="30"/>
      <c r="Q58" s="13"/>
      <c r="R58" s="13"/>
      <c r="S58" s="14"/>
    </row>
    <row r="59" ht="8.1" customHeight="1">
      <c r="A59" s="28"/>
      <c r="B59" s="13"/>
      <c r="C59" s="13"/>
      <c r="D59" s="68"/>
      <c r="E59" s="69"/>
      <c r="F59" s="69"/>
      <c r="G59" s="13"/>
      <c r="H59" s="13"/>
      <c r="I59" s="13"/>
      <c r="J59" s="13"/>
      <c r="K59" s="13"/>
      <c r="L59" s="13"/>
      <c r="M59" s="13"/>
      <c r="N59" s="13"/>
      <c r="O59" s="63">
        <v>0</v>
      </c>
      <c r="P59" s="30"/>
      <c r="Q59" s="13"/>
      <c r="R59" s="13"/>
      <c r="S59" s="14"/>
    </row>
    <row r="60" ht="15" customHeight="1">
      <c r="A60" t="s" s="95">
        <f>IF($L$1="Magyar",O60,P60)</f>
        <v>96</v>
      </c>
      <c r="B60" s="96"/>
      <c r="C60" s="97"/>
      <c r="D60" s="71"/>
      <c r="E60" s="72"/>
      <c r="F60" s="13"/>
      <c r="G60" s="13"/>
      <c r="H60" s="13"/>
      <c r="I60" s="13"/>
      <c r="J60" s="13"/>
      <c r="K60" s="13"/>
      <c r="L60" s="13"/>
      <c r="M60" s="13"/>
      <c r="N60" s="13"/>
      <c r="O60" t="s" s="48">
        <v>96</v>
      </c>
      <c r="P60" t="s" s="48">
        <v>97</v>
      </c>
      <c r="Q60" s="13"/>
      <c r="R60" s="13"/>
      <c r="S60" s="14"/>
    </row>
    <row r="61" ht="12.75" customHeight="1">
      <c r="A61" s="17"/>
      <c r="B61" s="96"/>
      <c r="C61" s="96"/>
      <c r="D61" s="69"/>
      <c r="E61" s="13"/>
      <c r="F61" s="13"/>
      <c r="G61" s="13"/>
      <c r="H61" s="13"/>
      <c r="I61" s="13"/>
      <c r="J61" s="13"/>
      <c r="K61" s="13"/>
      <c r="L61" s="13"/>
      <c r="M61" s="13"/>
      <c r="N61" s="13"/>
      <c r="O61" s="30"/>
      <c r="P61" t="s" s="48">
        <v>98</v>
      </c>
      <c r="Q61" s="13"/>
      <c r="R61" s="13"/>
      <c r="S61" s="14"/>
    </row>
    <row r="62" ht="24" customHeight="1">
      <c r="A62" s="9"/>
      <c r="B62" s="96"/>
      <c r="C62" s="96"/>
      <c r="D62" s="13"/>
      <c r="E62" s="13"/>
      <c r="F62" s="13"/>
      <c r="G62" s="13"/>
      <c r="H62" s="13"/>
      <c r="I62" s="13"/>
      <c r="J62" s="13"/>
      <c r="K62" s="13"/>
      <c r="L62" s="13"/>
      <c r="M62" s="13"/>
      <c r="N62" s="13"/>
      <c r="O62" s="63">
        <v>0</v>
      </c>
      <c r="P62" s="30"/>
      <c r="Q62" s="13"/>
      <c r="R62" s="13"/>
      <c r="S62" s="14"/>
    </row>
    <row r="63" ht="15.75" customHeight="1">
      <c r="A63" s="103"/>
      <c r="B63" s="104"/>
      <c r="C63" s="104"/>
      <c r="D63" s="104"/>
      <c r="E63" s="104"/>
      <c r="F63" s="104"/>
      <c r="G63" s="13"/>
      <c r="H63" s="47"/>
      <c r="I63" s="13"/>
      <c r="J63" s="13"/>
      <c r="K63" s="13"/>
      <c r="L63" s="13"/>
      <c r="M63" s="13"/>
      <c r="N63" s="13"/>
      <c r="O63" s="63">
        <v>0</v>
      </c>
      <c r="P63" s="30"/>
      <c r="Q63" s="13"/>
      <c r="R63" s="13"/>
      <c r="S63" s="14"/>
    </row>
    <row r="64" ht="83.25" customHeight="1">
      <c r="A64" t="s" s="105">
        <f>IF($L$1="Magyar",O64,P64)</f>
        <v>99</v>
      </c>
      <c r="B64" s="106"/>
      <c r="C64" s="106"/>
      <c r="D64" s="17"/>
      <c r="E64" s="106"/>
      <c r="F64" s="106"/>
      <c r="G64" s="13"/>
      <c r="H64" s="13"/>
      <c r="I64" s="13"/>
      <c r="J64" s="13"/>
      <c r="K64" s="13"/>
      <c r="L64" s="13"/>
      <c r="M64" s="13"/>
      <c r="N64" s="13"/>
      <c r="O64" t="s" s="48">
        <v>99</v>
      </c>
      <c r="P64" t="s" s="48">
        <v>100</v>
      </c>
      <c r="Q64" s="13"/>
      <c r="R64" s="13"/>
      <c r="S64" s="14"/>
    </row>
    <row r="65" ht="15.75" customHeight="1">
      <c r="A65" t="s" s="37">
        <f>IF($L$1="Magyar",O65,P65)</f>
        <v>101</v>
      </c>
      <c r="B65" s="38"/>
      <c r="C65" s="38"/>
      <c r="D65" s="9"/>
      <c r="E65" s="38"/>
      <c r="F65" s="38"/>
      <c r="G65" s="13"/>
      <c r="H65" t="s" s="107">
        <v>102</v>
      </c>
      <c r="I65" s="13"/>
      <c r="J65" s="13"/>
      <c r="K65" s="13"/>
      <c r="L65" s="13"/>
      <c r="M65" s="13"/>
      <c r="N65" s="13"/>
      <c r="O65" t="s" s="48">
        <v>101</v>
      </c>
      <c r="P65" t="s" s="48">
        <v>103</v>
      </c>
      <c r="Q65" s="13"/>
      <c r="R65" s="13"/>
      <c r="S65" s="14"/>
    </row>
    <row r="66" ht="8.1" customHeight="1">
      <c r="A66" s="103"/>
      <c r="B66" s="104"/>
      <c r="C66" s="104"/>
      <c r="D66" s="104"/>
      <c r="E66" s="104"/>
      <c r="F66" s="104"/>
      <c r="G66" s="13"/>
      <c r="H66" s="47"/>
      <c r="I66" s="13"/>
      <c r="J66" s="13"/>
      <c r="K66" s="13"/>
      <c r="L66" s="13"/>
      <c r="M66" s="13"/>
      <c r="N66" s="13"/>
      <c r="O66" s="63">
        <v>0</v>
      </c>
      <c r="P66" s="30"/>
      <c r="Q66" s="13"/>
      <c r="R66" s="13"/>
      <c r="S66" s="14"/>
    </row>
    <row r="67" ht="30.75" customHeight="1">
      <c r="A67" t="s" s="108">
        <f>IF($L$1="Magyar",O67,P67)</f>
        <v>104</v>
      </c>
      <c r="B67" s="109"/>
      <c r="C67" s="109"/>
      <c r="D67" s="109"/>
      <c r="E67" s="13"/>
      <c r="F67" s="39"/>
      <c r="G67" s="13"/>
      <c r="H67" s="13"/>
      <c r="I67" s="13"/>
      <c r="J67" s="13"/>
      <c r="K67" s="13"/>
      <c r="L67" s="13"/>
      <c r="M67" s="13"/>
      <c r="N67" s="13"/>
      <c r="O67" t="s" s="48">
        <v>104</v>
      </c>
      <c r="P67" t="s" s="48">
        <v>105</v>
      </c>
      <c r="Q67" s="13"/>
      <c r="R67" s="13"/>
      <c r="S67" s="14"/>
    </row>
    <row r="68" ht="15" customHeight="1">
      <c r="A68" s="110"/>
      <c r="B68" s="109"/>
      <c r="C68" s="109"/>
      <c r="D68" s="109"/>
      <c r="E68" s="101"/>
      <c r="F68" s="111"/>
      <c r="G68" s="72"/>
      <c r="H68" s="34">
        <f>F68</f>
        <v>0</v>
      </c>
      <c r="I68" s="13"/>
      <c r="J68" s="13"/>
      <c r="K68" s="13"/>
      <c r="L68" s="13"/>
      <c r="M68" s="13"/>
      <c r="N68" s="13"/>
      <c r="O68" s="30"/>
      <c r="P68" s="30"/>
      <c r="Q68" s="13"/>
      <c r="R68" s="13"/>
      <c r="S68" s="14"/>
    </row>
    <row r="69" ht="8.1" customHeight="1">
      <c r="A69" s="28"/>
      <c r="B69" s="13"/>
      <c r="C69" s="13"/>
      <c r="D69" s="13"/>
      <c r="E69" s="13"/>
      <c r="F69" s="69"/>
      <c r="G69" s="13"/>
      <c r="H69" s="13"/>
      <c r="I69" s="13"/>
      <c r="J69" s="13"/>
      <c r="K69" s="13"/>
      <c r="L69" s="13"/>
      <c r="M69" s="13"/>
      <c r="N69" s="13"/>
      <c r="O69" s="63">
        <v>0</v>
      </c>
      <c r="P69" s="30"/>
      <c r="Q69" s="13"/>
      <c r="R69" s="13"/>
      <c r="S69" s="14"/>
    </row>
    <row r="70" ht="29.25" customHeight="1">
      <c r="A70" t="s" s="108">
        <f>IF($L$1="Magyar",O70,P70)</f>
        <v>106</v>
      </c>
      <c r="B70" s="109"/>
      <c r="C70" s="109"/>
      <c r="D70" s="109"/>
      <c r="E70" s="13"/>
      <c r="F70" s="39"/>
      <c r="G70" s="13"/>
      <c r="H70" s="13"/>
      <c r="I70" s="13"/>
      <c r="J70" s="13"/>
      <c r="K70" s="13"/>
      <c r="L70" s="13"/>
      <c r="M70" s="13"/>
      <c r="N70" s="13"/>
      <c r="O70" t="s" s="48">
        <v>106</v>
      </c>
      <c r="P70" t="s" s="48">
        <v>107</v>
      </c>
      <c r="Q70" s="13"/>
      <c r="R70" s="13"/>
      <c r="S70" s="14"/>
    </row>
    <row r="71" ht="15" customHeight="1">
      <c r="A71" s="110"/>
      <c r="B71" s="109"/>
      <c r="C71" s="109"/>
      <c r="D71" s="109"/>
      <c r="E71" s="101"/>
      <c r="F71" s="111"/>
      <c r="G71" s="72"/>
      <c r="H71" s="34">
        <f>F71</f>
        <v>0</v>
      </c>
      <c r="I71" s="13"/>
      <c r="J71" s="13"/>
      <c r="K71" s="13"/>
      <c r="L71" s="13"/>
      <c r="M71" s="13"/>
      <c r="N71" s="13"/>
      <c r="O71" s="30"/>
      <c r="P71" s="30"/>
      <c r="Q71" s="13"/>
      <c r="R71" s="13"/>
      <c r="S71" s="14"/>
    </row>
    <row r="72" ht="8.1" customHeight="1">
      <c r="A72" s="112"/>
      <c r="B72" s="13"/>
      <c r="C72" s="13"/>
      <c r="D72" s="13"/>
      <c r="E72" s="13"/>
      <c r="F72" s="69"/>
      <c r="G72" s="13"/>
      <c r="H72" s="13"/>
      <c r="I72" s="13"/>
      <c r="J72" s="13"/>
      <c r="K72" s="13"/>
      <c r="L72" s="13"/>
      <c r="M72" s="13"/>
      <c r="N72" s="13"/>
      <c r="O72" s="63">
        <v>0</v>
      </c>
      <c r="P72" s="30"/>
      <c r="Q72" s="13"/>
      <c r="R72" s="13"/>
      <c r="S72" s="14"/>
    </row>
    <row r="73" ht="15" customHeight="1">
      <c r="A73" t="s" s="108">
        <f>IF($L$1="Magyar",O73,P73)</f>
        <v>108</v>
      </c>
      <c r="B73" s="109"/>
      <c r="C73" s="109"/>
      <c r="D73" s="109"/>
      <c r="E73" s="13"/>
      <c r="F73" s="39"/>
      <c r="G73" s="13"/>
      <c r="H73" s="113"/>
      <c r="I73" s="13"/>
      <c r="J73" s="13"/>
      <c r="K73" s="13"/>
      <c r="L73" s="13"/>
      <c r="M73" s="13"/>
      <c r="N73" s="13"/>
      <c r="O73" t="s" s="48">
        <v>108</v>
      </c>
      <c r="P73" t="s" s="48">
        <v>109</v>
      </c>
      <c r="Q73" s="13"/>
      <c r="R73" s="13"/>
      <c r="S73" s="14"/>
    </row>
    <row r="74" ht="13.5" customHeight="1">
      <c r="A74" s="110"/>
      <c r="B74" s="109"/>
      <c r="C74" s="109"/>
      <c r="D74" s="109"/>
      <c r="E74" s="101"/>
      <c r="F74" s="111"/>
      <c r="G74" s="72"/>
      <c r="H74" s="34">
        <f>F74</f>
        <v>0</v>
      </c>
      <c r="I74" s="13"/>
      <c r="J74" s="13"/>
      <c r="K74" s="13"/>
      <c r="L74" s="13"/>
      <c r="M74" s="13"/>
      <c r="N74" s="13"/>
      <c r="O74" s="30"/>
      <c r="P74" s="30"/>
      <c r="Q74" s="13"/>
      <c r="R74" s="13"/>
      <c r="S74" s="14"/>
    </row>
    <row r="75" ht="8.1" customHeight="1">
      <c r="A75" s="28"/>
      <c r="B75" s="13"/>
      <c r="C75" s="13"/>
      <c r="D75" s="13"/>
      <c r="E75" s="13"/>
      <c r="F75" s="69"/>
      <c r="G75" s="13"/>
      <c r="H75" s="13"/>
      <c r="I75" s="13"/>
      <c r="J75" s="13"/>
      <c r="K75" s="13"/>
      <c r="L75" s="13"/>
      <c r="M75" s="13"/>
      <c r="N75" s="13"/>
      <c r="O75" s="63">
        <v>0</v>
      </c>
      <c r="P75" s="30"/>
      <c r="Q75" s="13"/>
      <c r="R75" s="13"/>
      <c r="S75" s="14"/>
    </row>
    <row r="76" ht="56.25" customHeight="1">
      <c r="A76" t="s" s="108">
        <f>IF($L$1="Magyar",O76,P76)</f>
        <v>110</v>
      </c>
      <c r="B76" s="109"/>
      <c r="C76" s="109"/>
      <c r="D76" s="109"/>
      <c r="E76" s="13"/>
      <c r="F76" s="39"/>
      <c r="G76" s="13"/>
      <c r="H76" s="13"/>
      <c r="I76" s="13"/>
      <c r="J76" s="13"/>
      <c r="K76" s="13"/>
      <c r="L76" s="13"/>
      <c r="M76" s="13"/>
      <c r="N76" s="13"/>
      <c r="O76" t="s" s="48">
        <v>110</v>
      </c>
      <c r="P76" t="s" s="48">
        <v>111</v>
      </c>
      <c r="Q76" s="13"/>
      <c r="R76" s="13"/>
      <c r="S76" s="14"/>
    </row>
    <row r="77" ht="12.75" customHeight="1">
      <c r="A77" s="110"/>
      <c r="B77" s="109"/>
      <c r="C77" s="109"/>
      <c r="D77" s="109"/>
      <c r="E77" s="101"/>
      <c r="F77" s="111"/>
      <c r="G77" s="72"/>
      <c r="H77" s="34">
        <f>F77</f>
        <v>0</v>
      </c>
      <c r="I77" s="13"/>
      <c r="J77" s="13"/>
      <c r="K77" s="13"/>
      <c r="L77" s="13"/>
      <c r="M77" s="13"/>
      <c r="N77" s="13"/>
      <c r="O77" s="63">
        <v>0</v>
      </c>
      <c r="P77" s="30"/>
      <c r="Q77" s="13"/>
      <c r="R77" s="13"/>
      <c r="S77" s="14"/>
    </row>
    <row r="78" ht="12.75" customHeight="1">
      <c r="A78" s="28"/>
      <c r="B78" s="13"/>
      <c r="C78" s="13"/>
      <c r="D78" s="13"/>
      <c r="E78" s="13"/>
      <c r="F78" s="69"/>
      <c r="G78" s="13"/>
      <c r="H78" s="13"/>
      <c r="I78" s="13"/>
      <c r="J78" s="13"/>
      <c r="K78" s="13"/>
      <c r="L78" s="13"/>
      <c r="M78" s="13"/>
      <c r="N78" s="13"/>
      <c r="O78" s="63">
        <v>0</v>
      </c>
      <c r="P78" s="30"/>
      <c r="Q78" s="13"/>
      <c r="R78" s="13"/>
      <c r="S78" s="14"/>
    </row>
    <row r="79" ht="15.75" customHeight="1">
      <c r="A79" t="s" s="114">
        <f>IF($L$1="Magyar",O79,P79)</f>
        <v>112</v>
      </c>
      <c r="B79" s="115"/>
      <c r="C79" s="115"/>
      <c r="D79" s="13"/>
      <c r="E79" s="13"/>
      <c r="F79" s="13"/>
      <c r="G79" s="13"/>
      <c r="H79" s="13"/>
      <c r="I79" s="13"/>
      <c r="J79" s="13"/>
      <c r="K79" s="13"/>
      <c r="L79" s="13"/>
      <c r="M79" s="13"/>
      <c r="N79" s="13"/>
      <c r="O79" t="s" s="48">
        <v>112</v>
      </c>
      <c r="P79" t="s" s="48">
        <v>113</v>
      </c>
      <c r="Q79" s="13"/>
      <c r="R79" s="13"/>
      <c r="S79" s="14"/>
    </row>
    <row r="80" ht="12.75" customHeight="1">
      <c r="A80" s="28"/>
      <c r="B80" s="69"/>
      <c r="C80" s="69"/>
      <c r="D80" s="13"/>
      <c r="E80" s="13"/>
      <c r="F80" s="13"/>
      <c r="G80" s="13"/>
      <c r="H80" s="34">
        <f>B79</f>
        <v>0</v>
      </c>
      <c r="I80" s="34">
        <f>SUM(H68:H77)</f>
        <v>0</v>
      </c>
      <c r="J80" s="13"/>
      <c r="K80" s="13"/>
      <c r="L80" s="13"/>
      <c r="M80" s="13"/>
      <c r="N80" s="13"/>
      <c r="O80" s="63">
        <v>0</v>
      </c>
      <c r="P80" s="30"/>
      <c r="Q80" s="13"/>
      <c r="R80" s="13"/>
      <c r="S80" s="14"/>
    </row>
    <row r="81" ht="12.75" customHeight="1">
      <c r="A81" s="28"/>
      <c r="B81" s="13"/>
      <c r="C81" s="13"/>
      <c r="D81" s="13"/>
      <c r="E81" s="13"/>
      <c r="F81" s="13"/>
      <c r="G81" s="13"/>
      <c r="H81" s="13"/>
      <c r="I81" s="13"/>
      <c r="J81" s="13"/>
      <c r="K81" s="13"/>
      <c r="L81" s="13"/>
      <c r="M81" s="13"/>
      <c r="N81" s="13"/>
      <c r="O81" s="63">
        <v>0</v>
      </c>
      <c r="P81" s="30"/>
      <c r="Q81" s="13"/>
      <c r="R81" s="13"/>
      <c r="S81" s="14"/>
    </row>
    <row r="82" ht="27" customHeight="1">
      <c r="A82" s="28"/>
      <c r="B82" s="116">
        <f>IF(C7="","",C7)</f>
      </c>
      <c r="C82" s="116"/>
      <c r="D82" s="13"/>
      <c r="E82" s="13"/>
      <c r="F82" s="13"/>
      <c r="G82" s="13"/>
      <c r="H82" s="13"/>
      <c r="I82" s="13"/>
      <c r="J82" s="13"/>
      <c r="K82" s="13"/>
      <c r="L82" s="13"/>
      <c r="M82" s="13"/>
      <c r="N82" s="13"/>
      <c r="O82" s="63">
        <v>0</v>
      </c>
      <c r="P82" s="30"/>
      <c r="Q82" s="13"/>
      <c r="R82" s="13"/>
      <c r="S82" s="14"/>
    </row>
    <row r="83" ht="13.65" customHeight="1">
      <c r="A83" s="28"/>
      <c r="B83" t="s" s="117">
        <f>IF($L$1="Magyar",O83,P83)</f>
        <v>114</v>
      </c>
      <c r="C83" s="118"/>
      <c r="D83" t="s" s="119">
        <f>IF($L$1="Magyar",O84,P84)</f>
        <v>115</v>
      </c>
      <c r="E83" s="120"/>
      <c r="F83" s="120"/>
      <c r="G83" s="13"/>
      <c r="H83" s="13"/>
      <c r="I83" s="13"/>
      <c r="J83" s="13"/>
      <c r="K83" s="13"/>
      <c r="L83" s="13"/>
      <c r="M83" s="13"/>
      <c r="N83" s="13"/>
      <c r="O83" t="s" s="48">
        <v>114</v>
      </c>
      <c r="P83" t="s" s="48">
        <v>116</v>
      </c>
      <c r="Q83" s="13"/>
      <c r="R83" s="13"/>
      <c r="S83" s="14"/>
    </row>
    <row r="84" ht="21" customHeight="1">
      <c r="A84" s="28"/>
      <c r="B84" t="s" s="121">
        <f>IF(D21="","",D21)</f>
      </c>
      <c r="C84" s="29"/>
      <c r="D84" s="122"/>
      <c r="E84" s="122"/>
      <c r="F84" s="13"/>
      <c r="G84" s="13"/>
      <c r="H84" s="13"/>
      <c r="I84" s="13"/>
      <c r="J84" s="13"/>
      <c r="K84" s="13"/>
      <c r="L84" s="13"/>
      <c r="M84" s="13"/>
      <c r="N84" s="13"/>
      <c r="O84" t="s" s="48">
        <v>115</v>
      </c>
      <c r="P84" t="s" s="48">
        <v>117</v>
      </c>
      <c r="Q84" s="13"/>
      <c r="R84" s="13"/>
      <c r="S84" s="14"/>
    </row>
    <row r="85" ht="15.75" customHeight="1">
      <c r="A85" s="28"/>
      <c r="B85" t="s" s="123">
        <f>IF(D23="","",D23)</f>
      </c>
      <c r="C85" s="124"/>
      <c r="D85" s="122"/>
      <c r="E85" s="122"/>
      <c r="F85" s="13"/>
      <c r="G85" s="13"/>
      <c r="H85" s="13"/>
      <c r="I85" s="13"/>
      <c r="J85" s="13"/>
      <c r="K85" s="13"/>
      <c r="L85" s="13"/>
      <c r="M85" s="13"/>
      <c r="N85" s="13"/>
      <c r="O85" s="13"/>
      <c r="P85" s="30"/>
      <c r="Q85" s="13"/>
      <c r="R85" s="13"/>
      <c r="S85" s="14"/>
    </row>
    <row r="86" ht="15.75" customHeight="1">
      <c r="A86" s="28"/>
      <c r="B86" t="s" s="125">
        <f>IF(D7="","",D7)</f>
      </c>
      <c r="C86" s="126"/>
      <c r="D86" s="122"/>
      <c r="E86" s="122"/>
      <c r="F86" s="13"/>
      <c r="G86" s="13"/>
      <c r="H86" s="13"/>
      <c r="I86" s="13"/>
      <c r="J86" s="13"/>
      <c r="K86" s="13"/>
      <c r="L86" s="13"/>
      <c r="M86" s="13"/>
      <c r="N86" s="13"/>
      <c r="O86" s="13"/>
      <c r="P86" s="30"/>
      <c r="Q86" s="13"/>
      <c r="R86" s="13"/>
      <c r="S86" s="14"/>
    </row>
    <row r="87" ht="12.75" customHeight="1">
      <c r="A87" s="28"/>
      <c r="B87" s="13"/>
      <c r="C87" s="13"/>
      <c r="D87" s="122"/>
      <c r="E87" s="122"/>
      <c r="F87" s="13"/>
      <c r="G87" s="13"/>
      <c r="H87" s="13"/>
      <c r="I87" s="13"/>
      <c r="J87" s="13"/>
      <c r="K87" s="13"/>
      <c r="L87" s="13"/>
      <c r="M87" s="13"/>
      <c r="N87" s="13"/>
      <c r="O87" s="13"/>
      <c r="P87" s="30"/>
      <c r="Q87" s="13"/>
      <c r="R87" s="13"/>
      <c r="S87" s="14"/>
    </row>
    <row r="88" ht="12.75" customHeight="1">
      <c r="A88" t="s" s="127">
        <v>118</v>
      </c>
      <c r="B88" s="13"/>
      <c r="C88" s="126"/>
      <c r="D88" s="13"/>
      <c r="E88" s="13"/>
      <c r="F88" s="13"/>
      <c r="G88" s="13"/>
      <c r="H88" s="13"/>
      <c r="I88" s="13"/>
      <c r="J88" s="13"/>
      <c r="K88" s="13"/>
      <c r="L88" s="13"/>
      <c r="M88" s="13"/>
      <c r="N88" s="13"/>
      <c r="O88" s="13"/>
      <c r="P88" s="30"/>
      <c r="Q88" s="13"/>
      <c r="R88" s="13"/>
      <c r="S88" s="14"/>
    </row>
    <row r="89" ht="25.5" customHeight="1">
      <c r="A89" t="s" s="128">
        <v>119</v>
      </c>
      <c r="B89" s="129"/>
      <c r="C89" s="129"/>
      <c r="D89" s="129"/>
      <c r="E89" s="129"/>
      <c r="F89" s="129"/>
      <c r="G89" s="13"/>
      <c r="H89" s="13"/>
      <c r="I89" s="13"/>
      <c r="J89" s="13"/>
      <c r="K89" s="13"/>
      <c r="L89" s="13"/>
      <c r="M89" s="13"/>
      <c r="N89" s="13"/>
      <c r="O89" s="13"/>
      <c r="P89" s="30"/>
      <c r="Q89" s="13"/>
      <c r="R89" s="13"/>
      <c r="S89" s="14"/>
    </row>
    <row r="90" ht="12.75" customHeight="1">
      <c r="A90" s="130"/>
      <c r="B90" s="17"/>
      <c r="C90" t="s" s="131">
        <f>IF(D7="","",D7)</f>
      </c>
      <c r="D90" s="17"/>
      <c r="E90" s="17"/>
      <c r="F90" s="17"/>
      <c r="G90" s="17"/>
      <c r="H90" s="17"/>
      <c r="I90" s="17"/>
      <c r="J90" s="17"/>
      <c r="K90" s="17"/>
      <c r="L90" s="17"/>
      <c r="M90" s="17"/>
      <c r="N90" s="17"/>
      <c r="O90" s="17"/>
      <c r="P90" s="132"/>
      <c r="Q90" s="17"/>
      <c r="R90" s="17"/>
      <c r="S90" s="18"/>
    </row>
  </sheetData>
  <mergeCells count="66">
    <mergeCell ref="A37:C37"/>
    <mergeCell ref="A45:C45"/>
    <mergeCell ref="A47:C48"/>
    <mergeCell ref="A54:C54"/>
    <mergeCell ref="A73:D74"/>
    <mergeCell ref="A39:F39"/>
    <mergeCell ref="D56:F58"/>
    <mergeCell ref="A41:C41"/>
    <mergeCell ref="D41:F41"/>
    <mergeCell ref="A43:C43"/>
    <mergeCell ref="D43:F43"/>
    <mergeCell ref="A50:C50"/>
    <mergeCell ref="D50:F50"/>
    <mergeCell ref="A52:C52"/>
    <mergeCell ref="D52:F52"/>
    <mergeCell ref="D45:F45"/>
    <mergeCell ref="J1:K1"/>
    <mergeCell ref="C1:F1"/>
    <mergeCell ref="A5:F5"/>
    <mergeCell ref="A25:C25"/>
    <mergeCell ref="D25:F25"/>
    <mergeCell ref="D11:F11"/>
    <mergeCell ref="D15:F15"/>
    <mergeCell ref="D17:F17"/>
    <mergeCell ref="A11:C11"/>
    <mergeCell ref="A15:C15"/>
    <mergeCell ref="D21:F21"/>
    <mergeCell ref="D23:F23"/>
    <mergeCell ref="D7:F7"/>
    <mergeCell ref="D9:F9"/>
    <mergeCell ref="A7:C7"/>
    <mergeCell ref="A33:C33"/>
    <mergeCell ref="A9:C9"/>
    <mergeCell ref="D47:F48"/>
    <mergeCell ref="B84:C84"/>
    <mergeCell ref="B83:C83"/>
    <mergeCell ref="A35:C35"/>
    <mergeCell ref="D13:F13"/>
    <mergeCell ref="D19:F19"/>
    <mergeCell ref="D27:F27"/>
    <mergeCell ref="D29:F29"/>
    <mergeCell ref="D31:F31"/>
    <mergeCell ref="D33:F33"/>
    <mergeCell ref="D35:F35"/>
    <mergeCell ref="A13:C13"/>
    <mergeCell ref="A19:C19"/>
    <mergeCell ref="A27:C27"/>
    <mergeCell ref="A29:C29"/>
    <mergeCell ref="A31:C31"/>
    <mergeCell ref="A17:C17"/>
    <mergeCell ref="A21:C21"/>
    <mergeCell ref="A23:C23"/>
    <mergeCell ref="A56:C57"/>
    <mergeCell ref="A60:C62"/>
    <mergeCell ref="A64:F64"/>
    <mergeCell ref="A65:F65"/>
    <mergeCell ref="A67:D68"/>
    <mergeCell ref="A70:D71"/>
    <mergeCell ref="B79:C79"/>
    <mergeCell ref="D84:E84"/>
    <mergeCell ref="A89:F89"/>
    <mergeCell ref="D83:F83"/>
    <mergeCell ref="B85:C85"/>
    <mergeCell ref="B86:C86"/>
    <mergeCell ref="A76:D77"/>
    <mergeCell ref="B82:C82"/>
  </mergeCells>
  <dataValidations count="2">
    <dataValidation type="list" allowBlank="1" showInputMessage="1" showErrorMessage="1" sqref="D37">
      <formula1>"Gyártóként,Importőrként,Forgalmazóként (nagykereskedő),Forgalmazóként (kiskereskedő),Szolgáltatóként"</formula1>
    </dataValidation>
    <dataValidation type="list" allowBlank="1" showInputMessage="1" showErrorMessage="1" sqref="D54 D60 F68 F71 F74 F77">
      <formula1>"Igen,Nem"</formula1>
    </dataValidation>
  </dataValidations>
  <pageMargins left="0.708661" right="0.708661" top="0.748031" bottom="0.748031" header="0.314961" footer="0.314961"/>
  <pageSetup firstPageNumber="1" fitToHeight="1" fitToWidth="1" scale="92"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1:AN274"/>
  <sheetViews>
    <sheetView workbookViewId="0" showGridLines="0" defaultGridColor="1"/>
  </sheetViews>
  <sheetFormatPr defaultColWidth="11.5" defaultRowHeight="12.75" customHeight="1" outlineLevelRow="0" outlineLevelCol="0"/>
  <cols>
    <col min="1" max="1" width="15.5" style="133" customWidth="1"/>
    <col min="2" max="2" width="24.1719" style="133" customWidth="1"/>
    <col min="3" max="3" width="36" style="133" customWidth="1"/>
    <col min="4" max="4" width="26.3516" style="133" customWidth="1"/>
    <col min="5" max="5" width="18.5" style="133" customWidth="1"/>
    <col min="6" max="6" width="22.5" style="133" customWidth="1"/>
    <col min="7" max="7" width="21.8516" style="133" customWidth="1"/>
    <col min="8" max="8" width="15.6719" style="133" customWidth="1"/>
    <col min="9" max="9" width="44.5" style="133" customWidth="1"/>
    <col min="10" max="13" width="11.5" style="133" customWidth="1"/>
    <col min="14" max="14" width="10.5" style="133" customWidth="1"/>
    <col min="15" max="40" width="11.5" style="133" customWidth="1"/>
    <col min="41" max="16384" width="11.5" style="133" customWidth="1"/>
  </cols>
  <sheetData>
    <row r="1" ht="38.25" customHeight="1">
      <c r="A1" t="s" s="134">
        <f>IF('Adatlap'!$L$1='Fordítások'!C3,'Fordítások'!C236,'Fordítások'!B236)</f>
        <v>121</v>
      </c>
      <c r="B1" s="135"/>
      <c r="C1" t="s" s="136">
        <f>IF(J1=0,"",CHOOSE(J1,H7,H8,H9,H10,H11,H12))</f>
        <v>122</v>
      </c>
      <c r="D1" s="137"/>
      <c r="E1" s="137"/>
      <c r="F1" t="s" s="138">
        <f>'Document'!B17</f>
        <v>123</v>
      </c>
      <c r="G1" t="s" s="139">
        <f>IF('Adatlap'!$L$1='Fordítások'!C3,'Fordítások'!C31,'Fordítások'!B31)</f>
        <v>124</v>
      </c>
      <c r="H1" s="140"/>
      <c r="I1" s="140"/>
      <c r="J1" s="141">
        <f>'Adatlap'!M3</f>
        <v>2</v>
      </c>
      <c r="K1" s="142"/>
      <c r="L1" s="142"/>
      <c r="M1" s="143"/>
      <c r="N1" s="20"/>
      <c r="O1" s="9"/>
      <c r="P1" s="9"/>
      <c r="Q1" s="9"/>
      <c r="R1" s="9"/>
      <c r="S1" s="9"/>
      <c r="T1" s="9"/>
      <c r="U1" s="9"/>
      <c r="V1" s="9"/>
      <c r="W1" s="9"/>
      <c r="X1" s="9"/>
      <c r="Y1" s="9"/>
      <c r="Z1" s="9"/>
      <c r="AA1" s="9"/>
      <c r="AB1" s="9"/>
      <c r="AC1" s="9"/>
      <c r="AD1" s="9"/>
      <c r="AE1" s="9"/>
      <c r="AF1" s="9"/>
      <c r="AG1" s="9"/>
      <c r="AH1" s="9"/>
      <c r="AI1" s="9"/>
      <c r="AJ1" s="9"/>
      <c r="AK1" s="9"/>
      <c r="AL1" s="9"/>
      <c r="AM1" s="9"/>
      <c r="AN1" s="10"/>
    </row>
    <row r="2" ht="13.65" customHeight="1">
      <c r="A2" s="144"/>
      <c r="B2" s="68"/>
      <c r="C2" s="13"/>
      <c r="D2" s="13"/>
      <c r="E2" s="13"/>
      <c r="F2" s="13"/>
      <c r="G2" s="13"/>
      <c r="H2" s="13"/>
      <c r="I2" s="13"/>
      <c r="J2" s="13"/>
      <c r="K2" s="145"/>
      <c r="L2" s="146"/>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4"/>
    </row>
    <row r="3" ht="18.75" customHeight="1">
      <c r="A3" t="s" s="147">
        <f>IF('Adatlap'!$L$1='Fordítások'!C3,'Fordítások'!C8,'Fordítások'!B8)</f>
        <v>125</v>
      </c>
      <c r="B3" s="148"/>
      <c r="C3" s="149"/>
      <c r="D3" s="150"/>
      <c r="E3" s="151"/>
      <c r="F3" s="151"/>
      <c r="G3" s="152"/>
      <c r="H3" s="152"/>
      <c r="I3" s="153"/>
      <c r="J3" s="151"/>
      <c r="K3" s="145"/>
      <c r="L3" s="146"/>
      <c r="M3" s="151"/>
      <c r="N3" s="151"/>
      <c r="O3" s="13"/>
      <c r="P3" s="13"/>
      <c r="Q3" s="13"/>
      <c r="R3" s="13"/>
      <c r="S3" s="13"/>
      <c r="T3" s="13"/>
      <c r="U3" s="13"/>
      <c r="V3" s="13"/>
      <c r="W3" s="13"/>
      <c r="X3" s="13"/>
      <c r="Y3" s="13"/>
      <c r="Z3" s="13"/>
      <c r="AA3" s="13"/>
      <c r="AB3" s="13"/>
      <c r="AC3" s="13"/>
      <c r="AD3" s="13"/>
      <c r="AE3" s="13"/>
      <c r="AF3" s="13"/>
      <c r="AG3" s="13"/>
      <c r="AH3" s="13"/>
      <c r="AI3" s="13"/>
      <c r="AJ3" s="13"/>
      <c r="AK3" s="13"/>
      <c r="AL3" s="13"/>
      <c r="AM3" s="13"/>
      <c r="AN3" s="14"/>
    </row>
    <row r="4" ht="15.75" customHeight="1">
      <c r="A4" t="s" s="147">
        <f>IF('Adatlap'!$L$1='Fordítások'!C3,'Fordítások'!C9,'Fordítások'!B9)</f>
        <v>126</v>
      </c>
      <c r="B4" s="154"/>
      <c r="C4" s="72"/>
      <c r="D4" s="150"/>
      <c r="E4" s="155"/>
      <c r="F4" s="155"/>
      <c r="G4" s="156"/>
      <c r="H4" s="151"/>
      <c r="I4" s="157"/>
      <c r="J4" s="151"/>
      <c r="K4" s="145"/>
      <c r="L4" s="146"/>
      <c r="M4" s="151"/>
      <c r="N4" s="151"/>
      <c r="O4" s="13"/>
      <c r="P4" s="13"/>
      <c r="Q4" s="13"/>
      <c r="R4" s="13"/>
      <c r="S4" s="13"/>
      <c r="T4" s="13"/>
      <c r="U4" s="13"/>
      <c r="V4" s="13"/>
      <c r="W4" s="13"/>
      <c r="X4" s="13"/>
      <c r="Y4" s="13"/>
      <c r="Z4" s="13"/>
      <c r="AA4" s="13"/>
      <c r="AB4" s="13"/>
      <c r="AC4" s="13"/>
      <c r="AD4" s="13"/>
      <c r="AE4" s="13"/>
      <c r="AF4" s="13"/>
      <c r="AG4" s="13"/>
      <c r="AH4" s="13"/>
      <c r="AI4" s="13"/>
      <c r="AJ4" s="13"/>
      <c r="AK4" s="13"/>
      <c r="AL4" s="13"/>
      <c r="AM4" s="13"/>
      <c r="AN4" s="14"/>
    </row>
    <row r="5" ht="8.25" customHeight="1">
      <c r="A5" s="158"/>
      <c r="B5" s="159"/>
      <c r="C5" s="160"/>
      <c r="D5" s="160"/>
      <c r="E5" s="160"/>
      <c r="F5" s="150"/>
      <c r="G5" s="150"/>
      <c r="H5" s="150"/>
      <c r="I5" s="150"/>
      <c r="J5" s="150"/>
      <c r="K5" s="145"/>
      <c r="L5" s="146"/>
      <c r="M5" s="151"/>
      <c r="N5" s="151"/>
      <c r="O5" s="13"/>
      <c r="P5" s="13"/>
      <c r="Q5" s="13"/>
      <c r="R5" s="13"/>
      <c r="S5" s="13"/>
      <c r="T5" s="13"/>
      <c r="U5" s="13"/>
      <c r="V5" s="13"/>
      <c r="W5" s="13"/>
      <c r="X5" s="13"/>
      <c r="Y5" s="13"/>
      <c r="Z5" s="13"/>
      <c r="AA5" s="13"/>
      <c r="AB5" s="13"/>
      <c r="AC5" s="13"/>
      <c r="AD5" s="13"/>
      <c r="AE5" s="13"/>
      <c r="AF5" s="13"/>
      <c r="AG5" s="13"/>
      <c r="AH5" s="13"/>
      <c r="AI5" s="13"/>
      <c r="AJ5" s="13"/>
      <c r="AK5" s="13"/>
      <c r="AL5" s="13"/>
      <c r="AM5" s="13"/>
      <c r="AN5" s="14"/>
    </row>
    <row r="6" ht="15.75" customHeight="1">
      <c r="A6" t="s" s="161">
        <f>IF('Adatlap'!$L$1='Fordítások'!C3,'Fordítások'!C6,'Fordítások'!B6)</f>
        <v>127</v>
      </c>
      <c r="B6" s="162"/>
      <c r="C6" s="163"/>
      <c r="D6" s="164"/>
      <c r="E6" s="165"/>
      <c r="F6" s="166"/>
      <c r="G6" s="155"/>
      <c r="H6" s="167"/>
      <c r="I6" s="168"/>
      <c r="J6" s="151"/>
      <c r="K6" s="10"/>
      <c r="L6" s="20"/>
      <c r="M6" s="151"/>
      <c r="N6" s="151"/>
      <c r="O6" s="13"/>
      <c r="P6" s="13"/>
      <c r="Q6" s="13"/>
      <c r="R6" s="13"/>
      <c r="S6" s="13"/>
      <c r="T6" s="13"/>
      <c r="U6" s="13"/>
      <c r="V6" s="13"/>
      <c r="W6" s="13"/>
      <c r="X6" s="13"/>
      <c r="Y6" s="13"/>
      <c r="Z6" s="13"/>
      <c r="AA6" s="13"/>
      <c r="AB6" s="13"/>
      <c r="AC6" s="13"/>
      <c r="AD6" s="13"/>
      <c r="AE6" s="13"/>
      <c r="AF6" s="13"/>
      <c r="AG6" s="13"/>
      <c r="AH6" s="13"/>
      <c r="AI6" s="13"/>
      <c r="AJ6" s="13"/>
      <c r="AK6" s="13"/>
      <c r="AL6" s="13"/>
      <c r="AM6" s="13"/>
      <c r="AN6" s="14"/>
    </row>
    <row r="7" ht="26.25" customHeight="1">
      <c r="A7" t="s" s="169">
        <f>IF('Adatlap'!$L$1='Fordítások'!C3,'Fordítások'!C4,'Fordítások'!B4)</f>
        <v>128</v>
      </c>
      <c r="B7" s="170"/>
      <c r="C7" t="s" s="171">
        <f>IF('Adatlap'!D7="","",'Adatlap'!D7)</f>
      </c>
      <c r="D7" s="164"/>
      <c r="E7" s="165"/>
      <c r="F7" t="s" s="172">
        <f>IF('Adatlap'!$L$1='Fordítások'!C3,'Fordítások'!C307,'Fordítások'!B307)</f>
        <v>129</v>
      </c>
      <c r="G7" s="173"/>
      <c r="H7" t="s" s="174">
        <f>'Auswahldaten'!A105</f>
        <v>130</v>
      </c>
      <c r="I7" s="175"/>
      <c r="J7" s="151"/>
      <c r="K7" s="151"/>
      <c r="L7" s="176"/>
      <c r="M7" s="151"/>
      <c r="N7" s="151"/>
      <c r="O7" s="13"/>
      <c r="P7" s="13"/>
      <c r="Q7" s="13"/>
      <c r="R7" s="13"/>
      <c r="S7" s="13"/>
      <c r="T7" s="13"/>
      <c r="U7" s="13"/>
      <c r="V7" s="13"/>
      <c r="W7" s="13"/>
      <c r="X7" s="13"/>
      <c r="Y7" s="13"/>
      <c r="Z7" s="13"/>
      <c r="AA7" s="13"/>
      <c r="AB7" s="13"/>
      <c r="AC7" s="13"/>
      <c r="AD7" s="13"/>
      <c r="AE7" s="13"/>
      <c r="AF7" s="13"/>
      <c r="AG7" s="13"/>
      <c r="AH7" s="13"/>
      <c r="AI7" s="13"/>
      <c r="AJ7" s="13"/>
      <c r="AK7" s="13"/>
      <c r="AL7" s="13"/>
      <c r="AM7" s="13"/>
      <c r="AN7" s="14"/>
    </row>
    <row r="8" ht="15.75" customHeight="1">
      <c r="A8" t="s" s="161">
        <f>IF('Adatlap'!$L$1='Fordítások'!C3,'Fordítások'!C5,'Fordítások'!B5)</f>
        <v>131</v>
      </c>
      <c r="B8" s="162"/>
      <c r="C8" s="177"/>
      <c r="D8" s="178"/>
      <c r="E8" s="179"/>
      <c r="F8" s="180"/>
      <c r="G8" s="173"/>
      <c r="H8" t="s" s="174">
        <f>'Auswahldaten'!A106</f>
        <v>132</v>
      </c>
      <c r="I8" s="151"/>
      <c r="J8" s="151"/>
      <c r="K8" s="151"/>
      <c r="L8" s="176"/>
      <c r="M8" s="151"/>
      <c r="N8" s="151"/>
      <c r="O8" s="13"/>
      <c r="P8" s="13"/>
      <c r="Q8" s="13"/>
      <c r="R8" s="13"/>
      <c r="S8" s="13"/>
      <c r="T8" s="13"/>
      <c r="U8" s="13"/>
      <c r="V8" s="13"/>
      <c r="W8" s="13"/>
      <c r="X8" s="13"/>
      <c r="Y8" s="13"/>
      <c r="Z8" s="13"/>
      <c r="AA8" s="13"/>
      <c r="AB8" s="13"/>
      <c r="AC8" s="13"/>
      <c r="AD8" s="13"/>
      <c r="AE8" s="13"/>
      <c r="AF8" s="13"/>
      <c r="AG8" s="13"/>
      <c r="AH8" s="13"/>
      <c r="AI8" s="13"/>
      <c r="AJ8" s="13"/>
      <c r="AK8" s="13"/>
      <c r="AL8" s="13"/>
      <c r="AM8" s="13"/>
      <c r="AN8" s="14"/>
    </row>
    <row r="9" ht="15.75" customHeight="1">
      <c r="A9" t="s" s="161">
        <f>A8</f>
        <v>133</v>
      </c>
      <c r="B9" s="162"/>
      <c r="C9" s="177"/>
      <c r="D9" s="178"/>
      <c r="E9" s="179"/>
      <c r="F9" s="180"/>
      <c r="G9" s="173"/>
      <c r="H9" t="s" s="174">
        <f>'Auswahldaten'!A107</f>
        <v>134</v>
      </c>
      <c r="I9" s="151"/>
      <c r="J9" s="151"/>
      <c r="K9" s="151"/>
      <c r="L9" s="176"/>
      <c r="M9" s="151"/>
      <c r="N9" s="151"/>
      <c r="O9" s="13"/>
      <c r="P9" s="13"/>
      <c r="Q9" s="13"/>
      <c r="R9" s="13"/>
      <c r="S9" s="13"/>
      <c r="T9" s="13"/>
      <c r="U9" s="13"/>
      <c r="V9" s="13"/>
      <c r="W9" s="13"/>
      <c r="X9" s="13"/>
      <c r="Y9" s="13"/>
      <c r="Z9" s="13"/>
      <c r="AA9" s="13"/>
      <c r="AB9" s="13"/>
      <c r="AC9" s="13"/>
      <c r="AD9" s="13"/>
      <c r="AE9" s="13"/>
      <c r="AF9" s="13"/>
      <c r="AG9" s="13"/>
      <c r="AH9" s="13"/>
      <c r="AI9" s="13"/>
      <c r="AJ9" s="13"/>
      <c r="AK9" s="13"/>
      <c r="AL9" s="13"/>
      <c r="AM9" s="13"/>
      <c r="AN9" s="14"/>
    </row>
    <row r="10" ht="15.75" customHeight="1">
      <c r="A10" t="s" s="161">
        <f>A9</f>
        <v>133</v>
      </c>
      <c r="B10" s="162"/>
      <c r="C10" s="177"/>
      <c r="D10" s="178"/>
      <c r="E10" s="179"/>
      <c r="F10" s="180"/>
      <c r="G10" s="173"/>
      <c r="H10" t="s" s="174">
        <f>'Auswahldaten'!A108</f>
        <v>135</v>
      </c>
      <c r="I10" s="151"/>
      <c r="J10" s="151"/>
      <c r="K10" s="151"/>
      <c r="L10" s="176"/>
      <c r="M10" s="151"/>
      <c r="N10" s="151"/>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4"/>
    </row>
    <row r="11" ht="15.75" customHeight="1">
      <c r="A11" t="s" s="161">
        <f>A10</f>
        <v>133</v>
      </c>
      <c r="B11" s="162"/>
      <c r="C11" s="177"/>
      <c r="D11" s="178"/>
      <c r="E11" s="179"/>
      <c r="F11" s="180"/>
      <c r="G11" s="173"/>
      <c r="H11" t="s" s="174">
        <f>'Auswahldaten'!A109</f>
        <v>136</v>
      </c>
      <c r="I11" s="151"/>
      <c r="J11" s="151"/>
      <c r="K11" s="151"/>
      <c r="L11" s="176"/>
      <c r="M11" s="151"/>
      <c r="N11" s="151"/>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4"/>
    </row>
    <row r="12" ht="15.75" customHeight="1">
      <c r="A12" t="s" s="161">
        <f>A11</f>
        <v>133</v>
      </c>
      <c r="B12" s="162"/>
      <c r="C12" s="177"/>
      <c r="D12" s="178"/>
      <c r="E12" s="179"/>
      <c r="F12" s="180"/>
      <c r="G12" s="173"/>
      <c r="H12" t="s" s="174">
        <f>'Auswahldaten'!A110</f>
        <v>137</v>
      </c>
      <c r="I12" s="151"/>
      <c r="J12" s="151"/>
      <c r="K12" s="151"/>
      <c r="L12" s="176"/>
      <c r="M12" s="151"/>
      <c r="N12" s="151"/>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4"/>
    </row>
    <row r="13" ht="15.75" customHeight="1">
      <c r="A13" t="s" s="161">
        <f>A12</f>
        <v>133</v>
      </c>
      <c r="B13" s="162"/>
      <c r="C13" s="177"/>
      <c r="D13" s="178"/>
      <c r="E13" s="179"/>
      <c r="F13" s="180"/>
      <c r="G13" s="173"/>
      <c r="H13" s="181"/>
      <c r="I13" s="151"/>
      <c r="J13" s="151"/>
      <c r="K13" s="151"/>
      <c r="L13" s="176"/>
      <c r="M13" s="151"/>
      <c r="N13" s="151"/>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4"/>
    </row>
    <row r="14" ht="15.75" customHeight="1">
      <c r="A14" t="s" s="161">
        <f>A13</f>
        <v>133</v>
      </c>
      <c r="B14" s="162"/>
      <c r="C14" s="177"/>
      <c r="D14" s="178"/>
      <c r="E14" s="179"/>
      <c r="F14" s="180"/>
      <c r="G14" s="173"/>
      <c r="H14" s="151"/>
      <c r="I14" s="151"/>
      <c r="J14" s="151"/>
      <c r="K14" s="151"/>
      <c r="L14" s="176"/>
      <c r="M14" s="151"/>
      <c r="N14" s="151"/>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4"/>
    </row>
    <row r="15" ht="15.75" customHeight="1">
      <c r="A15" t="s" s="161">
        <f>A14</f>
        <v>133</v>
      </c>
      <c r="B15" s="162"/>
      <c r="C15" s="177"/>
      <c r="D15" s="178"/>
      <c r="E15" s="179"/>
      <c r="F15" s="180"/>
      <c r="G15" s="173"/>
      <c r="H15" s="151"/>
      <c r="I15" s="151"/>
      <c r="J15" s="151"/>
      <c r="K15" s="151"/>
      <c r="L15" s="182">
        <v>300</v>
      </c>
      <c r="M15" s="151"/>
      <c r="N15" s="151"/>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4"/>
    </row>
    <row r="16" ht="15.75" customHeight="1">
      <c r="A16" t="s" s="161">
        <f>A15</f>
        <v>133</v>
      </c>
      <c r="B16" s="162"/>
      <c r="C16" s="177"/>
      <c r="D16" s="178"/>
      <c r="E16" s="179"/>
      <c r="F16" s="180"/>
      <c r="G16" s="173"/>
      <c r="H16" s="151"/>
      <c r="I16" s="151"/>
      <c r="J16" s="151"/>
      <c r="K16" s="151"/>
      <c r="L16" s="182">
        <v>301</v>
      </c>
      <c r="M16" s="151"/>
      <c r="N16" s="151"/>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4"/>
    </row>
    <row r="17" ht="15.75" customHeight="1">
      <c r="A17" t="s" s="161">
        <f>A16</f>
        <v>133</v>
      </c>
      <c r="B17" s="162"/>
      <c r="C17" s="177"/>
      <c r="D17" s="178"/>
      <c r="E17" s="179"/>
      <c r="F17" s="180"/>
      <c r="G17" s="173"/>
      <c r="H17" s="151"/>
      <c r="I17" s="151"/>
      <c r="J17" s="151"/>
      <c r="K17" s="151"/>
      <c r="L17" s="182">
        <v>304</v>
      </c>
      <c r="M17" s="151"/>
      <c r="N17" s="151"/>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4"/>
    </row>
    <row r="18" ht="15.75" customHeight="1">
      <c r="A18" t="s" s="161">
        <f>A17</f>
        <v>133</v>
      </c>
      <c r="B18" s="162"/>
      <c r="C18" s="177"/>
      <c r="D18" s="178"/>
      <c r="E18" s="179"/>
      <c r="F18" s="180"/>
      <c r="G18" s="173"/>
      <c r="H18" s="151"/>
      <c r="I18" s="151"/>
      <c r="J18" s="151"/>
      <c r="K18" s="151"/>
      <c r="L18" s="182">
        <v>310</v>
      </c>
      <c r="M18" s="151"/>
      <c r="N18" s="151"/>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4"/>
    </row>
    <row r="19" ht="15.75" customHeight="1">
      <c r="A19" t="s" s="161">
        <f>A18</f>
        <v>133</v>
      </c>
      <c r="B19" s="162"/>
      <c r="C19" s="177"/>
      <c r="D19" s="178"/>
      <c r="E19" s="179"/>
      <c r="F19" s="180"/>
      <c r="G19" s="173"/>
      <c r="H19" s="151"/>
      <c r="I19" s="151"/>
      <c r="J19" s="151"/>
      <c r="K19" s="151"/>
      <c r="L19" s="182">
        <v>311</v>
      </c>
      <c r="M19" s="151"/>
      <c r="N19" s="151"/>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4"/>
    </row>
    <row r="20" ht="15.75" customHeight="1">
      <c r="A20" t="s" s="161">
        <f>A19</f>
        <v>133</v>
      </c>
      <c r="B20" s="162"/>
      <c r="C20" s="177"/>
      <c r="D20" s="178"/>
      <c r="E20" s="179"/>
      <c r="F20" s="180"/>
      <c r="G20" s="173"/>
      <c r="H20" s="151"/>
      <c r="I20" s="151"/>
      <c r="J20" s="151"/>
      <c r="K20" s="151"/>
      <c r="L20" s="182">
        <v>317</v>
      </c>
      <c r="M20" s="151"/>
      <c r="N20" s="151"/>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4"/>
    </row>
    <row r="21" ht="15.75" customHeight="1">
      <c r="A21" t="s" s="161">
        <f>A20</f>
        <v>133</v>
      </c>
      <c r="B21" s="162"/>
      <c r="C21" s="177"/>
      <c r="D21" s="178"/>
      <c r="E21" s="179"/>
      <c r="F21" s="180"/>
      <c r="G21" s="173"/>
      <c r="H21" s="151"/>
      <c r="I21" s="151"/>
      <c r="J21" s="151"/>
      <c r="K21" s="151"/>
      <c r="L21" s="182">
        <v>330</v>
      </c>
      <c r="M21" s="151"/>
      <c r="N21" s="151"/>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4"/>
    </row>
    <row r="22" ht="15.75" customHeight="1">
      <c r="A22" t="s" s="161">
        <f>A21</f>
        <v>133</v>
      </c>
      <c r="B22" s="162"/>
      <c r="C22" s="177"/>
      <c r="D22" s="178"/>
      <c r="E22" s="179"/>
      <c r="F22" s="180"/>
      <c r="G22" s="173"/>
      <c r="H22" s="151"/>
      <c r="I22" s="151"/>
      <c r="J22" s="151"/>
      <c r="K22" s="151"/>
      <c r="L22" s="182">
        <v>331</v>
      </c>
      <c r="M22" s="151"/>
      <c r="N22" s="151"/>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4"/>
    </row>
    <row r="23" ht="15.75" customHeight="1">
      <c r="A23" s="158"/>
      <c r="B23" s="159"/>
      <c r="C23" s="159"/>
      <c r="D23" s="159"/>
      <c r="E23" s="159"/>
      <c r="F23" s="183"/>
      <c r="G23" s="150"/>
      <c r="H23" s="150"/>
      <c r="I23" s="150"/>
      <c r="J23" s="150"/>
      <c r="K23" s="151"/>
      <c r="L23" s="182">
        <v>334</v>
      </c>
      <c r="M23" s="151"/>
      <c r="N23" s="151"/>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4"/>
    </row>
    <row r="24" ht="15.75" customHeight="1">
      <c r="A24" t="s" s="161">
        <f>IF('Adatlap'!$L$1='Fordítások'!C3,'Fordítások'!C7,'Fordítások'!B7)</f>
        <v>138</v>
      </c>
      <c r="B24" s="162"/>
      <c r="C24" s="177"/>
      <c r="D24" s="178"/>
      <c r="E24" s="179"/>
      <c r="F24" s="184"/>
      <c r="G24" s="185"/>
      <c r="H24" s="150"/>
      <c r="I24" s="151"/>
      <c r="J24" s="151"/>
      <c r="K24" s="151"/>
      <c r="L24" s="182">
        <v>340</v>
      </c>
      <c r="M24" s="151"/>
      <c r="N24" s="151"/>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4"/>
    </row>
    <row r="25" ht="57" customHeight="1" hidden="1">
      <c r="A25" t="s" s="186">
        <f>IF('Adatlap'!$L$1='Fordítások'!C3,'Fordítások'!C269,'Fordítások'!B269)</f>
        <v>139</v>
      </c>
      <c r="B25" s="187"/>
      <c r="C25" s="188"/>
      <c r="D25" s="188"/>
      <c r="E25" s="188"/>
      <c r="F25" s="184"/>
      <c r="G25" s="185"/>
      <c r="H25" s="150"/>
      <c r="I25" s="151"/>
      <c r="J25" s="151"/>
      <c r="K25" s="151"/>
      <c r="L25" s="182">
        <v>350</v>
      </c>
      <c r="M25" s="151"/>
      <c r="N25" s="151"/>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4"/>
    </row>
    <row r="26" ht="15.75" customHeight="1">
      <c r="A26" t="s" s="161">
        <f>IF('Adatlap'!$L$1='Fordítások'!C3,'Fordítások'!C178,'Fordítások'!B178)</f>
        <v>140</v>
      </c>
      <c r="B26" s="162"/>
      <c r="C26" s="180"/>
      <c r="D26" s="189"/>
      <c r="E26" s="190"/>
      <c r="F26" s="150"/>
      <c r="G26" s="185"/>
      <c r="H26" s="150"/>
      <c r="I26" s="185"/>
      <c r="J26" s="151"/>
      <c r="K26" s="151"/>
      <c r="L26" s="182">
        <v>351</v>
      </c>
      <c r="M26" s="151"/>
      <c r="N26" s="151"/>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4"/>
    </row>
    <row r="27" ht="32.25" customHeight="1">
      <c r="A27" t="s" s="191">
        <f>IF('Adatlap'!$L$1='Fordítások'!C3,'Fordítások'!C21,'Fordítások'!B21)</f>
        <v>141</v>
      </c>
      <c r="B27" s="192"/>
      <c r="C27" s="180"/>
      <c r="D27" s="193"/>
      <c r="E27" s="194"/>
      <c r="F27" s="150"/>
      <c r="G27" s="96"/>
      <c r="H27" s="96"/>
      <c r="I27" s="151"/>
      <c r="J27" s="151"/>
      <c r="K27" s="151"/>
      <c r="L27" s="182">
        <v>360</v>
      </c>
      <c r="M27" s="151"/>
      <c r="N27" s="151"/>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4"/>
    </row>
    <row r="28" ht="32.25" customHeight="1">
      <c r="A28" t="s" s="191">
        <f>IF('Adatlap'!$L$1='Fordítások'!C3,'Fordítások'!C181,'Fordítások'!B181)</f>
        <v>142</v>
      </c>
      <c r="B28" s="192"/>
      <c r="C28" t="s" s="195">
        <f>IF(OR(C26='Fordítások'!C179,C26='Fordítások'!B179),"------------","")</f>
      </c>
      <c r="D28" s="196"/>
      <c r="E28" s="197"/>
      <c r="F28" s="150"/>
      <c r="G28" s="151"/>
      <c r="H28" s="150"/>
      <c r="I28" s="150"/>
      <c r="J28" s="151"/>
      <c r="K28" s="151"/>
      <c r="L28" s="182">
        <v>361</v>
      </c>
      <c r="M28" s="151"/>
      <c r="N28" s="151"/>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4"/>
    </row>
    <row r="29" ht="15.75" customHeight="1">
      <c r="A29" t="s" s="161">
        <f>IF('Adatlap'!$L$1='Fordítások'!C3,'Fordítások'!C270,'Fordítások'!B270)</f>
        <v>143</v>
      </c>
      <c r="B29" s="162"/>
      <c r="C29" s="180"/>
      <c r="D29" s="196"/>
      <c r="E29" s="197"/>
      <c r="F29" s="150"/>
      <c r="G29" s="151"/>
      <c r="H29" s="150"/>
      <c r="I29" s="150"/>
      <c r="J29" s="151"/>
      <c r="K29" s="151"/>
      <c r="L29" s="182">
        <v>362</v>
      </c>
      <c r="M29" s="151"/>
      <c r="N29" s="151"/>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4"/>
    </row>
    <row r="30" ht="15.75" customHeight="1">
      <c r="A30" t="s" s="161">
        <f>IF('Adatlap'!$L$1='Fordítások'!C3,'Fordítások'!C271,'Fordítások'!B271)</f>
        <v>144</v>
      </c>
      <c r="B30" s="162"/>
      <c r="C30" s="180"/>
      <c r="D30" s="196"/>
      <c r="E30" s="197"/>
      <c r="F30" s="150"/>
      <c r="G30" s="151"/>
      <c r="H30" s="150"/>
      <c r="I30" s="150"/>
      <c r="J30" s="151"/>
      <c r="K30" s="151"/>
      <c r="L30" s="182">
        <v>370</v>
      </c>
      <c r="M30" s="151"/>
      <c r="N30" s="151"/>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4"/>
    </row>
    <row r="31" ht="22.5" customHeight="1">
      <c r="A31" t="s" s="169">
        <f>IF('Adatlap'!$L$1='Fordítások'!C3,'Fordítások'!C282,'Fordítások'!B282)</f>
        <v>145</v>
      </c>
      <c r="B31" s="170"/>
      <c r="C31" s="198"/>
      <c r="D31" t="s" s="199">
        <f>IF('Adatlap'!L1="Magyar",'Fordítások'!C325,'Fordítások'!B325)</f>
        <v>146</v>
      </c>
      <c r="E31" s="200"/>
      <c r="F31" s="200"/>
      <c r="G31" s="151"/>
      <c r="H31" s="150"/>
      <c r="I31" s="150"/>
      <c r="J31" s="150"/>
      <c r="K31" s="151"/>
      <c r="L31" s="182">
        <v>371</v>
      </c>
      <c r="M31" s="151"/>
      <c r="N31" s="151"/>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4"/>
    </row>
    <row r="32" ht="15.75" customHeight="1">
      <c r="A32" t="s" s="161">
        <f>IF('Adatlap'!$L$1='Fordítások'!C3,'Fordítások'!C283,'Fordítások'!B283)</f>
        <v>147</v>
      </c>
      <c r="B32" s="162"/>
      <c r="C32" s="180"/>
      <c r="D32" s="196"/>
      <c r="E32" s="197"/>
      <c r="F32" s="150"/>
      <c r="G32" s="151"/>
      <c r="H32" s="150"/>
      <c r="I32" s="150"/>
      <c r="J32" s="150"/>
      <c r="K32" s="151"/>
      <c r="L32" s="182">
        <v>372</v>
      </c>
      <c r="M32" s="151"/>
      <c r="N32" s="151"/>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4"/>
    </row>
    <row r="33" ht="15.75" customHeight="1">
      <c r="A33" t="s" s="161">
        <f>IF('Adatlap'!$L$1='Fordítások'!C3,'Fordítások'!C284,'Fordítások'!B284)</f>
        <v>148</v>
      </c>
      <c r="B33" s="162"/>
      <c r="C33" s="180"/>
      <c r="D33" s="196"/>
      <c r="E33" s="197"/>
      <c r="F33" s="150"/>
      <c r="G33" s="151"/>
      <c r="H33" s="150"/>
      <c r="I33" s="150"/>
      <c r="J33" s="150"/>
      <c r="K33" s="151"/>
      <c r="L33" s="182">
        <v>373</v>
      </c>
      <c r="M33" s="151"/>
      <c r="N33" s="151"/>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4"/>
    </row>
    <row r="34" ht="15.75" customHeight="1">
      <c r="A34" t="s" s="161">
        <f>IF('Adatlap'!$L$1='Fordítások'!C3,'Fordítások'!C285,'Fordítások'!B285)</f>
        <v>149</v>
      </c>
      <c r="B34" s="162"/>
      <c r="C34" s="180"/>
      <c r="D34" s="196"/>
      <c r="E34" s="197"/>
      <c r="F34" s="150"/>
      <c r="G34" s="151"/>
      <c r="H34" s="150"/>
      <c r="I34" s="150"/>
      <c r="J34" s="150"/>
      <c r="K34" s="151"/>
      <c r="L34" s="182">
        <v>400</v>
      </c>
      <c r="M34" s="151"/>
      <c r="N34" s="151"/>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4"/>
    </row>
    <row r="35" ht="15.75" customHeight="1">
      <c r="A35" t="s" s="161">
        <f>IF('Adatlap'!$L$1='Fordítások'!C3,'Fordítások'!C286,'Fordítások'!B286)</f>
        <v>150</v>
      </c>
      <c r="B35" s="162"/>
      <c r="C35" s="180"/>
      <c r="D35" s="196"/>
      <c r="E35" s="197"/>
      <c r="F35" s="150"/>
      <c r="G35" s="151"/>
      <c r="H35" s="150"/>
      <c r="I35" s="150"/>
      <c r="J35" s="150"/>
      <c r="K35" s="151"/>
      <c r="L35" s="182">
        <v>410</v>
      </c>
      <c r="M35" s="151"/>
      <c r="N35" s="151"/>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4"/>
    </row>
    <row r="36" ht="15.75" customHeight="1">
      <c r="A36" t="s" s="161">
        <f>IF('Adatlap'!$L$1='Fordítások'!C3,'Fordítások'!C287,'Fordítások'!B287)</f>
        <v>151</v>
      </c>
      <c r="B36" s="162"/>
      <c r="C36" s="180"/>
      <c r="D36" s="196"/>
      <c r="E36" s="197"/>
      <c r="F36" s="150"/>
      <c r="G36" s="151"/>
      <c r="H36" s="150"/>
      <c r="I36" s="150"/>
      <c r="J36" s="150"/>
      <c r="K36" s="151"/>
      <c r="L36" s="182">
        <v>411</v>
      </c>
      <c r="M36" s="151"/>
      <c r="N36" s="151"/>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4"/>
    </row>
    <row r="37" ht="32.25" customHeight="1">
      <c r="A37" t="s" s="186">
        <f>IF('Adatlap'!$L$1='Fordítások'!C3,'Fordítások'!C288,'Fordítások'!B288)</f>
        <v>152</v>
      </c>
      <c r="B37" s="187"/>
      <c r="C37" s="180"/>
      <c r="D37" s="196"/>
      <c r="E37" s="197"/>
      <c r="F37" s="150"/>
      <c r="G37" s="151"/>
      <c r="H37" s="150"/>
      <c r="I37" s="150"/>
      <c r="J37" s="150"/>
      <c r="K37" s="151"/>
      <c r="L37" s="182">
        <v>412</v>
      </c>
      <c r="M37" s="151"/>
      <c r="N37" s="151"/>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4"/>
    </row>
    <row r="38" ht="55.5" customHeight="1">
      <c r="A38" t="s" s="191">
        <f>IF('Adatlap'!$L$1='Fordítások'!C3,'Fordítások'!C299,'Fordítások'!B299)</f>
        <v>153</v>
      </c>
      <c r="B38" s="192"/>
      <c r="C38" t="s" s="195">
        <f>IF(OR(C24='Auswahldaten'!A113,C24='Auswahldaten'!A115,C24='Auswahldaten'!A117,C24='Auswahldaten'!A119),1000,"")</f>
      </c>
      <c r="D38" t="s" s="201">
        <f>IF(C38="",IF('Adatlap'!$L$1='Fordítások'!C3,'Fordítások'!C279,'Fordítások'!B279),"")</f>
        <v>154</v>
      </c>
      <c r="E38" t="s" s="202">
        <f>IF(C38="",IF('Adatlap'!L1='Fordítások'!C3,"A gyártó által 1 liter, átlagosan szennyezett felület /ruha/ edény tisztítására alkalmas tisztítószeroldat elkészítéséhez ajánlott legnagyobb adag (g/l vagy ml/l). Használatra kész termékek esetében 1 liter használatra kész termék.","Highest dosage recommended by the manufacturer for preparing 1 litre of cleaning solution for cleaning normally soiled surfaces /laundry/dishes (g/l or ml/l). For RTU products 1 liter of product."),"")</f>
        <v>155</v>
      </c>
      <c r="F38" s="200"/>
      <c r="G38" s="203"/>
      <c r="H38" s="150"/>
      <c r="I38" s="150"/>
      <c r="J38" s="150"/>
      <c r="K38" s="151"/>
      <c r="L38" s="182">
        <v>413</v>
      </c>
      <c r="M38" s="151"/>
      <c r="N38" s="151"/>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4"/>
    </row>
    <row r="39" ht="30" customHeight="1">
      <c r="A39" t="s" s="186">
        <f>IF('Adatlap'!$L$1='Fordítások'!C3,'Fordítások'!C281,'Fordítások'!B281)</f>
        <v>156</v>
      </c>
      <c r="B39" s="187"/>
      <c r="C39" s="198"/>
      <c r="D39" t="s" s="199">
        <f>IF('Adatlap'!L1='Fordítások'!C3,IF(OR(C24='Fordítások'!C243,C24='Fordítások'!C245,C24='Fordítások'!C247,C24='Fordítások'!C247,C24='Fordítások'!C249),"Hagyja üresen a mezőt!","Tisztítószer esetén válassza a 2.vagy 3., kézi mosogatószer esetén a 4. vagy 5., mosószer esetén a 6. vagy 7., gépi mosogatószer esetén a 8. vagy 9. választ! "),"")</f>
        <v>157</v>
      </c>
      <c r="E39" s="200"/>
      <c r="F39" s="200"/>
      <c r="G39" s="150"/>
      <c r="H39" s="150"/>
      <c r="I39" s="150"/>
      <c r="J39" s="150"/>
      <c r="K39" s="151"/>
      <c r="L39" t="s" s="204">
        <v>158</v>
      </c>
      <c r="M39" s="151"/>
      <c r="N39" s="151"/>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4"/>
    </row>
    <row r="40" ht="27" customHeight="1">
      <c r="A40" t="s" s="186">
        <f>IF('Adatlap'!$L$1='Fordítások'!C3,'Fordítások'!C280,'Fordítások'!B280)</f>
        <v>159</v>
      </c>
      <c r="B40" s="187"/>
      <c r="C40" t="s" s="205">
        <f>IF(NOT(ISERROR(SEARCH("ml",C39,1))),C38*C28,C38)</f>
      </c>
      <c r="D40" s="196"/>
      <c r="E40" s="197"/>
      <c r="F40" s="150"/>
      <c r="G40" s="150"/>
      <c r="H40" s="150"/>
      <c r="I40" s="150"/>
      <c r="J40" s="150"/>
      <c r="K40" s="151"/>
      <c r="L40" t="s" s="204">
        <v>160</v>
      </c>
      <c r="M40" s="151"/>
      <c r="N40" s="151"/>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4"/>
    </row>
    <row r="41" ht="15.75" customHeight="1">
      <c r="A41" t="s" s="186">
        <f>IF('Adatlap'!$L$1='Fordítások'!C3,'Fordítások'!C305,'Fordítások'!B305)</f>
        <v>161</v>
      </c>
      <c r="B41" s="187"/>
      <c r="C41" s="206">
        <f>VLOOKUP($C$24,'Auswahldaten'!$A$113:$H$137,8,FALSE)</f>
      </c>
      <c r="D41" s="196"/>
      <c r="E41" s="197"/>
      <c r="F41" s="150"/>
      <c r="G41" s="150"/>
      <c r="H41" s="150"/>
      <c r="I41" s="150"/>
      <c r="J41" s="150"/>
      <c r="K41" s="151"/>
      <c r="L41" s="204"/>
      <c r="M41" s="151"/>
      <c r="N41" s="151"/>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4"/>
    </row>
    <row r="42" ht="30" customHeight="1">
      <c r="A42" t="s" s="186">
        <f>IF('Adatlap'!$L$1='Fordítások'!C3,'Fordítások'!C306,'Fordítások'!B306)</f>
        <v>162</v>
      </c>
      <c r="B42" s="187"/>
      <c r="C42" s="207">
        <f>IF(C40&lt;=C41,"ok","not ok")</f>
      </c>
      <c r="D42" s="196"/>
      <c r="E42" s="197"/>
      <c r="F42" s="150"/>
      <c r="G42" s="150"/>
      <c r="H42" s="150"/>
      <c r="I42" s="150"/>
      <c r="J42" s="150"/>
      <c r="K42" s="151"/>
      <c r="L42" t="s" s="204">
        <v>160</v>
      </c>
      <c r="M42" s="151"/>
      <c r="N42" s="151"/>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4"/>
    </row>
    <row r="43" ht="15.75" customHeight="1">
      <c r="A43" s="208"/>
      <c r="B43" s="183"/>
      <c r="C43" s="209"/>
      <c r="D43" s="150"/>
      <c r="E43" s="150"/>
      <c r="F43" s="150"/>
      <c r="G43" s="150"/>
      <c r="H43" s="150"/>
      <c r="I43" s="150"/>
      <c r="J43" s="150"/>
      <c r="K43" s="151"/>
      <c r="L43" s="13"/>
      <c r="M43" s="151"/>
      <c r="N43" s="151"/>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4"/>
    </row>
    <row r="44" ht="25.5" customHeight="1">
      <c r="A44" s="210"/>
      <c r="B44" t="s" s="211">
        <f>IF('Adatlap'!$L$1='Fordítások'!C3,'Fordítások'!C53,'Fordítások'!B53)</f>
        <v>163</v>
      </c>
      <c r="C44" s="212"/>
      <c r="D44" s="212"/>
      <c r="E44" s="212"/>
      <c r="F44" s="150"/>
      <c r="G44" s="213"/>
      <c r="H44" s="213"/>
      <c r="I44" s="213"/>
      <c r="J44" s="150"/>
      <c r="K44" s="151"/>
      <c r="L44" s="214"/>
      <c r="M44" s="151"/>
      <c r="N44" s="151"/>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4"/>
    </row>
    <row r="45" ht="15.75" customHeight="1">
      <c r="A45" s="215"/>
      <c r="B45" s="215"/>
      <c r="C45" s="215"/>
      <c r="D45" s="215"/>
      <c r="E45" s="215"/>
      <c r="F45" s="215"/>
      <c r="G45" s="215"/>
      <c r="H45" s="215"/>
      <c r="I45" s="215"/>
      <c r="J45" s="215"/>
      <c r="K45" s="216"/>
      <c r="L45" s="217"/>
      <c r="M45" s="216"/>
      <c r="N45" s="218"/>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4"/>
    </row>
    <row r="46" ht="15.75" customHeight="1">
      <c r="A46" s="219"/>
      <c r="B46" s="219"/>
      <c r="C46" s="219"/>
      <c r="D46" s="219"/>
      <c r="E46" s="219"/>
      <c r="F46" s="219"/>
      <c r="G46" s="219"/>
      <c r="H46" s="219"/>
      <c r="I46" s="219"/>
      <c r="J46" s="219"/>
      <c r="K46" s="220"/>
      <c r="L46" s="221"/>
      <c r="M46" s="220"/>
      <c r="N46" s="222"/>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4"/>
    </row>
    <row r="47" ht="15.75" customHeight="1">
      <c r="A47" s="219"/>
      <c r="B47" s="219"/>
      <c r="C47" s="219"/>
      <c r="D47" s="219"/>
      <c r="E47" s="219"/>
      <c r="F47" s="219"/>
      <c r="G47" s="219"/>
      <c r="H47" s="219"/>
      <c r="I47" s="219"/>
      <c r="J47" s="219"/>
      <c r="K47" s="220"/>
      <c r="L47" s="221"/>
      <c r="M47" s="220"/>
      <c r="N47" s="222"/>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4"/>
    </row>
    <row r="48" ht="15.75" customHeight="1">
      <c r="A48" s="219"/>
      <c r="B48" s="219"/>
      <c r="C48" s="219"/>
      <c r="D48" s="219"/>
      <c r="E48" s="219"/>
      <c r="F48" s="219"/>
      <c r="G48" s="219"/>
      <c r="H48" s="219"/>
      <c r="I48" s="219"/>
      <c r="J48" s="219"/>
      <c r="K48" s="220"/>
      <c r="L48" s="221"/>
      <c r="M48" s="220"/>
      <c r="N48" s="222"/>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4"/>
    </row>
    <row r="49" ht="15.75" customHeight="1">
      <c r="A49" s="219"/>
      <c r="B49" s="219"/>
      <c r="C49" s="219"/>
      <c r="D49" s="219"/>
      <c r="E49" s="219"/>
      <c r="F49" s="219"/>
      <c r="G49" s="219"/>
      <c r="H49" s="219"/>
      <c r="I49" s="219"/>
      <c r="J49" s="219"/>
      <c r="K49" s="220"/>
      <c r="L49" s="221"/>
      <c r="M49" s="220"/>
      <c r="N49" s="222"/>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4"/>
    </row>
    <row r="50" ht="15.75" customHeight="1">
      <c r="A50" s="219"/>
      <c r="B50" s="219"/>
      <c r="C50" s="219"/>
      <c r="D50" s="219"/>
      <c r="E50" s="219"/>
      <c r="F50" s="219"/>
      <c r="G50" s="219"/>
      <c r="H50" s="219"/>
      <c r="I50" s="219"/>
      <c r="J50" s="219"/>
      <c r="K50" s="220"/>
      <c r="L50" s="221"/>
      <c r="M50" s="220"/>
      <c r="N50" s="222"/>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4"/>
    </row>
    <row r="51" ht="15.75" customHeight="1">
      <c r="A51" s="219"/>
      <c r="B51" s="219"/>
      <c r="C51" s="219"/>
      <c r="D51" s="219"/>
      <c r="E51" s="219"/>
      <c r="F51" s="219"/>
      <c r="G51" s="219"/>
      <c r="H51" s="219"/>
      <c r="I51" s="219"/>
      <c r="J51" s="219"/>
      <c r="K51" s="220"/>
      <c r="L51" s="221"/>
      <c r="M51" s="220"/>
      <c r="N51" s="222"/>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4"/>
    </row>
    <row r="52" ht="15.75" customHeight="1">
      <c r="A52" s="219"/>
      <c r="B52" s="219"/>
      <c r="C52" s="219"/>
      <c r="D52" s="219"/>
      <c r="E52" s="219"/>
      <c r="F52" s="219"/>
      <c r="G52" s="219"/>
      <c r="H52" s="219"/>
      <c r="I52" s="219"/>
      <c r="J52" s="219"/>
      <c r="K52" s="220"/>
      <c r="L52" s="221"/>
      <c r="M52" s="220"/>
      <c r="N52" s="222"/>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4"/>
    </row>
    <row r="53" ht="15.75" customHeight="1">
      <c r="A53" s="219"/>
      <c r="B53" s="219"/>
      <c r="C53" s="219"/>
      <c r="D53" s="219"/>
      <c r="E53" s="219"/>
      <c r="F53" s="219"/>
      <c r="G53" s="219"/>
      <c r="H53" s="219"/>
      <c r="I53" s="219"/>
      <c r="J53" s="219"/>
      <c r="K53" s="220"/>
      <c r="L53" s="221"/>
      <c r="M53" s="220"/>
      <c r="N53" s="222"/>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4"/>
    </row>
    <row r="54" ht="15.75" customHeight="1">
      <c r="A54" s="219"/>
      <c r="B54" s="219"/>
      <c r="C54" s="219"/>
      <c r="D54" s="219"/>
      <c r="E54" s="219"/>
      <c r="F54" s="219"/>
      <c r="G54" s="219"/>
      <c r="H54" s="219"/>
      <c r="I54" s="219"/>
      <c r="J54" s="219"/>
      <c r="K54" s="220"/>
      <c r="L54" s="221"/>
      <c r="M54" s="220"/>
      <c r="N54" s="222"/>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4"/>
    </row>
    <row r="55" ht="15.75" customHeight="1">
      <c r="A55" s="219"/>
      <c r="B55" s="219"/>
      <c r="C55" s="219"/>
      <c r="D55" s="219"/>
      <c r="E55" s="219"/>
      <c r="F55" s="219"/>
      <c r="G55" s="219"/>
      <c r="H55" s="219"/>
      <c r="I55" s="219"/>
      <c r="J55" s="219"/>
      <c r="K55" s="220"/>
      <c r="L55" s="221"/>
      <c r="M55" s="220"/>
      <c r="N55" s="222"/>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4"/>
    </row>
    <row r="56" ht="15.75" customHeight="1">
      <c r="A56" s="219"/>
      <c r="B56" s="219"/>
      <c r="C56" s="219"/>
      <c r="D56" s="219"/>
      <c r="E56" s="219"/>
      <c r="F56" s="219"/>
      <c r="G56" s="219"/>
      <c r="H56" s="219"/>
      <c r="I56" s="219"/>
      <c r="J56" s="219"/>
      <c r="K56" s="220"/>
      <c r="L56" s="221"/>
      <c r="M56" s="220"/>
      <c r="N56" s="222"/>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4"/>
    </row>
    <row r="57" ht="15.75" customHeight="1">
      <c r="A57" s="219"/>
      <c r="B57" s="219"/>
      <c r="C57" s="219"/>
      <c r="D57" s="219"/>
      <c r="E57" s="219"/>
      <c r="F57" s="219"/>
      <c r="G57" s="219"/>
      <c r="H57" s="219"/>
      <c r="I57" s="219"/>
      <c r="J57" s="219"/>
      <c r="K57" s="220"/>
      <c r="L57" s="221"/>
      <c r="M57" s="220"/>
      <c r="N57" s="222"/>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4"/>
    </row>
    <row r="58" ht="15.75" customHeight="1">
      <c r="A58" s="219"/>
      <c r="B58" s="219"/>
      <c r="C58" s="219"/>
      <c r="D58" s="219"/>
      <c r="E58" s="219"/>
      <c r="F58" s="219"/>
      <c r="G58" s="219"/>
      <c r="H58" s="219"/>
      <c r="I58" s="219"/>
      <c r="J58" s="219"/>
      <c r="K58" s="220"/>
      <c r="L58" s="221"/>
      <c r="M58" s="220"/>
      <c r="N58" s="222"/>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4"/>
    </row>
    <row r="59" ht="15.75" customHeight="1">
      <c r="A59" s="219"/>
      <c r="B59" s="219"/>
      <c r="C59" s="219"/>
      <c r="D59" s="219"/>
      <c r="E59" s="219"/>
      <c r="F59" s="219"/>
      <c r="G59" s="219"/>
      <c r="H59" s="219"/>
      <c r="I59" s="219"/>
      <c r="J59" s="219"/>
      <c r="K59" s="220"/>
      <c r="L59" s="221"/>
      <c r="M59" s="220"/>
      <c r="N59" s="222"/>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4"/>
    </row>
    <row r="60" ht="15.75" customHeight="1">
      <c r="A60" s="219"/>
      <c r="B60" s="219"/>
      <c r="C60" s="219"/>
      <c r="D60" s="219"/>
      <c r="E60" s="219"/>
      <c r="F60" s="219"/>
      <c r="G60" s="219"/>
      <c r="H60" s="219"/>
      <c r="I60" s="219"/>
      <c r="J60" s="219"/>
      <c r="K60" s="220"/>
      <c r="L60" s="221"/>
      <c r="M60" s="220"/>
      <c r="N60" s="222"/>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4"/>
    </row>
    <row r="61" ht="15.75" customHeight="1">
      <c r="A61" s="219"/>
      <c r="B61" s="219"/>
      <c r="C61" s="219"/>
      <c r="D61" s="219"/>
      <c r="E61" s="219"/>
      <c r="F61" s="219"/>
      <c r="G61" s="219"/>
      <c r="H61" s="219"/>
      <c r="I61" s="219"/>
      <c r="J61" s="219"/>
      <c r="K61" s="220"/>
      <c r="L61" s="221"/>
      <c r="M61" s="220"/>
      <c r="N61" s="222"/>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4"/>
    </row>
    <row r="62" ht="15.75" customHeight="1">
      <c r="A62" s="219"/>
      <c r="B62" s="219"/>
      <c r="C62" s="219"/>
      <c r="D62" s="219"/>
      <c r="E62" s="219"/>
      <c r="F62" s="219"/>
      <c r="G62" s="219"/>
      <c r="H62" s="219"/>
      <c r="I62" s="219"/>
      <c r="J62" s="219"/>
      <c r="K62" s="220"/>
      <c r="L62" s="221"/>
      <c r="M62" s="220"/>
      <c r="N62" s="222"/>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4"/>
    </row>
    <row r="63" ht="15.75" customHeight="1">
      <c r="A63" s="219"/>
      <c r="B63" s="219"/>
      <c r="C63" s="219"/>
      <c r="D63" s="219"/>
      <c r="E63" s="219"/>
      <c r="F63" s="219"/>
      <c r="G63" s="219"/>
      <c r="H63" s="219"/>
      <c r="I63" s="219"/>
      <c r="J63" s="219"/>
      <c r="K63" s="220"/>
      <c r="L63" s="221"/>
      <c r="M63" s="220"/>
      <c r="N63" s="222"/>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4"/>
    </row>
    <row r="64" ht="15.75" customHeight="1">
      <c r="A64" s="219"/>
      <c r="B64" s="219"/>
      <c r="C64" s="219"/>
      <c r="D64" s="219"/>
      <c r="E64" s="219"/>
      <c r="F64" s="219"/>
      <c r="G64" s="219"/>
      <c r="H64" s="219"/>
      <c r="I64" s="219"/>
      <c r="J64" s="219"/>
      <c r="K64" s="220"/>
      <c r="L64" s="221"/>
      <c r="M64" s="220"/>
      <c r="N64" s="222"/>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4"/>
    </row>
    <row r="65" ht="15.75" customHeight="1">
      <c r="A65" s="219"/>
      <c r="B65" s="219"/>
      <c r="C65" s="219"/>
      <c r="D65" s="219"/>
      <c r="E65" s="219"/>
      <c r="F65" s="219"/>
      <c r="G65" s="219"/>
      <c r="H65" s="219"/>
      <c r="I65" s="219"/>
      <c r="J65" s="219"/>
      <c r="K65" s="220"/>
      <c r="L65" s="221"/>
      <c r="M65" s="220"/>
      <c r="N65" s="222"/>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4"/>
    </row>
    <row r="66" ht="15.75" customHeight="1">
      <c r="A66" s="219"/>
      <c r="B66" s="219"/>
      <c r="C66" s="219"/>
      <c r="D66" s="219"/>
      <c r="E66" s="219"/>
      <c r="F66" s="219"/>
      <c r="G66" s="219"/>
      <c r="H66" s="219"/>
      <c r="I66" s="219"/>
      <c r="J66" s="219"/>
      <c r="K66" s="220"/>
      <c r="L66" s="221"/>
      <c r="M66" s="220"/>
      <c r="N66" s="222"/>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4"/>
    </row>
    <row r="67" ht="15.75" customHeight="1">
      <c r="A67" s="219"/>
      <c r="B67" s="219"/>
      <c r="C67" s="219"/>
      <c r="D67" s="219"/>
      <c r="E67" s="219"/>
      <c r="F67" s="219"/>
      <c r="G67" s="219"/>
      <c r="H67" s="219"/>
      <c r="I67" s="219"/>
      <c r="J67" s="219"/>
      <c r="K67" s="220"/>
      <c r="L67" s="221"/>
      <c r="M67" s="220"/>
      <c r="N67" s="222"/>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4"/>
    </row>
    <row r="68" ht="15.75" customHeight="1">
      <c r="A68" s="219"/>
      <c r="B68" s="219"/>
      <c r="C68" s="219"/>
      <c r="D68" s="219"/>
      <c r="E68" s="219"/>
      <c r="F68" s="219"/>
      <c r="G68" s="219"/>
      <c r="H68" s="219"/>
      <c r="I68" s="219"/>
      <c r="J68" s="219"/>
      <c r="K68" s="220"/>
      <c r="L68" s="221"/>
      <c r="M68" s="220"/>
      <c r="N68" s="222"/>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4"/>
    </row>
    <row r="69" ht="15.75" customHeight="1">
      <c r="A69" s="219"/>
      <c r="B69" s="219"/>
      <c r="C69" s="219"/>
      <c r="D69" s="219"/>
      <c r="E69" s="219"/>
      <c r="F69" s="219"/>
      <c r="G69" s="219"/>
      <c r="H69" s="219"/>
      <c r="I69" s="219"/>
      <c r="J69" s="219"/>
      <c r="K69" s="220"/>
      <c r="L69" s="221"/>
      <c r="M69" s="220"/>
      <c r="N69" s="222"/>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4"/>
    </row>
    <row r="70" ht="15.75" customHeight="1">
      <c r="A70" s="219"/>
      <c r="B70" s="219"/>
      <c r="C70" s="219"/>
      <c r="D70" s="219"/>
      <c r="E70" s="219"/>
      <c r="F70" s="219"/>
      <c r="G70" s="219"/>
      <c r="H70" s="219"/>
      <c r="I70" s="219"/>
      <c r="J70" s="219"/>
      <c r="K70" s="220"/>
      <c r="L70" s="221"/>
      <c r="M70" s="220"/>
      <c r="N70" s="222"/>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4"/>
    </row>
    <row r="71" ht="15.75" customHeight="1">
      <c r="A71" s="219"/>
      <c r="B71" s="219"/>
      <c r="C71" s="219"/>
      <c r="D71" s="219"/>
      <c r="E71" s="219"/>
      <c r="F71" s="219"/>
      <c r="G71" s="219"/>
      <c r="H71" s="219"/>
      <c r="I71" s="219"/>
      <c r="J71" s="219"/>
      <c r="K71" s="220"/>
      <c r="L71" s="221"/>
      <c r="M71" s="220"/>
      <c r="N71" s="222"/>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4"/>
    </row>
    <row r="72" ht="15.75" customHeight="1">
      <c r="A72" s="142"/>
      <c r="B72" s="142"/>
      <c r="C72" s="142"/>
      <c r="D72" s="142"/>
      <c r="E72" s="142"/>
      <c r="F72" s="142"/>
      <c r="G72" s="142"/>
      <c r="H72" s="142"/>
      <c r="I72" s="142"/>
      <c r="J72" s="223"/>
      <c r="K72" s="223"/>
      <c r="L72" s="224"/>
      <c r="M72" s="223"/>
      <c r="N72" s="225"/>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4"/>
    </row>
    <row r="73" ht="15.75" customHeight="1">
      <c r="A73" s="142"/>
      <c r="B73" s="142"/>
      <c r="C73" s="142"/>
      <c r="D73" s="142"/>
      <c r="E73" s="142"/>
      <c r="F73" s="142"/>
      <c r="G73" s="142"/>
      <c r="H73" s="142"/>
      <c r="I73" s="146"/>
      <c r="J73" s="151"/>
      <c r="K73" s="151"/>
      <c r="L73" s="176"/>
      <c r="M73" s="151"/>
      <c r="N73" s="151"/>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4"/>
    </row>
    <row r="74" ht="15.75" customHeight="1">
      <c r="A74" s="142"/>
      <c r="B74" s="142"/>
      <c r="C74" s="142"/>
      <c r="D74" s="142"/>
      <c r="E74" s="142"/>
      <c r="F74" s="142"/>
      <c r="G74" s="142"/>
      <c r="H74" s="142"/>
      <c r="I74" s="146"/>
      <c r="J74" s="151"/>
      <c r="K74" s="151"/>
      <c r="L74" s="176"/>
      <c r="M74" s="151"/>
      <c r="N74" s="151"/>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4"/>
    </row>
    <row r="75" ht="15.75" customHeight="1">
      <c r="A75" s="142"/>
      <c r="B75" s="142"/>
      <c r="C75" s="142"/>
      <c r="D75" s="142"/>
      <c r="E75" s="142"/>
      <c r="F75" s="142"/>
      <c r="G75" s="142"/>
      <c r="H75" s="142"/>
      <c r="I75" s="146"/>
      <c r="J75" s="151"/>
      <c r="K75" s="151"/>
      <c r="L75" s="176"/>
      <c r="M75" s="151"/>
      <c r="N75" s="151"/>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4"/>
    </row>
    <row r="76" ht="15.75" customHeight="1">
      <c r="A76" s="142"/>
      <c r="B76" s="142"/>
      <c r="C76" s="142"/>
      <c r="D76" s="142"/>
      <c r="E76" s="142"/>
      <c r="F76" s="142"/>
      <c r="G76" s="142"/>
      <c r="H76" s="142"/>
      <c r="I76" s="146"/>
      <c r="J76" s="151"/>
      <c r="K76" s="151"/>
      <c r="L76" s="176"/>
      <c r="M76" s="151"/>
      <c r="N76" s="151"/>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4"/>
    </row>
    <row r="77" ht="15.75" customHeight="1">
      <c r="A77" s="142"/>
      <c r="B77" s="142"/>
      <c r="C77" s="142"/>
      <c r="D77" s="142"/>
      <c r="E77" s="142"/>
      <c r="F77" s="142"/>
      <c r="G77" s="142"/>
      <c r="H77" s="142"/>
      <c r="I77" s="146"/>
      <c r="J77" s="151"/>
      <c r="K77" s="151"/>
      <c r="L77" s="176"/>
      <c r="M77" s="151"/>
      <c r="N77" s="151"/>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4"/>
    </row>
    <row r="78" ht="15.75" customHeight="1">
      <c r="A78" s="142"/>
      <c r="B78" s="142"/>
      <c r="C78" s="142"/>
      <c r="D78" s="142"/>
      <c r="E78" s="142"/>
      <c r="F78" s="142"/>
      <c r="G78" s="142"/>
      <c r="H78" s="142"/>
      <c r="I78" s="146"/>
      <c r="J78" s="151"/>
      <c r="K78" s="151"/>
      <c r="L78" s="176"/>
      <c r="M78" s="151"/>
      <c r="N78" s="151"/>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4"/>
    </row>
    <row r="79" ht="15.75" customHeight="1">
      <c r="A79" s="142"/>
      <c r="B79" s="142"/>
      <c r="C79" s="142"/>
      <c r="D79" s="142"/>
      <c r="E79" s="142"/>
      <c r="F79" s="142"/>
      <c r="G79" s="142"/>
      <c r="H79" s="142"/>
      <c r="I79" s="146"/>
      <c r="J79" s="151"/>
      <c r="K79" s="151"/>
      <c r="L79" s="176"/>
      <c r="M79" s="151"/>
      <c r="N79" s="151"/>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4"/>
    </row>
    <row r="80" ht="15.75" customHeight="1">
      <c r="A80" s="142"/>
      <c r="B80" s="142"/>
      <c r="C80" s="142"/>
      <c r="D80" s="142"/>
      <c r="E80" s="142"/>
      <c r="F80" s="142"/>
      <c r="G80" s="142"/>
      <c r="H80" s="142"/>
      <c r="I80" s="146"/>
      <c r="J80" s="151"/>
      <c r="K80" s="151"/>
      <c r="L80" s="176"/>
      <c r="M80" s="151"/>
      <c r="N80" s="151"/>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4"/>
    </row>
    <row r="81" ht="15.75" customHeight="1">
      <c r="A81" s="142"/>
      <c r="B81" s="142"/>
      <c r="C81" s="142"/>
      <c r="D81" s="142"/>
      <c r="E81" s="142"/>
      <c r="F81" s="142"/>
      <c r="G81" s="142"/>
      <c r="H81" s="142"/>
      <c r="I81" s="146"/>
      <c r="J81" s="151"/>
      <c r="K81" s="151"/>
      <c r="L81" s="176"/>
      <c r="M81" s="151"/>
      <c r="N81" s="151"/>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4"/>
    </row>
    <row r="82" ht="15.75" customHeight="1">
      <c r="A82" s="142"/>
      <c r="B82" s="142"/>
      <c r="C82" s="142"/>
      <c r="D82" s="142"/>
      <c r="E82" s="142"/>
      <c r="F82" s="142"/>
      <c r="G82" s="142"/>
      <c r="H82" s="142"/>
      <c r="I82" s="146"/>
      <c r="J82" s="151"/>
      <c r="K82" s="151"/>
      <c r="L82" s="17"/>
      <c r="M82" s="151"/>
      <c r="N82" s="151"/>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4"/>
    </row>
    <row r="83" ht="15.75" customHeight="1">
      <c r="A83" s="142"/>
      <c r="B83" s="142"/>
      <c r="C83" s="142"/>
      <c r="D83" s="142"/>
      <c r="E83" s="142"/>
      <c r="F83" s="142"/>
      <c r="G83" s="142"/>
      <c r="H83" s="142"/>
      <c r="I83" s="146"/>
      <c r="J83" s="151"/>
      <c r="K83" s="151"/>
      <c r="L83" s="226"/>
      <c r="M83" s="151"/>
      <c r="N83" s="151"/>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4"/>
    </row>
    <row r="84" ht="15.75" customHeight="1">
      <c r="A84" s="142"/>
      <c r="B84" s="142"/>
      <c r="C84" s="142"/>
      <c r="D84" s="142"/>
      <c r="E84" s="142"/>
      <c r="F84" s="142"/>
      <c r="G84" s="142"/>
      <c r="H84" s="142"/>
      <c r="I84" s="146"/>
      <c r="J84" s="151"/>
      <c r="K84" s="151"/>
      <c r="L84" s="226"/>
      <c r="M84" s="151"/>
      <c r="N84" s="151"/>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4"/>
    </row>
    <row r="85" ht="15.75" customHeight="1">
      <c r="A85" s="142"/>
      <c r="B85" s="142"/>
      <c r="C85" s="142"/>
      <c r="D85" s="142"/>
      <c r="E85" s="142"/>
      <c r="F85" s="142"/>
      <c r="G85" s="142"/>
      <c r="H85" s="142"/>
      <c r="I85" s="146"/>
      <c r="J85" s="151"/>
      <c r="K85" s="151"/>
      <c r="L85" s="226"/>
      <c r="M85" s="151"/>
      <c r="N85" s="151"/>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4"/>
    </row>
    <row r="86" ht="15.75" customHeight="1">
      <c r="A86" s="142"/>
      <c r="B86" s="142"/>
      <c r="C86" s="142"/>
      <c r="D86" s="142"/>
      <c r="E86" s="142"/>
      <c r="F86" s="142"/>
      <c r="G86" s="142"/>
      <c r="H86" s="142"/>
      <c r="I86" s="146"/>
      <c r="J86" s="151"/>
      <c r="K86" s="151"/>
      <c r="L86" s="226"/>
      <c r="M86" s="151"/>
      <c r="N86" s="151"/>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4"/>
    </row>
    <row r="87" ht="15.75" customHeight="1">
      <c r="A87" s="142"/>
      <c r="B87" s="142"/>
      <c r="C87" s="142"/>
      <c r="D87" s="142"/>
      <c r="E87" s="142"/>
      <c r="F87" s="142"/>
      <c r="G87" s="142"/>
      <c r="H87" s="142"/>
      <c r="I87" s="146"/>
      <c r="J87" s="151"/>
      <c r="K87" s="151"/>
      <c r="L87" s="226"/>
      <c r="M87" s="151"/>
      <c r="N87" s="151"/>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4"/>
    </row>
    <row r="88" ht="13.65" customHeight="1">
      <c r="A88" s="142"/>
      <c r="B88" s="142"/>
      <c r="C88" s="142"/>
      <c r="D88" s="142"/>
      <c r="E88" s="142"/>
      <c r="F88" s="142"/>
      <c r="G88" s="142"/>
      <c r="H88" s="142"/>
      <c r="I88" s="142"/>
      <c r="J88" s="227"/>
      <c r="K88" s="227"/>
      <c r="L88" s="142"/>
      <c r="M88" s="227"/>
      <c r="N88" s="130"/>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4"/>
    </row>
    <row r="89" ht="13.65" customHeight="1">
      <c r="A89" s="142"/>
      <c r="B89" s="142"/>
      <c r="C89" s="142"/>
      <c r="D89" s="142"/>
      <c r="E89" s="142"/>
      <c r="F89" s="142"/>
      <c r="G89" s="142"/>
      <c r="H89" s="142"/>
      <c r="I89" s="142"/>
      <c r="J89" s="142"/>
      <c r="K89" s="142"/>
      <c r="L89" s="142"/>
      <c r="M89" s="142"/>
      <c r="N89" s="146"/>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4"/>
    </row>
    <row r="90" ht="13.65" customHeight="1">
      <c r="A90" s="142"/>
      <c r="B90" s="142"/>
      <c r="C90" s="142"/>
      <c r="D90" s="142"/>
      <c r="E90" s="142"/>
      <c r="F90" s="142"/>
      <c r="G90" s="142"/>
      <c r="H90" s="142"/>
      <c r="I90" s="142"/>
      <c r="J90" s="142"/>
      <c r="K90" s="142"/>
      <c r="L90" s="142"/>
      <c r="M90" s="142"/>
      <c r="N90" s="146"/>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4"/>
    </row>
    <row r="91" ht="13.65" customHeight="1">
      <c r="A91" s="142"/>
      <c r="B91" s="142"/>
      <c r="C91" s="142"/>
      <c r="D91" s="142"/>
      <c r="E91" s="142"/>
      <c r="F91" s="142"/>
      <c r="G91" s="142"/>
      <c r="H91" s="142"/>
      <c r="I91" s="142"/>
      <c r="J91" s="142"/>
      <c r="K91" s="142"/>
      <c r="L91" s="142"/>
      <c r="M91" s="142"/>
      <c r="N91" s="146"/>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4"/>
    </row>
    <row r="92" ht="13.65" customHeight="1">
      <c r="A92" s="142"/>
      <c r="B92" s="142"/>
      <c r="C92" s="142"/>
      <c r="D92" s="142"/>
      <c r="E92" s="142"/>
      <c r="F92" s="142"/>
      <c r="G92" s="142"/>
      <c r="H92" s="142"/>
      <c r="I92" s="142"/>
      <c r="J92" s="142"/>
      <c r="K92" s="142"/>
      <c r="L92" s="142"/>
      <c r="M92" s="142"/>
      <c r="N92" s="146"/>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4"/>
    </row>
    <row r="93" ht="13.65" customHeight="1">
      <c r="A93" s="142"/>
      <c r="B93" s="142"/>
      <c r="C93" s="142"/>
      <c r="D93" s="142"/>
      <c r="E93" s="142"/>
      <c r="F93" s="142"/>
      <c r="G93" s="142"/>
      <c r="H93" s="142"/>
      <c r="I93" s="142"/>
      <c r="J93" s="142"/>
      <c r="K93" s="142"/>
      <c r="L93" s="142"/>
      <c r="M93" s="142"/>
      <c r="N93" s="146"/>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4"/>
    </row>
    <row r="94" ht="13.65" customHeight="1">
      <c r="A94" s="142"/>
      <c r="B94" s="142"/>
      <c r="C94" s="142"/>
      <c r="D94" s="142"/>
      <c r="E94" s="142"/>
      <c r="F94" s="142"/>
      <c r="G94" s="142"/>
      <c r="H94" s="142"/>
      <c r="I94" s="142"/>
      <c r="J94" s="142"/>
      <c r="K94" s="142"/>
      <c r="L94" s="142"/>
      <c r="M94" s="142"/>
      <c r="N94" s="146"/>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4"/>
    </row>
    <row r="95" ht="13.65" customHeight="1">
      <c r="A95" s="142"/>
      <c r="B95" s="142"/>
      <c r="C95" s="142"/>
      <c r="D95" s="142"/>
      <c r="E95" s="142"/>
      <c r="F95" s="142"/>
      <c r="G95" s="142"/>
      <c r="H95" s="142"/>
      <c r="I95" s="142"/>
      <c r="J95" s="142"/>
      <c r="K95" s="142"/>
      <c r="L95" s="142"/>
      <c r="M95" s="142"/>
      <c r="N95" s="146"/>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4"/>
    </row>
    <row r="96" ht="13.65" customHeight="1">
      <c r="A96" s="142"/>
      <c r="B96" s="142"/>
      <c r="C96" s="142"/>
      <c r="D96" s="142"/>
      <c r="E96" s="142"/>
      <c r="F96" s="142"/>
      <c r="G96" s="142"/>
      <c r="H96" s="142"/>
      <c r="I96" s="142"/>
      <c r="J96" s="142"/>
      <c r="K96" s="142"/>
      <c r="L96" s="142"/>
      <c r="M96" s="142"/>
      <c r="N96" s="146"/>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4"/>
    </row>
    <row r="97" ht="13.65" customHeight="1">
      <c r="A97" s="142"/>
      <c r="B97" s="142"/>
      <c r="C97" s="142"/>
      <c r="D97" s="142"/>
      <c r="E97" s="142"/>
      <c r="F97" s="142"/>
      <c r="G97" s="142"/>
      <c r="H97" s="142"/>
      <c r="I97" s="142"/>
      <c r="J97" s="142"/>
      <c r="K97" s="142"/>
      <c r="L97" s="142"/>
      <c r="M97" s="142"/>
      <c r="N97" s="146"/>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4"/>
    </row>
    <row r="98" ht="13.65" customHeight="1">
      <c r="A98" s="142"/>
      <c r="B98" s="142"/>
      <c r="C98" s="142"/>
      <c r="D98" s="142"/>
      <c r="E98" s="142"/>
      <c r="F98" s="142"/>
      <c r="G98" s="142"/>
      <c r="H98" s="142"/>
      <c r="I98" s="142"/>
      <c r="J98" s="142"/>
      <c r="K98" s="142"/>
      <c r="L98" s="142"/>
      <c r="M98" s="142"/>
      <c r="N98" s="146"/>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4"/>
    </row>
    <row r="99" ht="13.65" customHeight="1">
      <c r="A99" s="142"/>
      <c r="B99" s="142"/>
      <c r="C99" s="142"/>
      <c r="D99" s="142"/>
      <c r="E99" s="142"/>
      <c r="F99" s="142"/>
      <c r="G99" s="142"/>
      <c r="H99" s="142"/>
      <c r="I99" s="142"/>
      <c r="J99" s="142"/>
      <c r="K99" s="142"/>
      <c r="L99" s="142"/>
      <c r="M99" s="142"/>
      <c r="N99" s="146"/>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4"/>
    </row>
    <row r="100" ht="13.65" customHeight="1">
      <c r="A100" s="142"/>
      <c r="B100" s="142"/>
      <c r="C100" s="142"/>
      <c r="D100" s="142"/>
      <c r="E100" s="142"/>
      <c r="F100" s="142"/>
      <c r="G100" s="142"/>
      <c r="H100" s="142"/>
      <c r="I100" s="142"/>
      <c r="J100" s="142"/>
      <c r="K100" s="142"/>
      <c r="L100" s="142"/>
      <c r="M100" s="142"/>
      <c r="N100" s="146"/>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4"/>
    </row>
    <row r="101" ht="13.65" customHeight="1">
      <c r="A101" s="142"/>
      <c r="B101" s="142"/>
      <c r="C101" s="142"/>
      <c r="D101" s="142"/>
      <c r="E101" s="142"/>
      <c r="F101" s="142"/>
      <c r="G101" s="142"/>
      <c r="H101" s="142"/>
      <c r="I101" s="142"/>
      <c r="J101" s="142"/>
      <c r="K101" s="142"/>
      <c r="L101" s="142"/>
      <c r="M101" s="142"/>
      <c r="N101" s="146"/>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4"/>
    </row>
    <row r="102" ht="13.65" customHeight="1">
      <c r="A102" s="142"/>
      <c r="B102" s="142"/>
      <c r="C102" s="142"/>
      <c r="D102" s="142"/>
      <c r="E102" s="142"/>
      <c r="F102" s="142"/>
      <c r="G102" s="142"/>
      <c r="H102" s="142"/>
      <c r="I102" s="142"/>
      <c r="J102" s="142"/>
      <c r="K102" s="142"/>
      <c r="L102" s="142"/>
      <c r="M102" s="142"/>
      <c r="N102" s="146"/>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4"/>
    </row>
    <row r="103" ht="13.65" customHeight="1">
      <c r="A103" s="142"/>
      <c r="B103" s="142"/>
      <c r="C103" s="142"/>
      <c r="D103" s="142"/>
      <c r="E103" s="142"/>
      <c r="F103" s="142"/>
      <c r="G103" s="142"/>
      <c r="H103" s="142"/>
      <c r="I103" s="142"/>
      <c r="J103" s="142"/>
      <c r="K103" s="142"/>
      <c r="L103" s="142"/>
      <c r="M103" s="142"/>
      <c r="N103" s="146"/>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4"/>
    </row>
    <row r="104" ht="13.65" customHeight="1">
      <c r="A104" s="142"/>
      <c r="B104" s="142"/>
      <c r="C104" s="142"/>
      <c r="D104" s="142"/>
      <c r="E104" s="142"/>
      <c r="F104" s="142"/>
      <c r="G104" s="142"/>
      <c r="H104" s="142"/>
      <c r="I104" s="142"/>
      <c r="J104" s="142"/>
      <c r="K104" s="142"/>
      <c r="L104" s="142"/>
      <c r="M104" s="142"/>
      <c r="N104" s="146"/>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4"/>
    </row>
    <row r="105" ht="13.65" customHeight="1">
      <c r="A105" s="142"/>
      <c r="B105" s="142"/>
      <c r="C105" s="142"/>
      <c r="D105" s="142"/>
      <c r="E105" s="142"/>
      <c r="F105" s="142"/>
      <c r="G105" s="142"/>
      <c r="H105" s="142"/>
      <c r="I105" s="142"/>
      <c r="J105" s="142"/>
      <c r="K105" s="142"/>
      <c r="L105" s="142"/>
      <c r="M105" s="142"/>
      <c r="N105" s="146"/>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4"/>
    </row>
    <row r="106" ht="13.65" customHeight="1">
      <c r="A106" s="142"/>
      <c r="B106" s="142"/>
      <c r="C106" s="142"/>
      <c r="D106" s="142"/>
      <c r="E106" s="142"/>
      <c r="F106" s="142"/>
      <c r="G106" s="142"/>
      <c r="H106" s="142"/>
      <c r="I106" s="142"/>
      <c r="J106" s="142"/>
      <c r="K106" s="142"/>
      <c r="L106" s="142"/>
      <c r="M106" s="142"/>
      <c r="N106" s="146"/>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4"/>
    </row>
    <row r="107" ht="13.65" customHeight="1">
      <c r="A107" s="142"/>
      <c r="B107" s="142"/>
      <c r="C107" s="142"/>
      <c r="D107" s="142"/>
      <c r="E107" s="142"/>
      <c r="F107" s="142"/>
      <c r="G107" s="142"/>
      <c r="H107" s="142"/>
      <c r="I107" s="142"/>
      <c r="J107" s="142"/>
      <c r="K107" s="142"/>
      <c r="L107" s="142"/>
      <c r="M107" s="142"/>
      <c r="N107" s="146"/>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4"/>
    </row>
    <row r="108" ht="13.65" customHeight="1">
      <c r="A108" s="142"/>
      <c r="B108" s="142"/>
      <c r="C108" s="142"/>
      <c r="D108" s="142"/>
      <c r="E108" s="142"/>
      <c r="F108" s="142"/>
      <c r="G108" s="142"/>
      <c r="H108" s="142"/>
      <c r="I108" s="142"/>
      <c r="J108" s="142"/>
      <c r="K108" s="142"/>
      <c r="L108" s="142"/>
      <c r="M108" s="142"/>
      <c r="N108" s="146"/>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4"/>
    </row>
    <row r="109" ht="13.65" customHeight="1">
      <c r="A109" s="142"/>
      <c r="B109" s="142"/>
      <c r="C109" s="142"/>
      <c r="D109" s="142"/>
      <c r="E109" s="142"/>
      <c r="F109" s="142"/>
      <c r="G109" s="142"/>
      <c r="H109" s="142"/>
      <c r="I109" s="142"/>
      <c r="J109" s="142"/>
      <c r="K109" s="142"/>
      <c r="L109" s="142"/>
      <c r="M109" s="142"/>
      <c r="N109" s="146"/>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4"/>
    </row>
    <row r="110" ht="13.65" customHeight="1">
      <c r="A110" s="142"/>
      <c r="B110" s="142"/>
      <c r="C110" s="142"/>
      <c r="D110" s="142"/>
      <c r="E110" s="142"/>
      <c r="F110" s="142"/>
      <c r="G110" s="142"/>
      <c r="H110" s="142"/>
      <c r="I110" s="142"/>
      <c r="J110" s="142"/>
      <c r="K110" s="142"/>
      <c r="L110" s="142"/>
      <c r="M110" s="142"/>
      <c r="N110" s="146"/>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4"/>
    </row>
    <row r="111" ht="13.65" customHeight="1">
      <c r="A111" s="142"/>
      <c r="B111" s="142"/>
      <c r="C111" s="142"/>
      <c r="D111" s="142"/>
      <c r="E111" s="142"/>
      <c r="F111" s="142"/>
      <c r="G111" s="142"/>
      <c r="H111" s="142"/>
      <c r="I111" s="142"/>
      <c r="J111" s="142"/>
      <c r="K111" s="142"/>
      <c r="L111" s="142"/>
      <c r="M111" s="142"/>
      <c r="N111" s="146"/>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4"/>
    </row>
    <row r="112" ht="13.65" customHeight="1">
      <c r="A112" s="142"/>
      <c r="B112" s="142"/>
      <c r="C112" s="142"/>
      <c r="D112" s="142"/>
      <c r="E112" s="142"/>
      <c r="F112" s="142"/>
      <c r="G112" s="142"/>
      <c r="H112" s="142"/>
      <c r="I112" s="142"/>
      <c r="J112" s="142"/>
      <c r="K112" s="142"/>
      <c r="L112" s="142"/>
      <c r="M112" s="142"/>
      <c r="N112" s="146"/>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4"/>
    </row>
    <row r="113" ht="13.65" customHeight="1">
      <c r="A113" s="142"/>
      <c r="B113" s="142"/>
      <c r="C113" s="142"/>
      <c r="D113" s="142"/>
      <c r="E113" s="142"/>
      <c r="F113" s="142"/>
      <c r="G113" s="142"/>
      <c r="H113" s="142"/>
      <c r="I113" s="142"/>
      <c r="J113" s="142"/>
      <c r="K113" s="142"/>
      <c r="L113" s="142"/>
      <c r="M113" s="142"/>
      <c r="N113" s="146"/>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4"/>
    </row>
    <row r="114" ht="13.65" customHeight="1">
      <c r="A114" s="142"/>
      <c r="B114" s="142"/>
      <c r="C114" s="142"/>
      <c r="D114" s="142"/>
      <c r="E114" s="142"/>
      <c r="F114" s="142"/>
      <c r="G114" s="142"/>
      <c r="H114" s="142"/>
      <c r="I114" s="142"/>
      <c r="J114" s="142"/>
      <c r="K114" s="142"/>
      <c r="L114" s="142"/>
      <c r="M114" s="142"/>
      <c r="N114" s="146"/>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4"/>
    </row>
    <row r="115" ht="13.65" customHeight="1">
      <c r="A115" s="142"/>
      <c r="B115" s="142"/>
      <c r="C115" s="142"/>
      <c r="D115" s="142"/>
      <c r="E115" s="142"/>
      <c r="F115" s="142"/>
      <c r="G115" s="142"/>
      <c r="H115" s="142"/>
      <c r="I115" s="142"/>
      <c r="J115" s="142"/>
      <c r="K115" s="142"/>
      <c r="L115" s="142"/>
      <c r="M115" s="142"/>
      <c r="N115" s="146"/>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4"/>
    </row>
    <row r="116" ht="13.65" customHeight="1">
      <c r="A116" s="142"/>
      <c r="B116" s="142"/>
      <c r="C116" s="142"/>
      <c r="D116" s="142"/>
      <c r="E116" s="142"/>
      <c r="F116" s="142"/>
      <c r="G116" s="142"/>
      <c r="H116" s="142"/>
      <c r="I116" s="142"/>
      <c r="J116" s="142"/>
      <c r="K116" s="142"/>
      <c r="L116" s="142"/>
      <c r="M116" s="142"/>
      <c r="N116" s="146"/>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4"/>
    </row>
    <row r="117" ht="13.65" customHeight="1">
      <c r="A117" s="142"/>
      <c r="B117" s="142"/>
      <c r="C117" s="142"/>
      <c r="D117" s="142"/>
      <c r="E117" s="142"/>
      <c r="F117" s="142"/>
      <c r="G117" s="142"/>
      <c r="H117" s="142"/>
      <c r="I117" s="142"/>
      <c r="J117" s="142"/>
      <c r="K117" s="142"/>
      <c r="L117" s="142"/>
      <c r="M117" s="142"/>
      <c r="N117" s="146"/>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4"/>
    </row>
    <row r="118" ht="13.65" customHeight="1">
      <c r="A118" s="142"/>
      <c r="B118" s="142"/>
      <c r="C118" s="142"/>
      <c r="D118" s="142"/>
      <c r="E118" s="142"/>
      <c r="F118" s="142"/>
      <c r="G118" s="142"/>
      <c r="H118" s="142"/>
      <c r="I118" s="142"/>
      <c r="J118" s="142"/>
      <c r="K118" s="142"/>
      <c r="L118" s="142"/>
      <c r="M118" s="142"/>
      <c r="N118" s="146"/>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4"/>
    </row>
    <row r="119" ht="13.65" customHeight="1">
      <c r="A119" s="142"/>
      <c r="B119" s="142"/>
      <c r="C119" s="142"/>
      <c r="D119" s="142"/>
      <c r="E119" s="142"/>
      <c r="F119" s="142"/>
      <c r="G119" s="142"/>
      <c r="H119" s="142"/>
      <c r="I119" s="142"/>
      <c r="J119" s="142"/>
      <c r="K119" s="142"/>
      <c r="L119" s="142"/>
      <c r="M119" s="142"/>
      <c r="N119" s="146"/>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4"/>
    </row>
    <row r="120" ht="13.65" customHeight="1">
      <c r="A120" s="142"/>
      <c r="B120" s="142"/>
      <c r="C120" s="142"/>
      <c r="D120" s="142"/>
      <c r="E120" s="142"/>
      <c r="F120" s="142"/>
      <c r="G120" s="142"/>
      <c r="H120" s="142"/>
      <c r="I120" s="142"/>
      <c r="J120" s="142"/>
      <c r="K120" s="142"/>
      <c r="L120" s="142"/>
      <c r="M120" s="142"/>
      <c r="N120" s="146"/>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4"/>
    </row>
    <row r="121" ht="13.65" customHeight="1">
      <c r="A121" s="142"/>
      <c r="B121" s="142"/>
      <c r="C121" s="142"/>
      <c r="D121" s="142"/>
      <c r="E121" s="142"/>
      <c r="F121" s="142"/>
      <c r="G121" s="142"/>
      <c r="H121" s="142"/>
      <c r="I121" s="142"/>
      <c r="J121" s="142"/>
      <c r="K121" s="142"/>
      <c r="L121" s="142"/>
      <c r="M121" s="142"/>
      <c r="N121" s="146"/>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4"/>
    </row>
    <row r="122" ht="13.65" customHeight="1">
      <c r="A122" s="142"/>
      <c r="B122" s="142"/>
      <c r="C122" s="142"/>
      <c r="D122" s="142"/>
      <c r="E122" s="142"/>
      <c r="F122" s="142"/>
      <c r="G122" s="142"/>
      <c r="H122" s="142"/>
      <c r="I122" s="142"/>
      <c r="J122" s="142"/>
      <c r="K122" s="142"/>
      <c r="L122" s="142"/>
      <c r="M122" s="142"/>
      <c r="N122" s="146"/>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4"/>
    </row>
    <row r="123" ht="13.65" customHeight="1">
      <c r="A123" s="142"/>
      <c r="B123" s="142"/>
      <c r="C123" s="142"/>
      <c r="D123" s="142"/>
      <c r="E123" s="142"/>
      <c r="F123" s="142"/>
      <c r="G123" s="142"/>
      <c r="H123" s="142"/>
      <c r="I123" s="142"/>
      <c r="J123" s="142"/>
      <c r="K123" s="142"/>
      <c r="L123" s="142"/>
      <c r="M123" s="142"/>
      <c r="N123" s="146"/>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4"/>
    </row>
    <row r="124" ht="13.65" customHeight="1">
      <c r="A124" s="142"/>
      <c r="B124" s="142"/>
      <c r="C124" s="142"/>
      <c r="D124" s="142"/>
      <c r="E124" s="142"/>
      <c r="F124" s="142"/>
      <c r="G124" s="142"/>
      <c r="H124" s="142"/>
      <c r="I124" s="142"/>
      <c r="J124" s="142"/>
      <c r="K124" s="142"/>
      <c r="L124" s="142"/>
      <c r="M124" s="142"/>
      <c r="N124" s="146"/>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4"/>
    </row>
    <row r="125" ht="13.65" customHeight="1">
      <c r="A125" s="142"/>
      <c r="B125" s="142"/>
      <c r="C125" s="142"/>
      <c r="D125" s="142"/>
      <c r="E125" s="142"/>
      <c r="F125" s="142"/>
      <c r="G125" s="142"/>
      <c r="H125" s="142"/>
      <c r="I125" s="142"/>
      <c r="J125" s="142"/>
      <c r="K125" s="142"/>
      <c r="L125" s="142"/>
      <c r="M125" s="142"/>
      <c r="N125" s="146"/>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4"/>
    </row>
    <row r="126" ht="13.65" customHeight="1">
      <c r="A126" s="142"/>
      <c r="B126" s="142"/>
      <c r="C126" s="142"/>
      <c r="D126" s="142"/>
      <c r="E126" s="142"/>
      <c r="F126" s="142"/>
      <c r="G126" s="142"/>
      <c r="H126" s="142"/>
      <c r="I126" s="142"/>
      <c r="J126" s="142"/>
      <c r="K126" s="142"/>
      <c r="L126" s="142"/>
      <c r="M126" s="142"/>
      <c r="N126" s="146"/>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4"/>
    </row>
    <row r="127" ht="13.65" customHeight="1">
      <c r="A127" s="142"/>
      <c r="B127" s="142"/>
      <c r="C127" s="142"/>
      <c r="D127" s="142"/>
      <c r="E127" s="142"/>
      <c r="F127" s="142"/>
      <c r="G127" s="142"/>
      <c r="H127" s="142"/>
      <c r="I127" s="142"/>
      <c r="J127" s="142"/>
      <c r="K127" s="142"/>
      <c r="L127" s="142"/>
      <c r="M127" s="142"/>
      <c r="N127" s="146"/>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4"/>
    </row>
    <row r="128" ht="13.65" customHeight="1">
      <c r="A128" s="142"/>
      <c r="B128" s="142"/>
      <c r="C128" s="142"/>
      <c r="D128" s="142"/>
      <c r="E128" s="142"/>
      <c r="F128" s="142"/>
      <c r="G128" s="142"/>
      <c r="H128" s="142"/>
      <c r="I128" s="142"/>
      <c r="J128" s="142"/>
      <c r="K128" s="142"/>
      <c r="L128" s="142"/>
      <c r="M128" s="142"/>
      <c r="N128" s="146"/>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4"/>
    </row>
    <row r="129" ht="13.65" customHeight="1">
      <c r="A129" s="142"/>
      <c r="B129" s="142"/>
      <c r="C129" s="142"/>
      <c r="D129" s="142"/>
      <c r="E129" s="142"/>
      <c r="F129" s="142"/>
      <c r="G129" s="142"/>
      <c r="H129" s="142"/>
      <c r="I129" s="142"/>
      <c r="J129" s="142"/>
      <c r="K129" s="142"/>
      <c r="L129" s="142"/>
      <c r="M129" s="142"/>
      <c r="N129" s="146"/>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4"/>
    </row>
    <row r="130" ht="13.65" customHeight="1">
      <c r="A130" s="142"/>
      <c r="B130" s="142"/>
      <c r="C130" s="142"/>
      <c r="D130" s="142"/>
      <c r="E130" s="142"/>
      <c r="F130" s="142"/>
      <c r="G130" s="142"/>
      <c r="H130" s="142"/>
      <c r="I130" s="142"/>
      <c r="J130" s="142"/>
      <c r="K130" s="142"/>
      <c r="L130" s="142"/>
      <c r="M130" s="142"/>
      <c r="N130" s="146"/>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4"/>
    </row>
    <row r="131" ht="13.65" customHeight="1">
      <c r="A131" s="142"/>
      <c r="B131" s="142"/>
      <c r="C131" s="142"/>
      <c r="D131" s="142"/>
      <c r="E131" s="142"/>
      <c r="F131" s="142"/>
      <c r="G131" s="142"/>
      <c r="H131" s="142"/>
      <c r="I131" s="142"/>
      <c r="J131" s="142"/>
      <c r="K131" s="142"/>
      <c r="L131" s="142"/>
      <c r="M131" s="142"/>
      <c r="N131" s="146"/>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4"/>
    </row>
    <row r="132" ht="13.65" customHeight="1">
      <c r="A132" s="142"/>
      <c r="B132" s="142"/>
      <c r="C132" s="142"/>
      <c r="D132" s="142"/>
      <c r="E132" s="142"/>
      <c r="F132" s="142"/>
      <c r="G132" s="142"/>
      <c r="H132" s="142"/>
      <c r="I132" s="142"/>
      <c r="J132" s="142"/>
      <c r="K132" s="142"/>
      <c r="L132" s="142"/>
      <c r="M132" s="142"/>
      <c r="N132" s="146"/>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4"/>
    </row>
    <row r="133" ht="13.65" customHeight="1">
      <c r="A133" s="142"/>
      <c r="B133" s="142"/>
      <c r="C133" s="142"/>
      <c r="D133" s="142"/>
      <c r="E133" s="142"/>
      <c r="F133" s="142"/>
      <c r="G133" s="142"/>
      <c r="H133" s="142"/>
      <c r="I133" s="142"/>
      <c r="J133" s="142"/>
      <c r="K133" s="142"/>
      <c r="L133" s="142"/>
      <c r="M133" s="142"/>
      <c r="N133" s="146"/>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4"/>
    </row>
    <row r="134" ht="13.65" customHeight="1">
      <c r="A134" s="142"/>
      <c r="B134" s="142"/>
      <c r="C134" s="142"/>
      <c r="D134" s="142"/>
      <c r="E134" s="142"/>
      <c r="F134" s="142"/>
      <c r="G134" s="142"/>
      <c r="H134" s="142"/>
      <c r="I134" s="142"/>
      <c r="J134" s="142"/>
      <c r="K134" s="142"/>
      <c r="L134" s="142"/>
      <c r="M134" s="142"/>
      <c r="N134" s="146"/>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4"/>
    </row>
    <row r="135" ht="13.65" customHeight="1">
      <c r="A135" s="142"/>
      <c r="B135" s="142"/>
      <c r="C135" s="142"/>
      <c r="D135" s="142"/>
      <c r="E135" s="142"/>
      <c r="F135" s="142"/>
      <c r="G135" s="142"/>
      <c r="H135" s="142"/>
      <c r="I135" s="142"/>
      <c r="J135" s="142"/>
      <c r="K135" s="142"/>
      <c r="L135" s="142"/>
      <c r="M135" s="142"/>
      <c r="N135" s="146"/>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4"/>
    </row>
    <row r="136" ht="13.65" customHeight="1">
      <c r="A136" s="142"/>
      <c r="B136" s="142"/>
      <c r="C136" s="142"/>
      <c r="D136" s="142"/>
      <c r="E136" s="142"/>
      <c r="F136" s="142"/>
      <c r="G136" s="142"/>
      <c r="H136" s="142"/>
      <c r="I136" s="142"/>
      <c r="J136" s="142"/>
      <c r="K136" s="142"/>
      <c r="L136" s="142"/>
      <c r="M136" s="142"/>
      <c r="N136" s="146"/>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4"/>
    </row>
    <row r="137" ht="13.65" customHeight="1">
      <c r="A137" s="142"/>
      <c r="B137" s="142"/>
      <c r="C137" s="142"/>
      <c r="D137" s="142"/>
      <c r="E137" s="142"/>
      <c r="F137" s="142"/>
      <c r="G137" s="142"/>
      <c r="H137" s="142"/>
      <c r="I137" s="142"/>
      <c r="J137" s="142"/>
      <c r="K137" s="142"/>
      <c r="L137" s="142"/>
      <c r="M137" s="142"/>
      <c r="N137" s="146"/>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4"/>
    </row>
    <row r="138" ht="13.65" customHeight="1">
      <c r="A138" s="142"/>
      <c r="B138" s="142"/>
      <c r="C138" s="142"/>
      <c r="D138" s="142"/>
      <c r="E138" s="142"/>
      <c r="F138" s="142"/>
      <c r="G138" s="142"/>
      <c r="H138" s="142"/>
      <c r="I138" s="142"/>
      <c r="J138" s="142"/>
      <c r="K138" s="142"/>
      <c r="L138" s="142"/>
      <c r="M138" s="142"/>
      <c r="N138" s="146"/>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4"/>
    </row>
    <row r="139" ht="13.65" customHeight="1">
      <c r="A139" s="142"/>
      <c r="B139" s="142"/>
      <c r="C139" s="142"/>
      <c r="D139" s="142"/>
      <c r="E139" s="142"/>
      <c r="F139" s="142"/>
      <c r="G139" s="142"/>
      <c r="H139" s="142"/>
      <c r="I139" s="142"/>
      <c r="J139" s="142"/>
      <c r="K139" s="142"/>
      <c r="L139" s="142"/>
      <c r="M139" s="142"/>
      <c r="N139" s="146"/>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4"/>
    </row>
    <row r="140" ht="13.65" customHeight="1">
      <c r="A140" s="142"/>
      <c r="B140" s="142"/>
      <c r="C140" s="142"/>
      <c r="D140" s="142"/>
      <c r="E140" s="142"/>
      <c r="F140" s="142"/>
      <c r="G140" s="142"/>
      <c r="H140" s="142"/>
      <c r="I140" s="142"/>
      <c r="J140" s="142"/>
      <c r="K140" s="142"/>
      <c r="L140" s="142"/>
      <c r="M140" s="142"/>
      <c r="N140" s="146"/>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4"/>
    </row>
    <row r="141" ht="13.65" customHeight="1">
      <c r="A141" s="142"/>
      <c r="B141" s="142"/>
      <c r="C141" s="142"/>
      <c r="D141" s="142"/>
      <c r="E141" s="142"/>
      <c r="F141" s="142"/>
      <c r="G141" s="142"/>
      <c r="H141" s="142"/>
      <c r="I141" s="142"/>
      <c r="J141" s="142"/>
      <c r="K141" s="142"/>
      <c r="L141" s="142"/>
      <c r="M141" s="142"/>
      <c r="N141" s="146"/>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4"/>
    </row>
    <row r="142" ht="13.65" customHeight="1">
      <c r="A142" s="142"/>
      <c r="B142" s="142"/>
      <c r="C142" s="142"/>
      <c r="D142" s="142"/>
      <c r="E142" s="142"/>
      <c r="F142" s="142"/>
      <c r="G142" s="142"/>
      <c r="H142" s="142"/>
      <c r="I142" s="142"/>
      <c r="J142" s="142"/>
      <c r="K142" s="142"/>
      <c r="L142" s="142"/>
      <c r="M142" s="142"/>
      <c r="N142" s="146"/>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4"/>
    </row>
    <row r="143" ht="13.65" customHeight="1">
      <c r="A143" s="142"/>
      <c r="B143" s="142"/>
      <c r="C143" s="142"/>
      <c r="D143" s="142"/>
      <c r="E143" s="142"/>
      <c r="F143" s="142"/>
      <c r="G143" s="142"/>
      <c r="H143" s="142"/>
      <c r="I143" s="142"/>
      <c r="J143" s="142"/>
      <c r="K143" s="142"/>
      <c r="L143" s="142"/>
      <c r="M143" s="142"/>
      <c r="N143" s="146"/>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4"/>
    </row>
    <row r="144" ht="13.65" customHeight="1">
      <c r="A144" s="142"/>
      <c r="B144" s="142"/>
      <c r="C144" s="142"/>
      <c r="D144" s="142"/>
      <c r="E144" s="142"/>
      <c r="F144" s="142"/>
      <c r="G144" s="142"/>
      <c r="H144" s="142"/>
      <c r="I144" s="142"/>
      <c r="J144" s="142"/>
      <c r="K144" s="142"/>
      <c r="L144" s="142"/>
      <c r="M144" s="142"/>
      <c r="N144" s="146"/>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4"/>
    </row>
    <row r="145" ht="13.65" customHeight="1">
      <c r="A145" s="142"/>
      <c r="B145" s="142"/>
      <c r="C145" s="142"/>
      <c r="D145" s="142"/>
      <c r="E145" s="142"/>
      <c r="F145" s="142"/>
      <c r="G145" s="142"/>
      <c r="H145" s="142"/>
      <c r="I145" s="142"/>
      <c r="J145" s="142"/>
      <c r="K145" s="142"/>
      <c r="L145" s="142"/>
      <c r="M145" s="142"/>
      <c r="N145" s="146"/>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4"/>
    </row>
    <row r="146" ht="13.65" customHeight="1">
      <c r="A146" s="142"/>
      <c r="B146" s="142"/>
      <c r="C146" s="142"/>
      <c r="D146" s="142"/>
      <c r="E146" s="142"/>
      <c r="F146" s="142"/>
      <c r="G146" s="142"/>
      <c r="H146" s="142"/>
      <c r="I146" s="142"/>
      <c r="J146" s="142"/>
      <c r="K146" s="142"/>
      <c r="L146" s="142"/>
      <c r="M146" s="142"/>
      <c r="N146" s="146"/>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4"/>
    </row>
    <row r="147" ht="13.65" customHeight="1">
      <c r="A147" s="142"/>
      <c r="B147" s="142"/>
      <c r="C147" s="142"/>
      <c r="D147" s="142"/>
      <c r="E147" s="142"/>
      <c r="F147" s="142"/>
      <c r="G147" s="142"/>
      <c r="H147" s="142"/>
      <c r="I147" s="142"/>
      <c r="J147" s="142"/>
      <c r="K147" s="142"/>
      <c r="L147" s="142"/>
      <c r="M147" s="142"/>
      <c r="N147" s="146"/>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4"/>
    </row>
    <row r="148" ht="13.65" customHeight="1">
      <c r="A148" s="142"/>
      <c r="B148" s="142"/>
      <c r="C148" s="142"/>
      <c r="D148" s="142"/>
      <c r="E148" s="142"/>
      <c r="F148" s="142"/>
      <c r="G148" s="142"/>
      <c r="H148" s="142"/>
      <c r="I148" s="142"/>
      <c r="J148" s="142"/>
      <c r="K148" s="142"/>
      <c r="L148" s="142"/>
      <c r="M148" s="142"/>
      <c r="N148" s="146"/>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4"/>
    </row>
    <row r="149" ht="13.65" customHeight="1">
      <c r="A149" s="142"/>
      <c r="B149" s="142"/>
      <c r="C149" s="142"/>
      <c r="D149" s="142"/>
      <c r="E149" s="142"/>
      <c r="F149" s="142"/>
      <c r="G149" s="142"/>
      <c r="H149" s="142"/>
      <c r="I149" s="142"/>
      <c r="J149" s="142"/>
      <c r="K149" s="142"/>
      <c r="L149" s="142"/>
      <c r="M149" s="142"/>
      <c r="N149" s="146"/>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4"/>
    </row>
    <row r="150" ht="13.65" customHeight="1">
      <c r="A150" s="142"/>
      <c r="B150" s="142"/>
      <c r="C150" s="142"/>
      <c r="D150" s="142"/>
      <c r="E150" s="142"/>
      <c r="F150" s="142"/>
      <c r="G150" s="142"/>
      <c r="H150" s="142"/>
      <c r="I150" s="142"/>
      <c r="J150" s="142"/>
      <c r="K150" s="142"/>
      <c r="L150" s="142"/>
      <c r="M150" s="142"/>
      <c r="N150" s="146"/>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4"/>
    </row>
    <row r="151" ht="13.65" customHeight="1">
      <c r="A151" s="142"/>
      <c r="B151" s="142"/>
      <c r="C151" s="142"/>
      <c r="D151" s="142"/>
      <c r="E151" s="142"/>
      <c r="F151" s="142"/>
      <c r="G151" s="142"/>
      <c r="H151" s="142"/>
      <c r="I151" s="142"/>
      <c r="J151" s="142"/>
      <c r="K151" s="142"/>
      <c r="L151" s="142"/>
      <c r="M151" s="142"/>
      <c r="N151" s="146"/>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4"/>
    </row>
    <row r="152" ht="13.65" customHeight="1">
      <c r="A152" s="142"/>
      <c r="B152" s="142"/>
      <c r="C152" s="142"/>
      <c r="D152" s="142"/>
      <c r="E152" s="142"/>
      <c r="F152" s="142"/>
      <c r="G152" s="142"/>
      <c r="H152" s="142"/>
      <c r="I152" s="142"/>
      <c r="J152" s="142"/>
      <c r="K152" s="142"/>
      <c r="L152" s="142"/>
      <c r="M152" s="142"/>
      <c r="N152" s="146"/>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4"/>
    </row>
    <row r="153" ht="13.65" customHeight="1">
      <c r="A153" s="142"/>
      <c r="B153" s="142"/>
      <c r="C153" s="142"/>
      <c r="D153" s="142"/>
      <c r="E153" s="142"/>
      <c r="F153" s="142"/>
      <c r="G153" s="142"/>
      <c r="H153" s="142"/>
      <c r="I153" s="142"/>
      <c r="J153" s="142"/>
      <c r="K153" s="142"/>
      <c r="L153" s="142"/>
      <c r="M153" s="142"/>
      <c r="N153" s="146"/>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4"/>
    </row>
    <row r="154" ht="13.65" customHeight="1">
      <c r="A154" s="142"/>
      <c r="B154" s="142"/>
      <c r="C154" s="142"/>
      <c r="D154" s="142"/>
      <c r="E154" s="142"/>
      <c r="F154" s="142"/>
      <c r="G154" s="142"/>
      <c r="H154" s="142"/>
      <c r="I154" s="142"/>
      <c r="J154" s="142"/>
      <c r="K154" s="142"/>
      <c r="L154" s="142"/>
      <c r="M154" s="142"/>
      <c r="N154" s="146"/>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4"/>
    </row>
    <row r="155" ht="13.65" customHeight="1">
      <c r="A155" s="142"/>
      <c r="B155" s="142"/>
      <c r="C155" s="142"/>
      <c r="D155" s="142"/>
      <c r="E155" s="142"/>
      <c r="F155" s="142"/>
      <c r="G155" s="142"/>
      <c r="H155" s="142"/>
      <c r="I155" s="142"/>
      <c r="J155" s="142"/>
      <c r="K155" s="142"/>
      <c r="L155" s="142"/>
      <c r="M155" s="142"/>
      <c r="N155" s="146"/>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4"/>
    </row>
    <row r="156" ht="13.65" customHeight="1">
      <c r="A156" s="142"/>
      <c r="B156" s="142"/>
      <c r="C156" s="142"/>
      <c r="D156" s="142"/>
      <c r="E156" s="142"/>
      <c r="F156" s="142"/>
      <c r="G156" s="142"/>
      <c r="H156" s="142"/>
      <c r="I156" s="142"/>
      <c r="J156" s="142"/>
      <c r="K156" s="142"/>
      <c r="L156" s="142"/>
      <c r="M156" s="142"/>
      <c r="N156" s="146"/>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4"/>
    </row>
    <row r="157" ht="13.65" customHeight="1">
      <c r="A157" s="142"/>
      <c r="B157" s="142"/>
      <c r="C157" s="142"/>
      <c r="D157" s="142"/>
      <c r="E157" s="142"/>
      <c r="F157" s="142"/>
      <c r="G157" s="142"/>
      <c r="H157" s="142"/>
      <c r="I157" s="142"/>
      <c r="J157" s="142"/>
      <c r="K157" s="142"/>
      <c r="L157" s="142"/>
      <c r="M157" s="142"/>
      <c r="N157" s="146"/>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4"/>
    </row>
    <row r="158" ht="13.65" customHeight="1">
      <c r="A158" s="142"/>
      <c r="B158" s="142"/>
      <c r="C158" s="142"/>
      <c r="D158" s="142"/>
      <c r="E158" s="142"/>
      <c r="F158" s="142"/>
      <c r="G158" s="142"/>
      <c r="H158" s="142"/>
      <c r="I158" s="142"/>
      <c r="J158" s="142"/>
      <c r="K158" s="142"/>
      <c r="L158" s="142"/>
      <c r="M158" s="142"/>
      <c r="N158" s="146"/>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4"/>
    </row>
    <row r="159" ht="13.65" customHeight="1">
      <c r="A159" s="142"/>
      <c r="B159" s="142"/>
      <c r="C159" s="142"/>
      <c r="D159" s="142"/>
      <c r="E159" s="142"/>
      <c r="F159" s="142"/>
      <c r="G159" s="142"/>
      <c r="H159" s="142"/>
      <c r="I159" s="142"/>
      <c r="J159" s="142"/>
      <c r="K159" s="142"/>
      <c r="L159" s="142"/>
      <c r="M159" s="142"/>
      <c r="N159" s="146"/>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4"/>
    </row>
    <row r="160" ht="13.65" customHeight="1">
      <c r="A160" s="142"/>
      <c r="B160" s="142"/>
      <c r="C160" s="142"/>
      <c r="D160" s="142"/>
      <c r="E160" s="142"/>
      <c r="F160" s="142"/>
      <c r="G160" s="142"/>
      <c r="H160" s="142"/>
      <c r="I160" s="142"/>
      <c r="J160" s="142"/>
      <c r="K160" s="142"/>
      <c r="L160" s="142"/>
      <c r="M160" s="142"/>
      <c r="N160" s="146"/>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4"/>
    </row>
    <row r="161" ht="13.65" customHeight="1">
      <c r="A161" s="142"/>
      <c r="B161" s="142"/>
      <c r="C161" s="142"/>
      <c r="D161" s="142"/>
      <c r="E161" s="142"/>
      <c r="F161" s="142"/>
      <c r="G161" s="142"/>
      <c r="H161" s="142"/>
      <c r="I161" s="142"/>
      <c r="J161" s="142"/>
      <c r="K161" s="142"/>
      <c r="L161" s="142"/>
      <c r="M161" s="142"/>
      <c r="N161" s="146"/>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4"/>
    </row>
    <row r="162" ht="13.65" customHeight="1">
      <c r="A162" s="142"/>
      <c r="B162" s="142"/>
      <c r="C162" s="142"/>
      <c r="D162" s="142"/>
      <c r="E162" s="142"/>
      <c r="F162" s="142"/>
      <c r="G162" s="142"/>
      <c r="H162" s="142"/>
      <c r="I162" s="142"/>
      <c r="J162" s="142"/>
      <c r="K162" s="142"/>
      <c r="L162" s="142"/>
      <c r="M162" s="142"/>
      <c r="N162" s="146"/>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4"/>
    </row>
    <row r="163" ht="13.65" customHeight="1">
      <c r="A163" s="142"/>
      <c r="B163" s="142"/>
      <c r="C163" s="142"/>
      <c r="D163" s="142"/>
      <c r="E163" s="142"/>
      <c r="F163" s="142"/>
      <c r="G163" s="142"/>
      <c r="H163" s="142"/>
      <c r="I163" s="142"/>
      <c r="J163" s="142"/>
      <c r="K163" s="142"/>
      <c r="L163" s="142"/>
      <c r="M163" s="142"/>
      <c r="N163" s="146"/>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4"/>
    </row>
    <row r="164" ht="13.65" customHeight="1">
      <c r="A164" s="142"/>
      <c r="B164" s="142"/>
      <c r="C164" s="142"/>
      <c r="D164" s="142"/>
      <c r="E164" s="142"/>
      <c r="F164" s="142"/>
      <c r="G164" s="142"/>
      <c r="H164" s="142"/>
      <c r="I164" s="142"/>
      <c r="J164" s="142"/>
      <c r="K164" s="142"/>
      <c r="L164" s="142"/>
      <c r="M164" s="142"/>
      <c r="N164" s="146"/>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4"/>
    </row>
    <row r="165" ht="13.65" customHeight="1">
      <c r="A165" s="142"/>
      <c r="B165" s="142"/>
      <c r="C165" s="142"/>
      <c r="D165" s="142"/>
      <c r="E165" s="142"/>
      <c r="F165" s="142"/>
      <c r="G165" s="142"/>
      <c r="H165" s="142"/>
      <c r="I165" s="142"/>
      <c r="J165" s="142"/>
      <c r="K165" s="142"/>
      <c r="L165" s="142"/>
      <c r="M165" s="142"/>
      <c r="N165" s="146"/>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4"/>
    </row>
    <row r="166" ht="13.65" customHeight="1">
      <c r="A166" s="142"/>
      <c r="B166" s="142"/>
      <c r="C166" s="142"/>
      <c r="D166" s="142"/>
      <c r="E166" s="142"/>
      <c r="F166" s="142"/>
      <c r="G166" s="142"/>
      <c r="H166" s="142"/>
      <c r="I166" s="142"/>
      <c r="J166" s="142"/>
      <c r="K166" s="142"/>
      <c r="L166" s="142"/>
      <c r="M166" s="142"/>
      <c r="N166" s="146"/>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4"/>
    </row>
    <row r="167" ht="13.65" customHeight="1">
      <c r="A167" s="142"/>
      <c r="B167" s="142"/>
      <c r="C167" s="142"/>
      <c r="D167" s="142"/>
      <c r="E167" s="142"/>
      <c r="F167" s="142"/>
      <c r="G167" s="142"/>
      <c r="H167" s="142"/>
      <c r="I167" s="142"/>
      <c r="J167" s="142"/>
      <c r="K167" s="142"/>
      <c r="L167" s="142"/>
      <c r="M167" s="142"/>
      <c r="N167" s="146"/>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4"/>
    </row>
    <row r="168" ht="13.65" customHeight="1">
      <c r="A168" s="142"/>
      <c r="B168" s="142"/>
      <c r="C168" s="142"/>
      <c r="D168" s="142"/>
      <c r="E168" s="142"/>
      <c r="F168" s="142"/>
      <c r="G168" s="142"/>
      <c r="H168" s="142"/>
      <c r="I168" s="142"/>
      <c r="J168" s="142"/>
      <c r="K168" s="142"/>
      <c r="L168" s="142"/>
      <c r="M168" s="142"/>
      <c r="N168" s="146"/>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4"/>
    </row>
    <row r="169" ht="13.65" customHeight="1">
      <c r="A169" s="142"/>
      <c r="B169" s="142"/>
      <c r="C169" s="142"/>
      <c r="D169" s="142"/>
      <c r="E169" s="142"/>
      <c r="F169" s="142"/>
      <c r="G169" s="142"/>
      <c r="H169" s="142"/>
      <c r="I169" s="142"/>
      <c r="J169" s="142"/>
      <c r="K169" s="142"/>
      <c r="L169" s="142"/>
      <c r="M169" s="142"/>
      <c r="N169" s="146"/>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4"/>
    </row>
    <row r="170" ht="13.65" customHeight="1">
      <c r="A170" s="142"/>
      <c r="B170" s="142"/>
      <c r="C170" s="142"/>
      <c r="D170" s="142"/>
      <c r="E170" s="142"/>
      <c r="F170" s="142"/>
      <c r="G170" s="142"/>
      <c r="H170" s="142"/>
      <c r="I170" s="142"/>
      <c r="J170" s="142"/>
      <c r="K170" s="142"/>
      <c r="L170" s="142"/>
      <c r="M170" s="142"/>
      <c r="N170" s="146"/>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4"/>
    </row>
    <row r="171" ht="13.65" customHeight="1">
      <c r="A171" s="142"/>
      <c r="B171" s="142"/>
      <c r="C171" s="142"/>
      <c r="D171" s="142"/>
      <c r="E171" s="142"/>
      <c r="F171" s="142"/>
      <c r="G171" s="142"/>
      <c r="H171" s="142"/>
      <c r="I171" s="142"/>
      <c r="J171" s="142"/>
      <c r="K171" s="142"/>
      <c r="L171" s="142"/>
      <c r="M171" s="142"/>
      <c r="N171" s="146"/>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4"/>
    </row>
    <row r="172" ht="13.65" customHeight="1">
      <c r="A172" s="142"/>
      <c r="B172" s="142"/>
      <c r="C172" s="142"/>
      <c r="D172" s="142"/>
      <c r="E172" s="142"/>
      <c r="F172" s="142"/>
      <c r="G172" s="142"/>
      <c r="H172" s="142"/>
      <c r="I172" s="142"/>
      <c r="J172" s="142"/>
      <c r="K172" s="142"/>
      <c r="L172" s="142"/>
      <c r="M172" s="142"/>
      <c r="N172" s="146"/>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4"/>
    </row>
    <row r="173" ht="13.65" customHeight="1">
      <c r="A173" s="142"/>
      <c r="B173" s="142"/>
      <c r="C173" s="142"/>
      <c r="D173" s="142"/>
      <c r="E173" s="142"/>
      <c r="F173" s="142"/>
      <c r="G173" s="142"/>
      <c r="H173" s="142"/>
      <c r="I173" s="142"/>
      <c r="J173" s="142"/>
      <c r="K173" s="142"/>
      <c r="L173" s="142"/>
      <c r="M173" s="142"/>
      <c r="N173" s="146"/>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4"/>
    </row>
    <row r="174" ht="13.65" customHeight="1">
      <c r="A174" s="142"/>
      <c r="B174" s="142"/>
      <c r="C174" s="142"/>
      <c r="D174" s="142"/>
      <c r="E174" s="142"/>
      <c r="F174" s="142"/>
      <c r="G174" s="142"/>
      <c r="H174" s="142"/>
      <c r="I174" s="142"/>
      <c r="J174" s="142"/>
      <c r="K174" s="142"/>
      <c r="L174" s="142"/>
      <c r="M174" s="142"/>
      <c r="N174" s="146"/>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4"/>
    </row>
    <row r="175" ht="13.65" customHeight="1">
      <c r="A175" s="142"/>
      <c r="B175" s="142"/>
      <c r="C175" s="142"/>
      <c r="D175" s="142"/>
      <c r="E175" s="142"/>
      <c r="F175" s="142"/>
      <c r="G175" s="142"/>
      <c r="H175" s="142"/>
      <c r="I175" s="142"/>
      <c r="J175" s="142"/>
      <c r="K175" s="142"/>
      <c r="L175" s="142"/>
      <c r="M175" s="142"/>
      <c r="N175" s="146"/>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4"/>
    </row>
    <row r="176" ht="13.65" customHeight="1">
      <c r="A176" s="142"/>
      <c r="B176" s="142"/>
      <c r="C176" s="142"/>
      <c r="D176" s="142"/>
      <c r="E176" s="142"/>
      <c r="F176" s="142"/>
      <c r="G176" s="142"/>
      <c r="H176" s="142"/>
      <c r="I176" s="142"/>
      <c r="J176" s="142"/>
      <c r="K176" s="142"/>
      <c r="L176" s="142"/>
      <c r="M176" s="142"/>
      <c r="N176" s="146"/>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4"/>
    </row>
    <row r="177" ht="13.65" customHeight="1">
      <c r="A177" s="142"/>
      <c r="B177" s="142"/>
      <c r="C177" s="142"/>
      <c r="D177" s="142"/>
      <c r="E177" s="142"/>
      <c r="F177" s="142"/>
      <c r="G177" s="142"/>
      <c r="H177" s="142"/>
      <c r="I177" s="142"/>
      <c r="J177" s="142"/>
      <c r="K177" s="142"/>
      <c r="L177" s="142"/>
      <c r="M177" s="142"/>
      <c r="N177" s="146"/>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4"/>
    </row>
    <row r="178" ht="13.65" customHeight="1">
      <c r="A178" s="142"/>
      <c r="B178" s="142"/>
      <c r="C178" s="142"/>
      <c r="D178" s="142"/>
      <c r="E178" s="142"/>
      <c r="F178" s="142"/>
      <c r="G178" s="142"/>
      <c r="H178" s="142"/>
      <c r="I178" s="142"/>
      <c r="J178" s="142"/>
      <c r="K178" s="142"/>
      <c r="L178" s="142"/>
      <c r="M178" s="142"/>
      <c r="N178" s="146"/>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4"/>
    </row>
    <row r="179" ht="13.65" customHeight="1">
      <c r="A179" s="142"/>
      <c r="B179" s="142"/>
      <c r="C179" s="142"/>
      <c r="D179" s="142"/>
      <c r="E179" s="142"/>
      <c r="F179" s="142"/>
      <c r="G179" s="142"/>
      <c r="H179" s="142"/>
      <c r="I179" s="142"/>
      <c r="J179" s="142"/>
      <c r="K179" s="142"/>
      <c r="L179" s="142"/>
      <c r="M179" s="142"/>
      <c r="N179" s="146"/>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4"/>
    </row>
    <row r="180" ht="13.65" customHeight="1">
      <c r="A180" s="142"/>
      <c r="B180" s="142"/>
      <c r="C180" s="142"/>
      <c r="D180" s="142"/>
      <c r="E180" s="142"/>
      <c r="F180" s="142"/>
      <c r="G180" s="142"/>
      <c r="H180" s="142"/>
      <c r="I180" s="142"/>
      <c r="J180" s="142"/>
      <c r="K180" s="142"/>
      <c r="L180" s="142"/>
      <c r="M180" s="142"/>
      <c r="N180" s="146"/>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4"/>
    </row>
    <row r="181" ht="13.65" customHeight="1">
      <c r="A181" s="142"/>
      <c r="B181" s="142"/>
      <c r="C181" s="142"/>
      <c r="D181" s="142"/>
      <c r="E181" s="142"/>
      <c r="F181" s="142"/>
      <c r="G181" s="142"/>
      <c r="H181" s="142"/>
      <c r="I181" s="142"/>
      <c r="J181" s="142"/>
      <c r="K181" s="142"/>
      <c r="L181" s="142"/>
      <c r="M181" s="142"/>
      <c r="N181" s="146"/>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4"/>
    </row>
    <row r="182" ht="13.65" customHeight="1">
      <c r="A182" s="142"/>
      <c r="B182" s="142"/>
      <c r="C182" s="142"/>
      <c r="D182" s="142"/>
      <c r="E182" s="142"/>
      <c r="F182" s="142"/>
      <c r="G182" s="142"/>
      <c r="H182" s="142"/>
      <c r="I182" s="142"/>
      <c r="J182" s="142"/>
      <c r="K182" s="142"/>
      <c r="L182" s="142"/>
      <c r="M182" s="142"/>
      <c r="N182" s="146"/>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4"/>
    </row>
    <row r="183" ht="13.65" customHeight="1">
      <c r="A183" s="142"/>
      <c r="B183" s="142"/>
      <c r="C183" s="142"/>
      <c r="D183" s="142"/>
      <c r="E183" s="142"/>
      <c r="F183" s="142"/>
      <c r="G183" s="142"/>
      <c r="H183" s="142"/>
      <c r="I183" s="142"/>
      <c r="J183" s="142"/>
      <c r="K183" s="142"/>
      <c r="L183" s="142"/>
      <c r="M183" s="142"/>
      <c r="N183" s="146"/>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4"/>
    </row>
    <row r="184" ht="13.65" customHeight="1">
      <c r="A184" s="142"/>
      <c r="B184" s="142"/>
      <c r="C184" s="142"/>
      <c r="D184" s="142"/>
      <c r="E184" s="142"/>
      <c r="F184" s="142"/>
      <c r="G184" s="142"/>
      <c r="H184" s="142"/>
      <c r="I184" s="142"/>
      <c r="J184" s="142"/>
      <c r="K184" s="142"/>
      <c r="L184" s="142"/>
      <c r="M184" s="142"/>
      <c r="N184" s="146"/>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4"/>
    </row>
    <row r="185" ht="13.65" customHeight="1">
      <c r="A185" s="142"/>
      <c r="B185" s="142"/>
      <c r="C185" s="142"/>
      <c r="D185" s="142"/>
      <c r="E185" s="142"/>
      <c r="F185" s="142"/>
      <c r="G185" s="142"/>
      <c r="H185" s="142"/>
      <c r="I185" s="142"/>
      <c r="J185" s="142"/>
      <c r="K185" s="142"/>
      <c r="L185" s="142"/>
      <c r="M185" s="142"/>
      <c r="N185" s="146"/>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4"/>
    </row>
    <row r="186" ht="13.65" customHeight="1">
      <c r="A186" s="142"/>
      <c r="B186" s="142"/>
      <c r="C186" s="142"/>
      <c r="D186" s="142"/>
      <c r="E186" s="142"/>
      <c r="F186" s="142"/>
      <c r="G186" s="142"/>
      <c r="H186" s="142"/>
      <c r="I186" s="142"/>
      <c r="J186" s="142"/>
      <c r="K186" s="142"/>
      <c r="L186" s="142"/>
      <c r="M186" s="142"/>
      <c r="N186" s="146"/>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4"/>
    </row>
    <row r="187" ht="13.65" customHeight="1">
      <c r="A187" s="142"/>
      <c r="B187" s="142"/>
      <c r="C187" s="142"/>
      <c r="D187" s="142"/>
      <c r="E187" s="142"/>
      <c r="F187" s="142"/>
      <c r="G187" s="142"/>
      <c r="H187" s="142"/>
      <c r="I187" s="142"/>
      <c r="J187" s="142"/>
      <c r="K187" s="142"/>
      <c r="L187" s="142"/>
      <c r="M187" s="142"/>
      <c r="N187" s="146"/>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4"/>
    </row>
    <row r="188" ht="13.65" customHeight="1">
      <c r="A188" s="142"/>
      <c r="B188" s="142"/>
      <c r="C188" s="142"/>
      <c r="D188" s="142"/>
      <c r="E188" s="142"/>
      <c r="F188" s="142"/>
      <c r="G188" s="142"/>
      <c r="H188" s="142"/>
      <c r="I188" s="142"/>
      <c r="J188" s="142"/>
      <c r="K188" s="142"/>
      <c r="L188" s="142"/>
      <c r="M188" s="142"/>
      <c r="N188" s="146"/>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4"/>
    </row>
    <row r="189" ht="13.65" customHeight="1">
      <c r="A189" s="142"/>
      <c r="B189" s="142"/>
      <c r="C189" s="142"/>
      <c r="D189" s="142"/>
      <c r="E189" s="142"/>
      <c r="F189" s="142"/>
      <c r="G189" s="142"/>
      <c r="H189" s="142"/>
      <c r="I189" s="142"/>
      <c r="J189" s="142"/>
      <c r="K189" s="142"/>
      <c r="L189" s="142"/>
      <c r="M189" s="142"/>
      <c r="N189" s="146"/>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4"/>
    </row>
    <row r="190" ht="13.65" customHeight="1">
      <c r="A190" s="142"/>
      <c r="B190" s="142"/>
      <c r="C190" s="142"/>
      <c r="D190" s="142"/>
      <c r="E190" s="142"/>
      <c r="F190" s="142"/>
      <c r="G190" s="142"/>
      <c r="H190" s="142"/>
      <c r="I190" s="142"/>
      <c r="J190" s="142"/>
      <c r="K190" s="142"/>
      <c r="L190" s="142"/>
      <c r="M190" s="142"/>
      <c r="N190" s="146"/>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4"/>
    </row>
    <row r="191" ht="13.65" customHeight="1">
      <c r="A191" s="142"/>
      <c r="B191" s="142"/>
      <c r="C191" s="142"/>
      <c r="D191" s="142"/>
      <c r="E191" s="142"/>
      <c r="F191" s="142"/>
      <c r="G191" s="142"/>
      <c r="H191" s="142"/>
      <c r="I191" s="142"/>
      <c r="J191" s="142"/>
      <c r="K191" s="142"/>
      <c r="L191" s="142"/>
      <c r="M191" s="142"/>
      <c r="N191" s="146"/>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4"/>
    </row>
    <row r="192" ht="13.65" customHeight="1">
      <c r="A192" s="142"/>
      <c r="B192" s="142"/>
      <c r="C192" s="142"/>
      <c r="D192" s="142"/>
      <c r="E192" s="142"/>
      <c r="F192" s="142"/>
      <c r="G192" s="142"/>
      <c r="H192" s="142"/>
      <c r="I192" s="142"/>
      <c r="J192" s="142"/>
      <c r="K192" s="142"/>
      <c r="L192" s="142"/>
      <c r="M192" s="142"/>
      <c r="N192" s="146"/>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4"/>
    </row>
    <row r="193" ht="13.65" customHeight="1">
      <c r="A193" s="142"/>
      <c r="B193" s="142"/>
      <c r="C193" s="142"/>
      <c r="D193" s="142"/>
      <c r="E193" s="142"/>
      <c r="F193" s="142"/>
      <c r="G193" s="142"/>
      <c r="H193" s="142"/>
      <c r="I193" s="142"/>
      <c r="J193" s="142"/>
      <c r="K193" s="142"/>
      <c r="L193" s="142"/>
      <c r="M193" s="142"/>
      <c r="N193" s="146"/>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4"/>
    </row>
    <row r="194" ht="13.65" customHeight="1">
      <c r="A194" s="142"/>
      <c r="B194" s="142"/>
      <c r="C194" s="142"/>
      <c r="D194" s="142"/>
      <c r="E194" s="142"/>
      <c r="F194" s="142"/>
      <c r="G194" s="142"/>
      <c r="H194" s="142"/>
      <c r="I194" s="142"/>
      <c r="J194" s="142"/>
      <c r="K194" s="142"/>
      <c r="L194" s="142"/>
      <c r="M194" s="142"/>
      <c r="N194" s="146"/>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4"/>
    </row>
    <row r="195" ht="13.65" customHeight="1">
      <c r="A195" s="142"/>
      <c r="B195" s="142"/>
      <c r="C195" s="142"/>
      <c r="D195" s="142"/>
      <c r="E195" s="142"/>
      <c r="F195" s="142"/>
      <c r="G195" s="142"/>
      <c r="H195" s="142"/>
      <c r="I195" s="142"/>
      <c r="J195" s="142"/>
      <c r="K195" s="142"/>
      <c r="L195" s="142"/>
      <c r="M195" s="142"/>
      <c r="N195" s="146"/>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4"/>
    </row>
    <row r="196" ht="13.65" customHeight="1">
      <c r="A196" s="142"/>
      <c r="B196" s="142"/>
      <c r="C196" s="142"/>
      <c r="D196" s="142"/>
      <c r="E196" s="142"/>
      <c r="F196" s="142"/>
      <c r="G196" s="142"/>
      <c r="H196" s="142"/>
      <c r="I196" s="142"/>
      <c r="J196" s="142"/>
      <c r="K196" s="142"/>
      <c r="L196" s="142"/>
      <c r="M196" s="142"/>
      <c r="N196" s="146"/>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4"/>
    </row>
    <row r="197" ht="13.65" customHeight="1">
      <c r="A197" s="142"/>
      <c r="B197" s="142"/>
      <c r="C197" s="142"/>
      <c r="D197" s="142"/>
      <c r="E197" s="142"/>
      <c r="F197" s="142"/>
      <c r="G197" s="142"/>
      <c r="H197" s="142"/>
      <c r="I197" s="142"/>
      <c r="J197" s="142"/>
      <c r="K197" s="142"/>
      <c r="L197" s="142"/>
      <c r="M197" s="142"/>
      <c r="N197" s="146"/>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4"/>
    </row>
    <row r="198" ht="13.65" customHeight="1">
      <c r="A198" s="142"/>
      <c r="B198" s="142"/>
      <c r="C198" s="142"/>
      <c r="D198" s="142"/>
      <c r="E198" s="142"/>
      <c r="F198" s="142"/>
      <c r="G198" s="142"/>
      <c r="H198" s="142"/>
      <c r="I198" s="142"/>
      <c r="J198" s="142"/>
      <c r="K198" s="142"/>
      <c r="L198" s="142"/>
      <c r="M198" s="142"/>
      <c r="N198" s="146"/>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4"/>
    </row>
    <row r="199" ht="13.65" customHeight="1">
      <c r="A199" s="142"/>
      <c r="B199" s="142"/>
      <c r="C199" s="142"/>
      <c r="D199" s="142"/>
      <c r="E199" s="142"/>
      <c r="F199" s="142"/>
      <c r="G199" s="142"/>
      <c r="H199" s="142"/>
      <c r="I199" s="142"/>
      <c r="J199" s="142"/>
      <c r="K199" s="142"/>
      <c r="L199" s="142"/>
      <c r="M199" s="142"/>
      <c r="N199" s="146"/>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4"/>
    </row>
    <row r="200" ht="13.65" customHeight="1">
      <c r="A200" s="142"/>
      <c r="B200" s="142"/>
      <c r="C200" s="142"/>
      <c r="D200" s="142"/>
      <c r="E200" s="142"/>
      <c r="F200" s="142"/>
      <c r="G200" s="142"/>
      <c r="H200" s="142"/>
      <c r="I200" s="142"/>
      <c r="J200" s="142"/>
      <c r="K200" s="142"/>
      <c r="L200" s="142"/>
      <c r="M200" s="142"/>
      <c r="N200" s="146"/>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4"/>
    </row>
    <row r="201" ht="13.65" customHeight="1">
      <c r="A201" s="142"/>
      <c r="B201" s="142"/>
      <c r="C201" s="142"/>
      <c r="D201" s="142"/>
      <c r="E201" s="142"/>
      <c r="F201" s="142"/>
      <c r="G201" s="142"/>
      <c r="H201" s="142"/>
      <c r="I201" s="142"/>
      <c r="J201" s="142"/>
      <c r="K201" s="142"/>
      <c r="L201" s="142"/>
      <c r="M201" s="142"/>
      <c r="N201" s="146"/>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4"/>
    </row>
    <row r="202" ht="13.65" customHeight="1">
      <c r="A202" s="142"/>
      <c r="B202" s="142"/>
      <c r="C202" s="142"/>
      <c r="D202" s="142"/>
      <c r="E202" s="142"/>
      <c r="F202" s="142"/>
      <c r="G202" s="142"/>
      <c r="H202" s="142"/>
      <c r="I202" s="142"/>
      <c r="J202" s="142"/>
      <c r="K202" s="142"/>
      <c r="L202" s="142"/>
      <c r="M202" s="142"/>
      <c r="N202" s="146"/>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4"/>
    </row>
    <row r="203" ht="13.65" customHeight="1">
      <c r="A203" s="142"/>
      <c r="B203" s="142"/>
      <c r="C203" s="142"/>
      <c r="D203" s="142"/>
      <c r="E203" s="142"/>
      <c r="F203" s="142"/>
      <c r="G203" s="142"/>
      <c r="H203" s="142"/>
      <c r="I203" s="142"/>
      <c r="J203" s="142"/>
      <c r="K203" s="142"/>
      <c r="L203" s="142"/>
      <c r="M203" s="142"/>
      <c r="N203" s="146"/>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4"/>
    </row>
    <row r="204" ht="13.65" customHeight="1">
      <c r="A204" s="142"/>
      <c r="B204" s="142"/>
      <c r="C204" s="142"/>
      <c r="D204" s="142"/>
      <c r="E204" s="142"/>
      <c r="F204" s="142"/>
      <c r="G204" s="142"/>
      <c r="H204" s="142"/>
      <c r="I204" s="142"/>
      <c r="J204" s="142"/>
      <c r="K204" s="142"/>
      <c r="L204" s="142"/>
      <c r="M204" s="142"/>
      <c r="N204" s="146"/>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4"/>
    </row>
    <row r="205" ht="13.65" customHeight="1">
      <c r="A205" s="142"/>
      <c r="B205" s="142"/>
      <c r="C205" s="142"/>
      <c r="D205" s="142"/>
      <c r="E205" s="142"/>
      <c r="F205" s="142"/>
      <c r="G205" s="142"/>
      <c r="H205" s="142"/>
      <c r="I205" s="142"/>
      <c r="J205" s="142"/>
      <c r="K205" s="142"/>
      <c r="L205" s="142"/>
      <c r="M205" s="142"/>
      <c r="N205" s="146"/>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4"/>
    </row>
    <row r="206" ht="13.65" customHeight="1">
      <c r="A206" s="142"/>
      <c r="B206" s="142"/>
      <c r="C206" s="142"/>
      <c r="D206" s="142"/>
      <c r="E206" s="142"/>
      <c r="F206" s="142"/>
      <c r="G206" s="142"/>
      <c r="H206" s="142"/>
      <c r="I206" s="142"/>
      <c r="J206" s="142"/>
      <c r="K206" s="142"/>
      <c r="L206" s="142"/>
      <c r="M206" s="142"/>
      <c r="N206" s="146"/>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4"/>
    </row>
    <row r="207" ht="13.65" customHeight="1">
      <c r="A207" s="142"/>
      <c r="B207" s="142"/>
      <c r="C207" s="142"/>
      <c r="D207" s="142"/>
      <c r="E207" s="142"/>
      <c r="F207" s="142"/>
      <c r="G207" s="142"/>
      <c r="H207" s="142"/>
      <c r="I207" s="142"/>
      <c r="J207" s="142"/>
      <c r="K207" s="142"/>
      <c r="L207" s="142"/>
      <c r="M207" s="142"/>
      <c r="N207" s="146"/>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4"/>
    </row>
    <row r="208" ht="13.65" customHeight="1">
      <c r="A208" s="142"/>
      <c r="B208" s="142"/>
      <c r="C208" s="142"/>
      <c r="D208" s="142"/>
      <c r="E208" s="142"/>
      <c r="F208" s="142"/>
      <c r="G208" s="142"/>
      <c r="H208" s="142"/>
      <c r="I208" s="142"/>
      <c r="J208" s="142"/>
      <c r="K208" s="142"/>
      <c r="L208" s="142"/>
      <c r="M208" s="142"/>
      <c r="N208" s="146"/>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4"/>
    </row>
    <row r="209" ht="13.65" customHeight="1">
      <c r="A209" s="142"/>
      <c r="B209" s="142"/>
      <c r="C209" s="142"/>
      <c r="D209" s="142"/>
      <c r="E209" s="142"/>
      <c r="F209" s="142"/>
      <c r="G209" s="142"/>
      <c r="H209" s="142"/>
      <c r="I209" s="142"/>
      <c r="J209" s="142"/>
      <c r="K209" s="142"/>
      <c r="L209" s="142"/>
      <c r="M209" s="142"/>
      <c r="N209" s="146"/>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4"/>
    </row>
    <row r="210" ht="13.65" customHeight="1">
      <c r="A210" s="142"/>
      <c r="B210" s="142"/>
      <c r="C210" s="142"/>
      <c r="D210" s="142"/>
      <c r="E210" s="142"/>
      <c r="F210" s="142"/>
      <c r="G210" s="142"/>
      <c r="H210" s="142"/>
      <c r="I210" s="142"/>
      <c r="J210" s="142"/>
      <c r="K210" s="142"/>
      <c r="L210" s="142"/>
      <c r="M210" s="142"/>
      <c r="N210" s="146"/>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4"/>
    </row>
    <row r="211" ht="13.65" customHeight="1">
      <c r="A211" s="142"/>
      <c r="B211" s="142"/>
      <c r="C211" s="142"/>
      <c r="D211" s="142"/>
      <c r="E211" s="142"/>
      <c r="F211" s="142"/>
      <c r="G211" s="142"/>
      <c r="H211" s="142"/>
      <c r="I211" s="142"/>
      <c r="J211" s="142"/>
      <c r="K211" s="142"/>
      <c r="L211" s="142"/>
      <c r="M211" s="142"/>
      <c r="N211" s="146"/>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4"/>
    </row>
    <row r="212" ht="13.65" customHeight="1">
      <c r="A212" s="142"/>
      <c r="B212" s="142"/>
      <c r="C212" s="142"/>
      <c r="D212" s="142"/>
      <c r="E212" s="142"/>
      <c r="F212" s="142"/>
      <c r="G212" s="142"/>
      <c r="H212" s="142"/>
      <c r="I212" s="142"/>
      <c r="J212" s="142"/>
      <c r="K212" s="142"/>
      <c r="L212" s="142"/>
      <c r="M212" s="142"/>
      <c r="N212" s="146"/>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4"/>
    </row>
    <row r="213" ht="13.65" customHeight="1">
      <c r="A213" s="142"/>
      <c r="B213" s="142"/>
      <c r="C213" s="142"/>
      <c r="D213" s="142"/>
      <c r="E213" s="142"/>
      <c r="F213" s="142"/>
      <c r="G213" s="142"/>
      <c r="H213" s="142"/>
      <c r="I213" s="142"/>
      <c r="J213" s="142"/>
      <c r="K213" s="142"/>
      <c r="L213" s="142"/>
      <c r="M213" s="142"/>
      <c r="N213" s="146"/>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4"/>
    </row>
    <row r="214" ht="13.65" customHeight="1">
      <c r="A214" s="142"/>
      <c r="B214" s="142"/>
      <c r="C214" s="142"/>
      <c r="D214" s="142"/>
      <c r="E214" s="142"/>
      <c r="F214" s="142"/>
      <c r="G214" s="142"/>
      <c r="H214" s="142"/>
      <c r="I214" s="142"/>
      <c r="J214" s="142"/>
      <c r="K214" s="142"/>
      <c r="L214" s="142"/>
      <c r="M214" s="142"/>
      <c r="N214" s="146"/>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4"/>
    </row>
    <row r="215" ht="13.65" customHeight="1">
      <c r="A215" s="142"/>
      <c r="B215" s="142"/>
      <c r="C215" s="142"/>
      <c r="D215" s="142"/>
      <c r="E215" s="142"/>
      <c r="F215" s="142"/>
      <c r="G215" s="142"/>
      <c r="H215" s="142"/>
      <c r="I215" s="142"/>
      <c r="J215" s="142"/>
      <c r="K215" s="142"/>
      <c r="L215" s="142"/>
      <c r="M215" s="142"/>
      <c r="N215" s="146"/>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4"/>
    </row>
    <row r="216" ht="13.65" customHeight="1">
      <c r="A216" s="142"/>
      <c r="B216" s="142"/>
      <c r="C216" s="142"/>
      <c r="D216" s="142"/>
      <c r="E216" s="142"/>
      <c r="F216" s="142"/>
      <c r="G216" s="142"/>
      <c r="H216" s="142"/>
      <c r="I216" s="142"/>
      <c r="J216" s="142"/>
      <c r="K216" s="142"/>
      <c r="L216" s="142"/>
      <c r="M216" s="142"/>
      <c r="N216" s="146"/>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4"/>
    </row>
    <row r="217" ht="13.65" customHeight="1">
      <c r="A217" s="142"/>
      <c r="B217" s="142"/>
      <c r="C217" s="142"/>
      <c r="D217" s="142"/>
      <c r="E217" s="142"/>
      <c r="F217" s="142"/>
      <c r="G217" s="142"/>
      <c r="H217" s="142"/>
      <c r="I217" s="142"/>
      <c r="J217" s="142"/>
      <c r="K217" s="142"/>
      <c r="L217" s="142"/>
      <c r="M217" s="142"/>
      <c r="N217" s="146"/>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4"/>
    </row>
    <row r="218" ht="13.65" customHeight="1">
      <c r="A218" s="142"/>
      <c r="B218" s="142"/>
      <c r="C218" s="142"/>
      <c r="D218" s="142"/>
      <c r="E218" s="142"/>
      <c r="F218" s="142"/>
      <c r="G218" s="142"/>
      <c r="H218" s="142"/>
      <c r="I218" s="142"/>
      <c r="J218" s="142"/>
      <c r="K218" s="142"/>
      <c r="L218" s="142"/>
      <c r="M218" s="142"/>
      <c r="N218" s="146"/>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4"/>
    </row>
    <row r="219" ht="13.65" customHeight="1">
      <c r="A219" s="142"/>
      <c r="B219" s="142"/>
      <c r="C219" s="142"/>
      <c r="D219" s="142"/>
      <c r="E219" s="142"/>
      <c r="F219" s="142"/>
      <c r="G219" s="142"/>
      <c r="H219" s="142"/>
      <c r="I219" s="142"/>
      <c r="J219" s="142"/>
      <c r="K219" s="142"/>
      <c r="L219" s="142"/>
      <c r="M219" s="142"/>
      <c r="N219" s="146"/>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4"/>
    </row>
    <row r="220" ht="13.65" customHeight="1">
      <c r="A220" s="142"/>
      <c r="B220" s="142"/>
      <c r="C220" s="142"/>
      <c r="D220" s="142"/>
      <c r="E220" s="142"/>
      <c r="F220" s="142"/>
      <c r="G220" s="142"/>
      <c r="H220" s="142"/>
      <c r="I220" s="142"/>
      <c r="J220" s="142"/>
      <c r="K220" s="142"/>
      <c r="L220" s="142"/>
      <c r="M220" s="142"/>
      <c r="N220" s="146"/>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4"/>
    </row>
    <row r="221" ht="13.65" customHeight="1">
      <c r="A221" s="142"/>
      <c r="B221" s="142"/>
      <c r="C221" s="142"/>
      <c r="D221" s="142"/>
      <c r="E221" s="142"/>
      <c r="F221" s="142"/>
      <c r="G221" s="142"/>
      <c r="H221" s="142"/>
      <c r="I221" s="142"/>
      <c r="J221" s="142"/>
      <c r="K221" s="142"/>
      <c r="L221" s="142"/>
      <c r="M221" s="142"/>
      <c r="N221" s="146"/>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4"/>
    </row>
    <row r="222" ht="13.65" customHeight="1">
      <c r="A222" s="142"/>
      <c r="B222" s="142"/>
      <c r="C222" s="142"/>
      <c r="D222" s="142"/>
      <c r="E222" s="142"/>
      <c r="F222" s="142"/>
      <c r="G222" s="142"/>
      <c r="H222" s="142"/>
      <c r="I222" s="142"/>
      <c r="J222" s="142"/>
      <c r="K222" s="142"/>
      <c r="L222" s="142"/>
      <c r="M222" s="142"/>
      <c r="N222" s="146"/>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4"/>
    </row>
    <row r="223" ht="13.65" customHeight="1">
      <c r="A223" s="142"/>
      <c r="B223" s="142"/>
      <c r="C223" s="142"/>
      <c r="D223" s="142"/>
      <c r="E223" s="142"/>
      <c r="F223" s="142"/>
      <c r="G223" s="142"/>
      <c r="H223" s="142"/>
      <c r="I223" s="142"/>
      <c r="J223" s="142"/>
      <c r="K223" s="142"/>
      <c r="L223" s="142"/>
      <c r="M223" s="142"/>
      <c r="N223" s="146"/>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4"/>
    </row>
    <row r="224" ht="13.65" customHeight="1">
      <c r="A224" s="142"/>
      <c r="B224" s="142"/>
      <c r="C224" s="142"/>
      <c r="D224" s="142"/>
      <c r="E224" s="142"/>
      <c r="F224" s="142"/>
      <c r="G224" s="142"/>
      <c r="H224" s="142"/>
      <c r="I224" s="142"/>
      <c r="J224" s="142"/>
      <c r="K224" s="142"/>
      <c r="L224" s="142"/>
      <c r="M224" s="142"/>
      <c r="N224" s="146"/>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4"/>
    </row>
    <row r="225" ht="13.65" customHeight="1">
      <c r="A225" s="142"/>
      <c r="B225" s="142"/>
      <c r="C225" s="142"/>
      <c r="D225" s="142"/>
      <c r="E225" s="142"/>
      <c r="F225" s="142"/>
      <c r="G225" s="142"/>
      <c r="H225" s="142"/>
      <c r="I225" s="142"/>
      <c r="J225" s="142"/>
      <c r="K225" s="142"/>
      <c r="L225" s="142"/>
      <c r="M225" s="142"/>
      <c r="N225" s="146"/>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4"/>
    </row>
    <row r="226" ht="13.65" customHeight="1">
      <c r="A226" s="142"/>
      <c r="B226" s="142"/>
      <c r="C226" s="142"/>
      <c r="D226" s="142"/>
      <c r="E226" s="142"/>
      <c r="F226" s="142"/>
      <c r="G226" s="142"/>
      <c r="H226" s="142"/>
      <c r="I226" s="142"/>
      <c r="J226" s="142"/>
      <c r="K226" s="142"/>
      <c r="L226" s="142"/>
      <c r="M226" s="142"/>
      <c r="N226" s="146"/>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4"/>
    </row>
    <row r="227" ht="13.65" customHeight="1">
      <c r="A227" s="142"/>
      <c r="B227" s="142"/>
      <c r="C227" s="142"/>
      <c r="D227" s="142"/>
      <c r="E227" s="142"/>
      <c r="F227" s="142"/>
      <c r="G227" s="142"/>
      <c r="H227" s="142"/>
      <c r="I227" s="142"/>
      <c r="J227" s="142"/>
      <c r="K227" s="142"/>
      <c r="L227" s="142"/>
      <c r="M227" s="142"/>
      <c r="N227" s="146"/>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4"/>
    </row>
    <row r="228" ht="13.65" customHeight="1">
      <c r="A228" s="142"/>
      <c r="B228" s="142"/>
      <c r="C228" s="142"/>
      <c r="D228" s="142"/>
      <c r="E228" s="142"/>
      <c r="F228" s="142"/>
      <c r="G228" s="142"/>
      <c r="H228" s="142"/>
      <c r="I228" s="142"/>
      <c r="J228" s="142"/>
      <c r="K228" s="142"/>
      <c r="L228" s="142"/>
      <c r="M228" s="142"/>
      <c r="N228" s="146"/>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4"/>
    </row>
    <row r="229" ht="13.65" customHeight="1">
      <c r="A229" s="142"/>
      <c r="B229" s="142"/>
      <c r="C229" s="142"/>
      <c r="D229" s="142"/>
      <c r="E229" s="142"/>
      <c r="F229" s="142"/>
      <c r="G229" s="142"/>
      <c r="H229" s="142"/>
      <c r="I229" s="142"/>
      <c r="J229" s="142"/>
      <c r="K229" s="142"/>
      <c r="L229" s="142"/>
      <c r="M229" s="142"/>
      <c r="N229" s="146"/>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4"/>
    </row>
    <row r="230" ht="13.65" customHeight="1">
      <c r="A230" s="142"/>
      <c r="B230" s="142"/>
      <c r="C230" s="142"/>
      <c r="D230" s="142"/>
      <c r="E230" s="142"/>
      <c r="F230" s="142"/>
      <c r="G230" s="142"/>
      <c r="H230" s="142"/>
      <c r="I230" s="142"/>
      <c r="J230" s="142"/>
      <c r="K230" s="142"/>
      <c r="L230" s="142"/>
      <c r="M230" s="142"/>
      <c r="N230" s="146"/>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4"/>
    </row>
    <row r="231" ht="13.65" customHeight="1">
      <c r="A231" s="142"/>
      <c r="B231" s="142"/>
      <c r="C231" s="142"/>
      <c r="D231" s="142"/>
      <c r="E231" s="142"/>
      <c r="F231" s="142"/>
      <c r="G231" s="142"/>
      <c r="H231" s="142"/>
      <c r="I231" s="142"/>
      <c r="J231" s="142"/>
      <c r="K231" s="142"/>
      <c r="L231" s="142"/>
      <c r="M231" s="142"/>
      <c r="N231" s="146"/>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4"/>
    </row>
    <row r="232" ht="13.65" customHeight="1">
      <c r="A232" s="142"/>
      <c r="B232" s="142"/>
      <c r="C232" s="142"/>
      <c r="D232" s="142"/>
      <c r="E232" s="142"/>
      <c r="F232" s="142"/>
      <c r="G232" s="142"/>
      <c r="H232" s="142"/>
      <c r="I232" s="142"/>
      <c r="J232" s="142"/>
      <c r="K232" s="142"/>
      <c r="L232" s="142"/>
      <c r="M232" s="142"/>
      <c r="N232" s="146"/>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4"/>
    </row>
    <row r="233" ht="13.65" customHeight="1">
      <c r="A233" s="142"/>
      <c r="B233" s="142"/>
      <c r="C233" s="142"/>
      <c r="D233" s="142"/>
      <c r="E233" s="142"/>
      <c r="F233" s="142"/>
      <c r="G233" s="142"/>
      <c r="H233" s="142"/>
      <c r="I233" s="142"/>
      <c r="J233" s="142"/>
      <c r="K233" s="142"/>
      <c r="L233" s="142"/>
      <c r="M233" s="142"/>
      <c r="N233" s="146"/>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4"/>
    </row>
    <row r="234" ht="13.65" customHeight="1">
      <c r="A234" s="142"/>
      <c r="B234" s="142"/>
      <c r="C234" s="142"/>
      <c r="D234" s="142"/>
      <c r="E234" s="142"/>
      <c r="F234" s="142"/>
      <c r="G234" s="142"/>
      <c r="H234" s="142"/>
      <c r="I234" s="142"/>
      <c r="J234" s="142"/>
      <c r="K234" s="142"/>
      <c r="L234" s="142"/>
      <c r="M234" s="142"/>
      <c r="N234" s="146"/>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4"/>
    </row>
    <row r="235" ht="13.65" customHeight="1">
      <c r="A235" s="142"/>
      <c r="B235" s="142"/>
      <c r="C235" s="142"/>
      <c r="D235" s="142"/>
      <c r="E235" s="142"/>
      <c r="F235" s="142"/>
      <c r="G235" s="142"/>
      <c r="H235" s="142"/>
      <c r="I235" s="142"/>
      <c r="J235" s="142"/>
      <c r="K235" s="142"/>
      <c r="L235" s="142"/>
      <c r="M235" s="142"/>
      <c r="N235" s="146"/>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4"/>
    </row>
    <row r="236" ht="13.65" customHeight="1">
      <c r="A236" s="142"/>
      <c r="B236" s="142"/>
      <c r="C236" s="142"/>
      <c r="D236" s="142"/>
      <c r="E236" s="142"/>
      <c r="F236" s="142"/>
      <c r="G236" s="142"/>
      <c r="H236" s="142"/>
      <c r="I236" s="142"/>
      <c r="J236" s="142"/>
      <c r="K236" s="142"/>
      <c r="L236" s="142"/>
      <c r="M236" s="142"/>
      <c r="N236" s="146"/>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4"/>
    </row>
    <row r="237" ht="13.65" customHeight="1">
      <c r="A237" s="142"/>
      <c r="B237" s="142"/>
      <c r="C237" s="142"/>
      <c r="D237" s="142"/>
      <c r="E237" s="142"/>
      <c r="F237" s="142"/>
      <c r="G237" s="142"/>
      <c r="H237" s="142"/>
      <c r="I237" s="142"/>
      <c r="J237" s="142"/>
      <c r="K237" s="142"/>
      <c r="L237" s="142"/>
      <c r="M237" s="142"/>
      <c r="N237" s="146"/>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4"/>
    </row>
    <row r="238" ht="13.65" customHeight="1">
      <c r="A238" s="142"/>
      <c r="B238" s="142"/>
      <c r="C238" s="142"/>
      <c r="D238" s="142"/>
      <c r="E238" s="142"/>
      <c r="F238" s="142"/>
      <c r="G238" s="142"/>
      <c r="H238" s="142"/>
      <c r="I238" s="142"/>
      <c r="J238" s="142"/>
      <c r="K238" s="142"/>
      <c r="L238" s="142"/>
      <c r="M238" s="142"/>
      <c r="N238" s="146"/>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4"/>
    </row>
    <row r="239" ht="13.65" customHeight="1">
      <c r="A239" s="142"/>
      <c r="B239" s="142"/>
      <c r="C239" s="142"/>
      <c r="D239" s="142"/>
      <c r="E239" s="142"/>
      <c r="F239" s="142"/>
      <c r="G239" s="142"/>
      <c r="H239" s="142"/>
      <c r="I239" s="142"/>
      <c r="J239" s="142"/>
      <c r="K239" s="142"/>
      <c r="L239" s="142"/>
      <c r="M239" s="142"/>
      <c r="N239" s="146"/>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4"/>
    </row>
    <row r="240" ht="13.65" customHeight="1">
      <c r="A240" s="142"/>
      <c r="B240" s="142"/>
      <c r="C240" s="142"/>
      <c r="D240" s="142"/>
      <c r="E240" s="142"/>
      <c r="F240" s="142"/>
      <c r="G240" s="142"/>
      <c r="H240" s="142"/>
      <c r="I240" s="142"/>
      <c r="J240" s="142"/>
      <c r="K240" s="142"/>
      <c r="L240" s="142"/>
      <c r="M240" s="142"/>
      <c r="N240" s="146"/>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4"/>
    </row>
    <row r="241" ht="13.65" customHeight="1">
      <c r="A241" s="142"/>
      <c r="B241" s="142"/>
      <c r="C241" s="142"/>
      <c r="D241" s="142"/>
      <c r="E241" s="142"/>
      <c r="F241" s="142"/>
      <c r="G241" s="142"/>
      <c r="H241" s="142"/>
      <c r="I241" s="142"/>
      <c r="J241" s="142"/>
      <c r="K241" s="142"/>
      <c r="L241" s="142"/>
      <c r="M241" s="142"/>
      <c r="N241" s="146"/>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4"/>
    </row>
    <row r="242" ht="13.65" customHeight="1">
      <c r="A242" s="142"/>
      <c r="B242" s="142"/>
      <c r="C242" s="142"/>
      <c r="D242" s="142"/>
      <c r="E242" s="142"/>
      <c r="F242" s="142"/>
      <c r="G242" s="142"/>
      <c r="H242" s="142"/>
      <c r="I242" s="142"/>
      <c r="J242" s="142"/>
      <c r="K242" s="142"/>
      <c r="L242" s="142"/>
      <c r="M242" s="142"/>
      <c r="N242" s="146"/>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4"/>
    </row>
    <row r="243" ht="13.65" customHeight="1">
      <c r="A243" s="142"/>
      <c r="B243" s="142"/>
      <c r="C243" s="142"/>
      <c r="D243" s="142"/>
      <c r="E243" s="142"/>
      <c r="F243" s="142"/>
      <c r="G243" s="142"/>
      <c r="H243" s="142"/>
      <c r="I243" s="142"/>
      <c r="J243" s="142"/>
      <c r="K243" s="142"/>
      <c r="L243" s="142"/>
      <c r="M243" s="142"/>
      <c r="N243" s="146"/>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4"/>
    </row>
    <row r="244" ht="13.65" customHeight="1">
      <c r="A244" s="142"/>
      <c r="B244" s="142"/>
      <c r="C244" s="142"/>
      <c r="D244" s="142"/>
      <c r="E244" s="142"/>
      <c r="F244" s="142"/>
      <c r="G244" s="142"/>
      <c r="H244" s="142"/>
      <c r="I244" s="142"/>
      <c r="J244" s="142"/>
      <c r="K244" s="142"/>
      <c r="L244" s="142"/>
      <c r="M244" s="142"/>
      <c r="N244" s="146"/>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4"/>
    </row>
    <row r="245" ht="13.65" customHeight="1">
      <c r="A245" s="142"/>
      <c r="B245" s="142"/>
      <c r="C245" s="142"/>
      <c r="D245" s="142"/>
      <c r="E245" s="142"/>
      <c r="F245" s="142"/>
      <c r="G245" s="142"/>
      <c r="H245" s="142"/>
      <c r="I245" s="142"/>
      <c r="J245" s="142"/>
      <c r="K245" s="142"/>
      <c r="L245" s="142"/>
      <c r="M245" s="142"/>
      <c r="N245" s="146"/>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4"/>
    </row>
    <row r="246" ht="13.65" customHeight="1">
      <c r="A246" s="142"/>
      <c r="B246" s="142"/>
      <c r="C246" s="142"/>
      <c r="D246" s="142"/>
      <c r="E246" s="142"/>
      <c r="F246" s="142"/>
      <c r="G246" s="142"/>
      <c r="H246" s="142"/>
      <c r="I246" s="142"/>
      <c r="J246" s="142"/>
      <c r="K246" s="142"/>
      <c r="L246" s="142"/>
      <c r="M246" s="142"/>
      <c r="N246" s="146"/>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4"/>
    </row>
    <row r="247" ht="13.65" customHeight="1">
      <c r="A247" s="142"/>
      <c r="B247" s="142"/>
      <c r="C247" s="142"/>
      <c r="D247" s="142"/>
      <c r="E247" s="142"/>
      <c r="F247" s="142"/>
      <c r="G247" s="142"/>
      <c r="H247" s="142"/>
      <c r="I247" s="142"/>
      <c r="J247" s="142"/>
      <c r="K247" s="142"/>
      <c r="L247" s="142"/>
      <c r="M247" s="142"/>
      <c r="N247" s="146"/>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4"/>
    </row>
    <row r="248" ht="13.65" customHeight="1">
      <c r="A248" s="142"/>
      <c r="B248" s="142"/>
      <c r="C248" s="142"/>
      <c r="D248" s="142"/>
      <c r="E248" s="142"/>
      <c r="F248" s="142"/>
      <c r="G248" s="142"/>
      <c r="H248" s="142"/>
      <c r="I248" s="142"/>
      <c r="J248" s="142"/>
      <c r="K248" s="142"/>
      <c r="L248" s="142"/>
      <c r="M248" s="142"/>
      <c r="N248" s="146"/>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4"/>
    </row>
    <row r="249" ht="13.65" customHeight="1">
      <c r="A249" s="142"/>
      <c r="B249" s="142"/>
      <c r="C249" s="142"/>
      <c r="D249" s="142"/>
      <c r="E249" s="142"/>
      <c r="F249" s="142"/>
      <c r="G249" s="142"/>
      <c r="H249" s="142"/>
      <c r="I249" s="142"/>
      <c r="J249" s="142"/>
      <c r="K249" s="142"/>
      <c r="L249" s="142"/>
      <c r="M249" s="142"/>
      <c r="N249" s="146"/>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4"/>
    </row>
    <row r="250" ht="13.65" customHeight="1">
      <c r="A250" s="142"/>
      <c r="B250" s="142"/>
      <c r="C250" s="142"/>
      <c r="D250" s="142"/>
      <c r="E250" s="142"/>
      <c r="F250" s="142"/>
      <c r="G250" s="142"/>
      <c r="H250" s="142"/>
      <c r="I250" s="142"/>
      <c r="J250" s="142"/>
      <c r="K250" s="142"/>
      <c r="L250" s="142"/>
      <c r="M250" s="142"/>
      <c r="N250" s="146"/>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4"/>
    </row>
    <row r="251" ht="13.65" customHeight="1">
      <c r="A251" s="142"/>
      <c r="B251" s="142"/>
      <c r="C251" s="142"/>
      <c r="D251" s="142"/>
      <c r="E251" s="142"/>
      <c r="F251" s="142"/>
      <c r="G251" s="142"/>
      <c r="H251" s="142"/>
      <c r="I251" s="142"/>
      <c r="J251" s="142"/>
      <c r="K251" s="142"/>
      <c r="L251" s="142"/>
      <c r="M251" s="142"/>
      <c r="N251" s="146"/>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4"/>
    </row>
    <row r="252" ht="13.65" customHeight="1">
      <c r="A252" s="142"/>
      <c r="B252" s="142"/>
      <c r="C252" s="142"/>
      <c r="D252" s="142"/>
      <c r="E252" s="142"/>
      <c r="F252" s="142"/>
      <c r="G252" s="142"/>
      <c r="H252" s="142"/>
      <c r="I252" s="142"/>
      <c r="J252" s="142"/>
      <c r="K252" s="142"/>
      <c r="L252" s="142"/>
      <c r="M252" s="142"/>
      <c r="N252" s="146"/>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4"/>
    </row>
    <row r="253" ht="13.65" customHeight="1">
      <c r="A253" s="142"/>
      <c r="B253" s="142"/>
      <c r="C253" s="142"/>
      <c r="D253" s="142"/>
      <c r="E253" s="142"/>
      <c r="F253" s="142"/>
      <c r="G253" s="142"/>
      <c r="H253" s="142"/>
      <c r="I253" s="142"/>
      <c r="J253" s="142"/>
      <c r="K253" s="142"/>
      <c r="L253" s="142"/>
      <c r="M253" s="142"/>
      <c r="N253" s="146"/>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4"/>
    </row>
    <row r="254" ht="13.65" customHeight="1">
      <c r="A254" s="142"/>
      <c r="B254" s="142"/>
      <c r="C254" s="142"/>
      <c r="D254" s="142"/>
      <c r="E254" s="142"/>
      <c r="F254" s="142"/>
      <c r="G254" s="142"/>
      <c r="H254" s="142"/>
      <c r="I254" s="142"/>
      <c r="J254" s="142"/>
      <c r="K254" s="142"/>
      <c r="L254" s="142"/>
      <c r="M254" s="142"/>
      <c r="N254" s="146"/>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4"/>
    </row>
    <row r="255" ht="13.65" customHeight="1">
      <c r="A255" s="142"/>
      <c r="B255" s="142"/>
      <c r="C255" s="142"/>
      <c r="D255" s="142"/>
      <c r="E255" s="142"/>
      <c r="F255" s="142"/>
      <c r="G255" s="142"/>
      <c r="H255" s="142"/>
      <c r="I255" s="142"/>
      <c r="J255" s="142"/>
      <c r="K255" s="142"/>
      <c r="L255" s="142"/>
      <c r="M255" s="142"/>
      <c r="N255" s="146"/>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4"/>
    </row>
    <row r="256" ht="13.65" customHeight="1">
      <c r="A256" s="142"/>
      <c r="B256" s="142"/>
      <c r="C256" s="142"/>
      <c r="D256" s="142"/>
      <c r="E256" s="142"/>
      <c r="F256" s="142"/>
      <c r="G256" s="142"/>
      <c r="H256" s="142"/>
      <c r="I256" s="142"/>
      <c r="J256" s="142"/>
      <c r="K256" s="142"/>
      <c r="L256" s="142"/>
      <c r="M256" s="142"/>
      <c r="N256" s="146"/>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4"/>
    </row>
    <row r="257" ht="13.65" customHeight="1">
      <c r="A257" s="142"/>
      <c r="B257" s="142"/>
      <c r="C257" s="142"/>
      <c r="D257" s="142"/>
      <c r="E257" s="142"/>
      <c r="F257" s="142"/>
      <c r="G257" s="142"/>
      <c r="H257" s="142"/>
      <c r="I257" s="142"/>
      <c r="J257" s="142"/>
      <c r="K257" s="142"/>
      <c r="L257" s="142"/>
      <c r="M257" s="142"/>
      <c r="N257" s="146"/>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4"/>
    </row>
    <row r="258" ht="13.65" customHeight="1">
      <c r="A258" s="142"/>
      <c r="B258" s="142"/>
      <c r="C258" s="142"/>
      <c r="D258" s="142"/>
      <c r="E258" s="142"/>
      <c r="F258" s="142"/>
      <c r="G258" s="142"/>
      <c r="H258" s="142"/>
      <c r="I258" s="142"/>
      <c r="J258" s="142"/>
      <c r="K258" s="142"/>
      <c r="L258" s="142"/>
      <c r="M258" s="142"/>
      <c r="N258" s="146"/>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4"/>
    </row>
    <row r="259" ht="13.65" customHeight="1">
      <c r="A259" s="142"/>
      <c r="B259" s="142"/>
      <c r="C259" s="142"/>
      <c r="D259" s="142"/>
      <c r="E259" s="142"/>
      <c r="F259" s="142"/>
      <c r="G259" s="142"/>
      <c r="H259" s="142"/>
      <c r="I259" s="142"/>
      <c r="J259" s="142"/>
      <c r="K259" s="142"/>
      <c r="L259" s="142"/>
      <c r="M259" s="142"/>
      <c r="N259" s="146"/>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4"/>
    </row>
    <row r="260" ht="13.65" customHeight="1">
      <c r="A260" s="142"/>
      <c r="B260" s="142"/>
      <c r="C260" s="142"/>
      <c r="D260" s="142"/>
      <c r="E260" s="142"/>
      <c r="F260" s="142"/>
      <c r="G260" s="142"/>
      <c r="H260" s="142"/>
      <c r="I260" s="142"/>
      <c r="J260" s="142"/>
      <c r="K260" s="142"/>
      <c r="L260" s="142"/>
      <c r="M260" s="142"/>
      <c r="N260" s="146"/>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4"/>
    </row>
    <row r="261" ht="13.65" customHeight="1">
      <c r="A261" s="142"/>
      <c r="B261" s="142"/>
      <c r="C261" s="142"/>
      <c r="D261" s="142"/>
      <c r="E261" s="142"/>
      <c r="F261" s="142"/>
      <c r="G261" s="142"/>
      <c r="H261" s="142"/>
      <c r="I261" s="142"/>
      <c r="J261" s="142"/>
      <c r="K261" s="142"/>
      <c r="L261" s="142"/>
      <c r="M261" s="142"/>
      <c r="N261" s="146"/>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4"/>
    </row>
    <row r="262" ht="13.65" customHeight="1">
      <c r="A262" s="142"/>
      <c r="B262" s="142"/>
      <c r="C262" s="142"/>
      <c r="D262" s="142"/>
      <c r="E262" s="142"/>
      <c r="F262" s="142"/>
      <c r="G262" s="142"/>
      <c r="H262" s="142"/>
      <c r="I262" s="142"/>
      <c r="J262" s="142"/>
      <c r="K262" s="142"/>
      <c r="L262" s="142"/>
      <c r="M262" s="142"/>
      <c r="N262" s="146"/>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4"/>
    </row>
    <row r="263" ht="13.65" customHeight="1">
      <c r="A263" s="142"/>
      <c r="B263" s="142"/>
      <c r="C263" s="142"/>
      <c r="D263" s="142"/>
      <c r="E263" s="142"/>
      <c r="F263" s="142"/>
      <c r="G263" s="142"/>
      <c r="H263" s="142"/>
      <c r="I263" s="142"/>
      <c r="J263" s="142"/>
      <c r="K263" s="142"/>
      <c r="L263" s="142"/>
      <c r="M263" s="142"/>
      <c r="N263" s="146"/>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4"/>
    </row>
    <row r="264" ht="13.65" customHeight="1">
      <c r="A264" s="142"/>
      <c r="B264" s="142"/>
      <c r="C264" s="142"/>
      <c r="D264" s="142"/>
      <c r="E264" s="142"/>
      <c r="F264" s="142"/>
      <c r="G264" s="142"/>
      <c r="H264" s="142"/>
      <c r="I264" s="142"/>
      <c r="J264" s="142"/>
      <c r="K264" s="142"/>
      <c r="L264" s="142"/>
      <c r="M264" s="142"/>
      <c r="N264" s="146"/>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4"/>
    </row>
    <row r="265" ht="13.65" customHeight="1">
      <c r="A265" s="142"/>
      <c r="B265" s="142"/>
      <c r="C265" s="142"/>
      <c r="D265" s="142"/>
      <c r="E265" s="142"/>
      <c r="F265" s="142"/>
      <c r="G265" s="142"/>
      <c r="H265" s="142"/>
      <c r="I265" s="142"/>
      <c r="J265" s="142"/>
      <c r="K265" s="142"/>
      <c r="L265" s="142"/>
      <c r="M265" s="142"/>
      <c r="N265" s="146"/>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4"/>
    </row>
    <row r="266" ht="13.65" customHeight="1">
      <c r="A266" s="142"/>
      <c r="B266" s="142"/>
      <c r="C266" s="142"/>
      <c r="D266" s="142"/>
      <c r="E266" s="142"/>
      <c r="F266" s="142"/>
      <c r="G266" s="142"/>
      <c r="H266" s="142"/>
      <c r="I266" s="142"/>
      <c r="J266" s="142"/>
      <c r="K266" s="142"/>
      <c r="L266" s="142"/>
      <c r="M266" s="142"/>
      <c r="N266" s="146"/>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4"/>
    </row>
    <row r="267" ht="13.65" customHeight="1">
      <c r="A267" s="142"/>
      <c r="B267" s="142"/>
      <c r="C267" s="142"/>
      <c r="D267" s="142"/>
      <c r="E267" s="142"/>
      <c r="F267" s="142"/>
      <c r="G267" s="142"/>
      <c r="H267" s="142"/>
      <c r="I267" s="142"/>
      <c r="J267" s="142"/>
      <c r="K267" s="142"/>
      <c r="L267" s="142"/>
      <c r="M267" s="142"/>
      <c r="N267" s="146"/>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4"/>
    </row>
    <row r="268" ht="13.65" customHeight="1">
      <c r="A268" s="142"/>
      <c r="B268" s="142"/>
      <c r="C268" s="142"/>
      <c r="D268" s="142"/>
      <c r="E268" s="142"/>
      <c r="F268" s="142"/>
      <c r="G268" s="142"/>
      <c r="H268" s="142"/>
      <c r="I268" s="142"/>
      <c r="J268" s="142"/>
      <c r="K268" s="142"/>
      <c r="L268" s="142"/>
      <c r="M268" s="142"/>
      <c r="N268" s="146"/>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4"/>
    </row>
    <row r="269" ht="13.65" customHeight="1">
      <c r="A269" s="142"/>
      <c r="B269" s="142"/>
      <c r="C269" s="142"/>
      <c r="D269" s="142"/>
      <c r="E269" s="142"/>
      <c r="F269" s="142"/>
      <c r="G269" s="142"/>
      <c r="H269" s="142"/>
      <c r="I269" s="142"/>
      <c r="J269" s="142"/>
      <c r="K269" s="142"/>
      <c r="L269" s="142"/>
      <c r="M269" s="142"/>
      <c r="N269" s="146"/>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4"/>
    </row>
    <row r="270" ht="13.65" customHeight="1">
      <c r="A270" s="142"/>
      <c r="B270" s="142"/>
      <c r="C270" s="142"/>
      <c r="D270" s="142"/>
      <c r="E270" s="142"/>
      <c r="F270" s="142"/>
      <c r="G270" s="142"/>
      <c r="H270" s="142"/>
      <c r="I270" s="142"/>
      <c r="J270" s="142"/>
      <c r="K270" s="142"/>
      <c r="L270" s="142"/>
      <c r="M270" s="142"/>
      <c r="N270" s="146"/>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4"/>
    </row>
    <row r="271" ht="13.65" customHeight="1">
      <c r="A271" s="142"/>
      <c r="B271" s="142"/>
      <c r="C271" s="142"/>
      <c r="D271" s="142"/>
      <c r="E271" s="142"/>
      <c r="F271" s="142"/>
      <c r="G271" s="142"/>
      <c r="H271" s="142"/>
      <c r="I271" s="142"/>
      <c r="J271" s="142"/>
      <c r="K271" s="142"/>
      <c r="L271" s="142"/>
      <c r="M271" s="142"/>
      <c r="N271" s="146"/>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4"/>
    </row>
    <row r="272" ht="13.65" customHeight="1">
      <c r="A272" s="142"/>
      <c r="B272" s="142"/>
      <c r="C272" s="142"/>
      <c r="D272" s="142"/>
      <c r="E272" s="142"/>
      <c r="F272" s="142"/>
      <c r="G272" s="142"/>
      <c r="H272" s="142"/>
      <c r="I272" s="142"/>
      <c r="J272" s="142"/>
      <c r="K272" s="142"/>
      <c r="L272" s="142"/>
      <c r="M272" s="142"/>
      <c r="N272" s="146"/>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4"/>
    </row>
    <row r="273" ht="13.65" customHeight="1">
      <c r="A273" s="142"/>
      <c r="B273" s="142"/>
      <c r="C273" s="142"/>
      <c r="D273" s="142"/>
      <c r="E273" s="142"/>
      <c r="F273" s="142"/>
      <c r="G273" s="142"/>
      <c r="H273" s="142"/>
      <c r="I273" s="142"/>
      <c r="J273" s="142"/>
      <c r="K273" s="142"/>
      <c r="L273" s="142"/>
      <c r="M273" s="142"/>
      <c r="N273" s="146"/>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4"/>
    </row>
    <row r="274" ht="13.65" customHeight="1">
      <c r="A274" s="142"/>
      <c r="B274" s="142"/>
      <c r="C274" s="142"/>
      <c r="D274" s="142"/>
      <c r="E274" s="142"/>
      <c r="F274" s="142"/>
      <c r="G274" s="142"/>
      <c r="H274" s="142"/>
      <c r="I274" s="142"/>
      <c r="J274" s="142"/>
      <c r="K274" s="142"/>
      <c r="L274" s="142"/>
      <c r="M274" s="142"/>
      <c r="N274" s="146"/>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8"/>
    </row>
  </sheetData>
  <mergeCells count="62">
    <mergeCell ref="C10:E10"/>
    <mergeCell ref="C15:E15"/>
    <mergeCell ref="C16:E16"/>
    <mergeCell ref="C17:E17"/>
    <mergeCell ref="C18:E18"/>
    <mergeCell ref="A42:B42"/>
    <mergeCell ref="A41:B41"/>
    <mergeCell ref="C11:E11"/>
    <mergeCell ref="C12:E12"/>
    <mergeCell ref="C13:E13"/>
    <mergeCell ref="C14:E14"/>
    <mergeCell ref="C19:E19"/>
    <mergeCell ref="C20:E20"/>
    <mergeCell ref="C21:E21"/>
    <mergeCell ref="A38:B38"/>
    <mergeCell ref="A30:B30"/>
    <mergeCell ref="A31:B31"/>
    <mergeCell ref="A29:B29"/>
    <mergeCell ref="A39:B39"/>
    <mergeCell ref="A35:B35"/>
    <mergeCell ref="A36:B36"/>
    <mergeCell ref="A37:B37"/>
    <mergeCell ref="A32:B32"/>
    <mergeCell ref="A33:B33"/>
    <mergeCell ref="A6:B6"/>
    <mergeCell ref="A7:B7"/>
    <mergeCell ref="A8:B8"/>
    <mergeCell ref="A26:B26"/>
    <mergeCell ref="A27:B27"/>
    <mergeCell ref="A34:B34"/>
    <mergeCell ref="C6:E6"/>
    <mergeCell ref="C7:E7"/>
    <mergeCell ref="C8:E8"/>
    <mergeCell ref="D39:F39"/>
    <mergeCell ref="B44:E44"/>
    <mergeCell ref="A18:B18"/>
    <mergeCell ref="A19:B19"/>
    <mergeCell ref="A25:B25"/>
    <mergeCell ref="C25:E25"/>
    <mergeCell ref="A40:B40"/>
    <mergeCell ref="A20:B20"/>
    <mergeCell ref="A21:B21"/>
    <mergeCell ref="A22:B22"/>
    <mergeCell ref="A24:B24"/>
    <mergeCell ref="C24:E24"/>
    <mergeCell ref="C22:E22"/>
    <mergeCell ref="G1:I1"/>
    <mergeCell ref="A1:B1"/>
    <mergeCell ref="C1:E1"/>
    <mergeCell ref="E38:F38"/>
    <mergeCell ref="D31:F31"/>
    <mergeCell ref="A28:B28"/>
    <mergeCell ref="A13:B13"/>
    <mergeCell ref="A14:B14"/>
    <mergeCell ref="A15:B15"/>
    <mergeCell ref="A16:B16"/>
    <mergeCell ref="A17:B17"/>
    <mergeCell ref="A9:B9"/>
    <mergeCell ref="A10:B10"/>
    <mergeCell ref="C9:E9"/>
    <mergeCell ref="A11:B11"/>
    <mergeCell ref="A12:B12"/>
  </mergeCells>
  <conditionalFormatting sqref="C42">
    <cfRule type="beginsWith" dxfId="0" priority="1" stopIfTrue="1" text="not">
      <formula>FIND(UPPER("not"),UPPER(C42))=1</formula>
      <formula>"not"</formula>
    </cfRule>
    <cfRule type="beginsWith" dxfId="1" priority="2" stopIfTrue="1" text="ok">
      <formula>FIND(UPPER("ok"),UPPER(C42))=1</formula>
      <formula>"ok"</formula>
    </cfRule>
  </conditionalFormatting>
  <dataValidations count="7">
    <dataValidation type="list" allowBlank="1" showInputMessage="1" showErrorMessage="1" sqref="I3">
      <formula1>"2017/1217/EU kemény felületekre szánt tisztítószerek uniós ökocímke kritériumairól,2017/1214/EU a kézi mosogatószerek uniós ökocímke kritériumairól,2017/1218/EU a mosószerek uniós ökocímke kritériumairól"</formula1>
    </dataValidation>
    <dataValidation type="list" allowBlank="1" showInputMessage="1" showErrorMessage="1" sqref="C5">
      <formula1>"Deutsch,English"</formula1>
    </dataValidation>
    <dataValidation type="list" allowBlank="1" showInputMessage="1" showErrorMessage="1" sqref="C24:E24">
      <formula1>"Kézi mosogatószer"</formula1>
    </dataValidation>
    <dataValidation type="list" allowBlank="1" showInputMessage="1" showErrorMessage="1" sqref="C26 F26">
      <formula1>"szilárd (por),folyékony (beleértve a gélt is)"</formula1>
    </dataValidation>
    <dataValidation type="list" allowBlank="1" showInputMessage="1" showErrorMessage="1" sqref="C31">
      <formula1>"háztartási felhasználásra,üzleti célú (professzionális) felhasználásra,háztartási és üzleti célú (professzionális) felhasználásra"</formula1>
    </dataValidation>
    <dataValidation type="list" allowBlank="1" showInputMessage="1" showErrorMessage="1" sqref="C32:C37 F32:F37">
      <formula1>"Igen,Nem"</formula1>
    </dataValidation>
    <dataValidation type="list" allowBlank="1" showInputMessage="1" showErrorMessage="1" sqref="C39">
      <formula1>"Használatra kész kemény felületekre szánt tisztítószer,g/1 liter tisztítószer oldat,ml/1 liter tisztítószeroldat,g/1 liter mosogatóvíz,ml/1 liter mosogatóvíz,g/1 kg szennyes ruha,ml/1 kg szennyes ruha,g/mosogatási ciklus,ml/mosogatási ciklus"</formula1>
    </dataValidation>
  </dataValidations>
  <pageMargins left="0.590551" right="0.590551" top="0.787402" bottom="0.787402" header="0.511811" footer="0.511811"/>
  <pageSetup firstPageNumber="1" fitToHeight="1" fitToWidth="1" scale="95"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S117"/>
  <sheetViews>
    <sheetView workbookViewId="0" showGridLines="0" defaultGridColor="1"/>
  </sheetViews>
  <sheetFormatPr defaultColWidth="11.5" defaultRowHeight="12.75" customHeight="1" outlineLevelRow="0" outlineLevelCol="0"/>
  <cols>
    <col min="1" max="1" width="5.5" style="228" customWidth="1"/>
    <col min="2" max="2" width="33.5" style="228" customWidth="1"/>
    <col min="3" max="3" width="30" style="228" customWidth="1"/>
    <col min="4" max="4" width="26.3516" style="228" customWidth="1"/>
    <col min="5" max="5" width="18.5" style="228" customWidth="1"/>
    <col min="6" max="6" width="13.8516" style="228" customWidth="1"/>
    <col min="7" max="7" width="12.3516" style="228" customWidth="1"/>
    <col min="8" max="8" width="39.1719" style="228" customWidth="1"/>
    <col min="9" max="10" width="11.5" style="228" customWidth="1"/>
    <col min="11" max="17" hidden="1" width="11.5" style="228" customWidth="1"/>
    <col min="18" max="19" width="11.5" style="228" customWidth="1"/>
    <col min="20" max="16384" width="11.5" style="228" customWidth="1"/>
  </cols>
  <sheetData>
    <row r="1" ht="36" customHeight="1">
      <c r="A1" s="229"/>
      <c r="B1" s="230"/>
      <c r="C1" s="231"/>
      <c r="D1" s="232"/>
      <c r="E1" t="s" s="134">
        <f>'Termék'!A1</f>
        <v>165</v>
      </c>
      <c r="F1" s="135"/>
      <c r="G1" t="s" s="233">
        <f>'Termék'!C1</f>
        <v>166</v>
      </c>
      <c r="H1" s="234"/>
      <c r="I1" s="235"/>
      <c r="J1" s="231"/>
      <c r="K1" s="231"/>
      <c r="L1" s="231"/>
      <c r="M1" s="231"/>
      <c r="N1" s="236"/>
      <c r="O1" s="237"/>
      <c r="P1" s="237"/>
      <c r="Q1" s="238"/>
      <c r="R1" s="9"/>
      <c r="S1" s="10"/>
    </row>
    <row r="2" ht="15.75" customHeight="1">
      <c r="A2" s="239"/>
      <c r="B2" s="240"/>
      <c r="C2" s="241"/>
      <c r="D2" s="242"/>
      <c r="E2" s="243"/>
      <c r="F2" s="244"/>
      <c r="G2" s="245"/>
      <c r="H2" s="246"/>
      <c r="I2" s="247"/>
      <c r="J2" s="247"/>
      <c r="K2" s="247"/>
      <c r="L2" s="247"/>
      <c r="M2" s="247"/>
      <c r="N2" s="236"/>
      <c r="O2" s="237"/>
      <c r="P2" s="237"/>
      <c r="Q2" s="238"/>
      <c r="R2" s="13"/>
      <c r="S2" s="14"/>
    </row>
    <row r="3" ht="15.75" customHeight="1">
      <c r="A3" s="248"/>
      <c r="B3" s="249"/>
      <c r="C3" s="249"/>
      <c r="D3" s="249"/>
      <c r="E3" s="249"/>
      <c r="F3" s="250"/>
      <c r="G3" t="s" s="147">
        <f>'Termék'!A3</f>
        <v>167</v>
      </c>
      <c r="H3" t="s" s="251">
        <f>IF('Termék'!B3="","",'Termék'!B3)</f>
      </c>
      <c r="I3" s="252"/>
      <c r="J3" s="247"/>
      <c r="K3" s="247"/>
      <c r="L3" s="247"/>
      <c r="M3" s="247"/>
      <c r="N3" s="236"/>
      <c r="O3" s="237"/>
      <c r="P3" s="237"/>
      <c r="Q3" s="238"/>
      <c r="R3" s="13"/>
      <c r="S3" s="14"/>
    </row>
    <row r="4" ht="15.75" customHeight="1">
      <c r="A4" t="s" s="161">
        <f>'Termék'!A6</f>
        <v>168</v>
      </c>
      <c r="B4" s="162"/>
      <c r="C4" s="253">
        <f>'Termék'!C6</f>
        <v>0</v>
      </c>
      <c r="D4" s="164"/>
      <c r="E4" s="165"/>
      <c r="F4" s="254"/>
      <c r="G4" t="s" s="147">
        <f>'Termék'!A4</f>
        <v>169</v>
      </c>
      <c r="H4" t="s" s="251">
        <f>IF('Termék'!B4="","",'Termék'!B4)</f>
      </c>
      <c r="I4" s="252"/>
      <c r="J4" s="247"/>
      <c r="K4" s="247"/>
      <c r="L4" s="247"/>
      <c r="M4" s="247"/>
      <c r="N4" s="236"/>
      <c r="O4" s="237"/>
      <c r="P4" s="237"/>
      <c r="Q4" s="238"/>
      <c r="R4" s="13"/>
      <c r="S4" s="14"/>
    </row>
    <row r="5" ht="15.75" customHeight="1">
      <c r="A5" t="s" s="161">
        <f>'Termék'!A7</f>
        <v>170</v>
      </c>
      <c r="B5" s="162"/>
      <c r="C5" t="s" s="171">
        <f>'Termék'!C7</f>
      </c>
      <c r="D5" s="164"/>
      <c r="E5" s="165"/>
      <c r="F5" s="255"/>
      <c r="G5" s="256"/>
      <c r="H5" s="257"/>
      <c r="I5" s="247"/>
      <c r="J5" s="247"/>
      <c r="K5" s="247"/>
      <c r="L5" s="247"/>
      <c r="M5" s="247"/>
      <c r="N5" s="236"/>
      <c r="O5" s="237"/>
      <c r="P5" s="237"/>
      <c r="Q5" s="238"/>
      <c r="R5" s="13"/>
      <c r="S5" s="14"/>
    </row>
    <row r="6" ht="15.75" customHeight="1">
      <c r="A6" t="s" s="161">
        <f>'Termék'!A8</f>
        <v>133</v>
      </c>
      <c r="B6" s="162"/>
      <c r="C6" s="253">
        <f>'Termék'!C8</f>
        <v>0</v>
      </c>
      <c r="D6" s="164"/>
      <c r="E6" s="165"/>
      <c r="F6" s="258"/>
      <c r="G6" s="259"/>
      <c r="H6" s="259"/>
      <c r="I6" s="247"/>
      <c r="J6" s="247"/>
      <c r="K6" s="247"/>
      <c r="L6" s="247"/>
      <c r="M6" s="247"/>
      <c r="N6" s="236"/>
      <c r="O6" s="237"/>
      <c r="P6" s="237"/>
      <c r="Q6" s="238"/>
      <c r="R6" s="13"/>
      <c r="S6" s="14"/>
    </row>
    <row r="7" ht="15.75" customHeight="1">
      <c r="A7" t="s" s="161">
        <f>'Termék'!A24</f>
        <v>171</v>
      </c>
      <c r="B7" s="162"/>
      <c r="C7" s="253">
        <f>'Termék'!C24</f>
        <v>0</v>
      </c>
      <c r="D7" s="164"/>
      <c r="E7" s="165"/>
      <c r="F7" s="260"/>
      <c r="G7" s="261"/>
      <c r="H7" s="261"/>
      <c r="I7" s="247"/>
      <c r="J7" s="247"/>
      <c r="K7" s="247"/>
      <c r="L7" s="247"/>
      <c r="M7" s="247"/>
      <c r="N7" s="236"/>
      <c r="O7" s="237"/>
      <c r="P7" s="237"/>
      <c r="Q7" s="238"/>
      <c r="R7" s="13"/>
      <c r="S7" s="14"/>
    </row>
    <row r="8" ht="15.75" customHeight="1">
      <c r="A8" t="s" s="161">
        <f>'Termék'!A26</f>
        <v>172</v>
      </c>
      <c r="B8" s="162"/>
      <c r="C8" s="253">
        <f>'Termék'!C26</f>
        <v>0</v>
      </c>
      <c r="D8" s="164"/>
      <c r="E8" s="165"/>
      <c r="F8" s="260"/>
      <c r="G8" s="262"/>
      <c r="H8" s="247"/>
      <c r="I8" s="247"/>
      <c r="J8" s="247"/>
      <c r="K8" s="247"/>
      <c r="L8" s="247"/>
      <c r="M8" s="247"/>
      <c r="N8" s="236"/>
      <c r="O8" s="237"/>
      <c r="P8" s="237"/>
      <c r="Q8" s="238"/>
      <c r="R8" s="13"/>
      <c r="S8" s="14"/>
    </row>
    <row r="9" ht="15.75" customHeight="1">
      <c r="A9" s="263"/>
      <c r="B9" s="264"/>
      <c r="C9" s="265"/>
      <c r="D9" s="266"/>
      <c r="E9" s="265"/>
      <c r="F9" s="267"/>
      <c r="G9" s="267"/>
      <c r="H9" s="268"/>
      <c r="I9" s="247"/>
      <c r="J9" s="247"/>
      <c r="K9" s="247"/>
      <c r="L9" s="247"/>
      <c r="M9" s="247"/>
      <c r="N9" s="236"/>
      <c r="O9" s="237"/>
      <c r="P9" s="237"/>
      <c r="Q9" s="238"/>
      <c r="R9" s="13"/>
      <c r="S9" s="14"/>
    </row>
    <row r="10" ht="42" customHeight="1">
      <c r="A10" t="s" s="269">
        <f>IF('Adatlap'!$L$1='Fordítások'!C3,'Fordítások'!C10,'Fordítások'!B10)</f>
        <v>173</v>
      </c>
      <c r="B10" t="s" s="270">
        <f>IF('Adatlap'!$L$1='Fordítások'!C3,CONCATENATE("Az alapanyag ",'Fordítások'!C12),'Fordítások'!B12)</f>
        <v>174</v>
      </c>
      <c r="C10" t="s" s="271">
        <f>IF('Adatlap'!$L$1='Fordítások'!C3,'Fordítások'!C13,'Fordítások'!B13)</f>
        <v>175</v>
      </c>
      <c r="D10" t="s" s="269">
        <f>IF('Adatlap'!$L$1='Fordítások'!C3,'Fordítások'!C14,'Fordítások'!B14)</f>
        <v>176</v>
      </c>
      <c r="E10" t="s" s="272">
        <f>IF('Adatlap'!$L$1='Fordítások'!C3,'Fordítások'!C16,'Fordítások'!B16)</f>
        <v>177</v>
      </c>
      <c r="F10" t="s" s="273">
        <f>IF('Adatlap'!$L$1='Fordítások'!C3,'Fordítások'!C18,'Fordítások'!B18)</f>
        <v>178</v>
      </c>
      <c r="G10" t="s" s="274">
        <f>IF('Adatlap'!$L$1='Fordítások'!C3,'Fordítások'!C20,'Fordítások'!B20)</f>
        <v>179</v>
      </c>
      <c r="H10" t="s" s="270">
        <f>IF('Adatlap'!$L$1='Fordítások'!C3,CONCATENATE('Fordítások'!C21," 1)"),CONCATENATE('Fordítások'!B21," 1)"))</f>
        <v>180</v>
      </c>
      <c r="I10" s="252"/>
      <c r="J10" s="247"/>
      <c r="K10" s="247"/>
      <c r="L10" s="247"/>
      <c r="M10" s="247"/>
      <c r="N10" s="236"/>
      <c r="O10" s="237"/>
      <c r="P10" t="s" s="275">
        <v>181</v>
      </c>
      <c r="Q10" s="238"/>
      <c r="R10" s="13"/>
      <c r="S10" s="14"/>
    </row>
    <row r="11" ht="29.25" customHeight="1">
      <c r="A11" t="s" s="276">
        <f>IF('Adatlap'!$L$1='Fordítások'!C3,'Fordítások'!C11,'Fordítások'!B11)</f>
        <v>182</v>
      </c>
      <c r="B11" s="277"/>
      <c r="C11" s="278"/>
      <c r="D11" t="s" s="279">
        <f>IF('Adatlap'!$L$1='Fordítások'!C3,'Fordítások'!C15,'Fordítások'!B15)</f>
        <v>183</v>
      </c>
      <c r="E11" t="s" s="279">
        <f>IF('Adatlap'!$L$1='Fordítások'!C3,'Fordítások'!C17,'Fordítások'!B17)</f>
        <v>184</v>
      </c>
      <c r="F11" t="s" s="280">
        <f>IF('Adatlap'!$L$1='Fordítások'!C3,'Fordítások'!C19,'Fordítások'!B19)</f>
        <v>185</v>
      </c>
      <c r="G11" t="s" s="280">
        <f>IF('Adatlap'!$L$1='Fordítások'!C3,'Fordítások'!C19,'Fordítások'!B19)</f>
        <v>185</v>
      </c>
      <c r="H11" s="277"/>
      <c r="I11" s="252"/>
      <c r="J11" s="247"/>
      <c r="K11" t="s" s="281">
        <v>102</v>
      </c>
      <c r="L11" s="247"/>
      <c r="M11" t="s" s="282">
        <v>186</v>
      </c>
      <c r="N11" t="s" s="283">
        <v>187</v>
      </c>
      <c r="O11" t="s" s="275">
        <v>188</v>
      </c>
      <c r="P11" s="237"/>
      <c r="Q11" s="238"/>
      <c r="R11" s="13"/>
      <c r="S11" s="14"/>
    </row>
    <row r="12" ht="15.75" customHeight="1">
      <c r="A12" s="284">
        <v>1</v>
      </c>
      <c r="B12" t="s" s="285">
        <f>IF('Adatlap'!$L$1='Fordítások'!C3,'Fordítások'!C23,'Fordítások'!B23)</f>
        <v>189</v>
      </c>
      <c r="C12" s="286"/>
      <c r="D12" s="287"/>
      <c r="E12" s="288"/>
      <c r="F12" t="s" s="289">
        <v>190</v>
      </c>
      <c r="G12" t="s" s="289">
        <v>190</v>
      </c>
      <c r="H12" t="s" s="289">
        <v>190</v>
      </c>
      <c r="I12" s="252"/>
      <c r="J12" s="247"/>
      <c r="K12" s="290"/>
      <c r="L12" s="247"/>
      <c r="M12" s="291"/>
      <c r="N12" s="292"/>
      <c r="O12" s="237"/>
      <c r="P12" t="s" s="275">
        <v>191</v>
      </c>
      <c r="Q12" s="238"/>
      <c r="R12" s="13"/>
      <c r="S12" s="14"/>
    </row>
    <row r="13" ht="15.75" customHeight="1">
      <c r="A13" s="284">
        <v>2</v>
      </c>
      <c r="B13" s="293"/>
      <c r="C13" s="293"/>
      <c r="D13" s="294"/>
      <c r="E13" s="288"/>
      <c r="F13" s="295"/>
      <c r="G13" s="295"/>
      <c r="H13" s="293"/>
      <c r="I13" s="252"/>
      <c r="J13" s="247"/>
      <c r="K13" s="296">
        <f>IF(ISBLANK(B13),0,1)</f>
        <v>0</v>
      </c>
      <c r="L13" s="247"/>
      <c r="M13" s="296">
        <f>MAX(K13:K61)</f>
        <v>0</v>
      </c>
      <c r="N13" t="b" s="297">
        <f>IF(AND(COUNTA(B13)=1,OR(G13="",G13='Auswahldaten'!A$13)),1)</f>
        <v>0</v>
      </c>
      <c r="O13" s="298">
        <f>IF(ISBLANK(H13)=TRUE,1,0)</f>
        <v>1</v>
      </c>
      <c r="P13" s="298">
        <f>_xlfn.COUNTIFS($D$13:$D$61,'Auswahldaten'!A19)</f>
        <v>0</v>
      </c>
      <c r="Q13" s="238"/>
      <c r="R13" s="13"/>
      <c r="S13" s="14"/>
    </row>
    <row r="14" ht="15.75" customHeight="1">
      <c r="A14" s="284">
        <v>3</v>
      </c>
      <c r="B14" s="293"/>
      <c r="C14" s="293"/>
      <c r="D14" s="294"/>
      <c r="E14" s="288"/>
      <c r="F14" s="295"/>
      <c r="G14" s="295"/>
      <c r="H14" s="293"/>
      <c r="I14" s="252"/>
      <c r="J14" s="247"/>
      <c r="K14" s="296">
        <f>IF(ISBLANK(B14),0,K13+1)</f>
        <v>0</v>
      </c>
      <c r="L14" s="247"/>
      <c r="M14" s="247"/>
      <c r="N14" t="b" s="297">
        <f>IF(AND(COUNTA(B14)=1,OR(G14="",G14='Auswahldaten'!A$13)),1)</f>
        <v>0</v>
      </c>
      <c r="O14" s="298">
        <f>IF(ISBLANK(H14)=TRUE,1,0)</f>
        <v>1</v>
      </c>
      <c r="P14" t="s" s="275">
        <v>192</v>
      </c>
      <c r="Q14" s="238"/>
      <c r="R14" s="13"/>
      <c r="S14" s="14"/>
    </row>
    <row r="15" ht="15.75" customHeight="1">
      <c r="A15" s="284">
        <v>4</v>
      </c>
      <c r="B15" s="293"/>
      <c r="C15" s="293"/>
      <c r="D15" s="294"/>
      <c r="E15" s="288"/>
      <c r="F15" s="295"/>
      <c r="G15" s="295"/>
      <c r="H15" s="293"/>
      <c r="I15" s="252"/>
      <c r="J15" s="247"/>
      <c r="K15" s="296">
        <f>IF(ISBLANK(B15),0,K14+1)</f>
        <v>0</v>
      </c>
      <c r="L15" s="247"/>
      <c r="M15" s="247"/>
      <c r="N15" t="b" s="297">
        <f>IF(AND(COUNTA(B15)=1,OR(G15="",G15='Auswahldaten'!A$13)),1)</f>
        <v>0</v>
      </c>
      <c r="O15" s="298">
        <f>IF(ISBLANK(H15)=TRUE,1,0)</f>
        <v>1</v>
      </c>
      <c r="P15" s="298">
        <f>_xlfn.COUNTIFS(D13:D61,'Auswahldaten'!A18)</f>
        <v>0</v>
      </c>
      <c r="Q15" s="238"/>
      <c r="R15" s="13"/>
      <c r="S15" s="14"/>
    </row>
    <row r="16" ht="15.75" customHeight="1">
      <c r="A16" s="284">
        <v>5</v>
      </c>
      <c r="B16" s="293"/>
      <c r="C16" s="293"/>
      <c r="D16" s="294"/>
      <c r="E16" s="288"/>
      <c r="F16" s="295"/>
      <c r="G16" s="295"/>
      <c r="H16" s="293"/>
      <c r="I16" s="252"/>
      <c r="J16" s="247"/>
      <c r="K16" s="296">
        <f>IF(ISBLANK(B16),0,K15+1)</f>
        <v>0</v>
      </c>
      <c r="L16" s="247"/>
      <c r="M16" s="247"/>
      <c r="N16" t="b" s="297">
        <f>IF(AND(COUNTA(B16)=1,OR(G16="",G16='Auswahldaten'!A$13)),1)</f>
        <v>0</v>
      </c>
      <c r="O16" s="298">
        <f>IF(ISBLANK(H16)=TRUE,1,0)</f>
        <v>1</v>
      </c>
      <c r="P16" s="237"/>
      <c r="Q16" s="238"/>
      <c r="R16" s="13"/>
      <c r="S16" s="14"/>
    </row>
    <row r="17" ht="15.75" customHeight="1">
      <c r="A17" s="284">
        <v>6</v>
      </c>
      <c r="B17" s="293"/>
      <c r="C17" s="293"/>
      <c r="D17" s="294"/>
      <c r="E17" s="288"/>
      <c r="F17" s="295"/>
      <c r="G17" s="295"/>
      <c r="H17" s="293"/>
      <c r="I17" s="252"/>
      <c r="J17" s="247"/>
      <c r="K17" s="296">
        <f>IF(ISBLANK(B17),0,K16+1)</f>
        <v>0</v>
      </c>
      <c r="L17" s="247"/>
      <c r="M17" s="247"/>
      <c r="N17" t="b" s="297">
        <f>IF(AND(COUNTA(B17)=1,OR(G17="",G17='Auswahldaten'!A$13)),1)</f>
        <v>0</v>
      </c>
      <c r="O17" s="298">
        <f>IF(ISBLANK(H17)=TRUE,1,0)</f>
        <v>1</v>
      </c>
      <c r="P17" t="s" s="275">
        <v>193</v>
      </c>
      <c r="Q17" s="238"/>
      <c r="R17" s="13"/>
      <c r="S17" s="14"/>
    </row>
    <row r="18" ht="15.75" customHeight="1">
      <c r="A18" s="284">
        <v>7</v>
      </c>
      <c r="B18" s="293"/>
      <c r="C18" s="293"/>
      <c r="D18" s="294"/>
      <c r="E18" s="288"/>
      <c r="F18" s="295"/>
      <c r="G18" s="295"/>
      <c r="H18" s="293"/>
      <c r="I18" s="252"/>
      <c r="J18" s="247"/>
      <c r="K18" s="296">
        <f>IF(ISBLANK(B18),0,K17+1)</f>
        <v>0</v>
      </c>
      <c r="L18" s="247"/>
      <c r="M18" s="247"/>
      <c r="N18" t="b" s="297">
        <f>IF(AND(COUNTA(B18)=1,OR(G18="",G18='Auswahldaten'!A$13)),1)</f>
        <v>0</v>
      </c>
      <c r="O18" s="298">
        <f>IF(ISBLANK(H18)=TRUE,1,0)</f>
        <v>1</v>
      </c>
      <c r="P18" s="298">
        <f>_xlfn.COUNTIFS(D13:D61,'Auswahldaten'!A20)</f>
        <v>0</v>
      </c>
      <c r="Q18" s="238"/>
      <c r="R18" s="13"/>
      <c r="S18" s="14"/>
    </row>
    <row r="19" ht="15.75" customHeight="1">
      <c r="A19" s="284">
        <v>8</v>
      </c>
      <c r="B19" s="293"/>
      <c r="C19" s="293"/>
      <c r="D19" s="294"/>
      <c r="E19" s="288"/>
      <c r="F19" s="295"/>
      <c r="G19" s="295"/>
      <c r="H19" s="293"/>
      <c r="I19" s="252"/>
      <c r="J19" s="247"/>
      <c r="K19" s="296">
        <f>IF(ISBLANK(B19),0,K18+1)</f>
        <v>0</v>
      </c>
      <c r="L19" s="247"/>
      <c r="M19" s="247"/>
      <c r="N19" t="b" s="297">
        <f>IF(AND(COUNTA(B19)=1,OR(G19="",G19='Auswahldaten'!A$13)),1)</f>
        <v>0</v>
      </c>
      <c r="O19" s="298">
        <f>IF(ISBLANK(H19)=TRUE,1,0)</f>
        <v>1</v>
      </c>
      <c r="P19" s="237"/>
      <c r="Q19" s="238"/>
      <c r="R19" s="13"/>
      <c r="S19" s="14"/>
    </row>
    <row r="20" ht="15.75" customHeight="1">
      <c r="A20" s="284">
        <v>9</v>
      </c>
      <c r="B20" s="293"/>
      <c r="C20" s="293"/>
      <c r="D20" s="294"/>
      <c r="E20" s="288"/>
      <c r="F20" s="295"/>
      <c r="G20" s="295"/>
      <c r="H20" s="293"/>
      <c r="I20" s="252"/>
      <c r="J20" s="247"/>
      <c r="K20" s="296">
        <f>IF(ISBLANK(B20),0,K19+1)</f>
        <v>0</v>
      </c>
      <c r="L20" s="247"/>
      <c r="M20" s="247"/>
      <c r="N20" t="b" s="297">
        <f>IF(AND(COUNTA(B20)=1,OR(G20="",G20='Auswahldaten'!A$13)),1)</f>
        <v>0</v>
      </c>
      <c r="O20" s="298">
        <f>IF(ISBLANK(H20)=TRUE,1,0)</f>
        <v>1</v>
      </c>
      <c r="P20" s="237"/>
      <c r="Q20" s="238"/>
      <c r="R20" s="13"/>
      <c r="S20" s="14"/>
    </row>
    <row r="21" ht="15.75" customHeight="1">
      <c r="A21" s="284">
        <v>10</v>
      </c>
      <c r="B21" s="293"/>
      <c r="C21" s="293"/>
      <c r="D21" s="294"/>
      <c r="E21" s="288"/>
      <c r="F21" s="295"/>
      <c r="G21" s="295"/>
      <c r="H21" s="293"/>
      <c r="I21" s="252"/>
      <c r="J21" s="247"/>
      <c r="K21" s="296">
        <f>IF(ISBLANK(B21),0,K20+1)</f>
        <v>0</v>
      </c>
      <c r="L21" s="247"/>
      <c r="M21" s="247"/>
      <c r="N21" t="b" s="297">
        <f>IF(AND(COUNTA(B21)=1,OR(G21="",G21='Auswahldaten'!A$13)),1)</f>
        <v>0</v>
      </c>
      <c r="O21" s="298">
        <f>IF(ISBLANK(H21)=TRUE,1,0)</f>
        <v>1</v>
      </c>
      <c r="P21" s="237"/>
      <c r="Q21" s="238"/>
      <c r="R21" s="13"/>
      <c r="S21" s="14"/>
    </row>
    <row r="22" ht="15.75" customHeight="1">
      <c r="A22" s="284">
        <v>11</v>
      </c>
      <c r="B22" s="293"/>
      <c r="C22" s="293"/>
      <c r="D22" s="294"/>
      <c r="E22" s="288"/>
      <c r="F22" s="295"/>
      <c r="G22" s="295"/>
      <c r="H22" s="293"/>
      <c r="I22" s="252"/>
      <c r="J22" s="247"/>
      <c r="K22" s="296">
        <f>IF(ISBLANK(B22),0,K21+1)</f>
        <v>0</v>
      </c>
      <c r="L22" s="247"/>
      <c r="M22" s="247"/>
      <c r="N22" t="b" s="297">
        <f>IF(AND(COUNTA(B22)=1,OR(G22="",G22='Auswahldaten'!A$13)),1)</f>
        <v>0</v>
      </c>
      <c r="O22" s="298">
        <f>IF(ISBLANK(H22)=TRUE,1,0)</f>
        <v>1</v>
      </c>
      <c r="P22" s="237"/>
      <c r="Q22" s="238"/>
      <c r="R22" s="13"/>
      <c r="S22" s="14"/>
    </row>
    <row r="23" ht="15.75" customHeight="1">
      <c r="A23" s="284">
        <v>12</v>
      </c>
      <c r="B23" s="293"/>
      <c r="C23" s="293"/>
      <c r="D23" s="294"/>
      <c r="E23" s="288"/>
      <c r="F23" s="295"/>
      <c r="G23" s="295"/>
      <c r="H23" s="293"/>
      <c r="I23" s="252"/>
      <c r="J23" s="247"/>
      <c r="K23" s="296">
        <f>IF(ISBLANK(B23),0,K22+1)</f>
        <v>0</v>
      </c>
      <c r="L23" s="247"/>
      <c r="M23" s="247"/>
      <c r="N23" t="b" s="297">
        <f>IF(AND(COUNTA(B23)=1,OR(G23="",G23='Auswahldaten'!A$13)),1)</f>
        <v>0</v>
      </c>
      <c r="O23" s="298">
        <f>IF(ISBLANK(H23)=TRUE,1,0)</f>
        <v>1</v>
      </c>
      <c r="P23" s="237"/>
      <c r="Q23" s="238"/>
      <c r="R23" s="13"/>
      <c r="S23" s="14"/>
    </row>
    <row r="24" ht="15.75" customHeight="1">
      <c r="A24" s="284">
        <v>13</v>
      </c>
      <c r="B24" s="293"/>
      <c r="C24" s="293"/>
      <c r="D24" s="294"/>
      <c r="E24" s="288"/>
      <c r="F24" s="295"/>
      <c r="G24" s="295"/>
      <c r="H24" s="293"/>
      <c r="I24" s="252"/>
      <c r="J24" s="247"/>
      <c r="K24" s="296">
        <f>IF(ISBLANK(B24),0,K23+1)</f>
        <v>0</v>
      </c>
      <c r="L24" s="247"/>
      <c r="M24" s="247"/>
      <c r="N24" t="b" s="297">
        <f>IF(AND(COUNTA(B24)=1,OR(G24="",G24='Auswahldaten'!A$13)),1)</f>
        <v>0</v>
      </c>
      <c r="O24" s="298">
        <f>IF(ISBLANK(H24)=TRUE,1,0)</f>
        <v>1</v>
      </c>
      <c r="P24" s="237"/>
      <c r="Q24" s="238"/>
      <c r="R24" s="13"/>
      <c r="S24" s="14"/>
    </row>
    <row r="25" ht="15.75" customHeight="1">
      <c r="A25" s="284">
        <v>14</v>
      </c>
      <c r="B25" s="293"/>
      <c r="C25" s="293"/>
      <c r="D25" s="294"/>
      <c r="E25" s="288"/>
      <c r="F25" s="295"/>
      <c r="G25" s="295"/>
      <c r="H25" s="293"/>
      <c r="I25" s="252"/>
      <c r="J25" s="247"/>
      <c r="K25" s="296">
        <f>IF(ISBLANK(B25),0,K24+1)</f>
        <v>0</v>
      </c>
      <c r="L25" s="247"/>
      <c r="M25" s="247"/>
      <c r="N25" t="b" s="297">
        <f>IF(AND(COUNTA(B25)=1,OR(G25="",G25='Auswahldaten'!A$13)),1)</f>
        <v>0</v>
      </c>
      <c r="O25" s="298">
        <f>IF(ISBLANK(H25)=TRUE,1,0)</f>
        <v>1</v>
      </c>
      <c r="P25" s="237"/>
      <c r="Q25" s="238"/>
      <c r="R25" s="13"/>
      <c r="S25" s="14"/>
    </row>
    <row r="26" ht="15.75" customHeight="1">
      <c r="A26" s="284">
        <v>15</v>
      </c>
      <c r="B26" s="293"/>
      <c r="C26" s="293"/>
      <c r="D26" s="294"/>
      <c r="E26" s="288"/>
      <c r="F26" s="295"/>
      <c r="G26" s="295"/>
      <c r="H26" s="293"/>
      <c r="I26" s="252"/>
      <c r="J26" s="247"/>
      <c r="K26" s="296">
        <f>IF(ISBLANK(B26),0,K25+1)</f>
        <v>0</v>
      </c>
      <c r="L26" s="247"/>
      <c r="M26" s="247"/>
      <c r="N26" t="b" s="297">
        <f>IF(AND(COUNTA(B26)=1,OR(G26="",G26='Auswahldaten'!A$13)),1)</f>
        <v>0</v>
      </c>
      <c r="O26" s="298">
        <f>IF(ISBLANK(H26)=TRUE,1,0)</f>
        <v>1</v>
      </c>
      <c r="P26" s="237"/>
      <c r="Q26" s="238"/>
      <c r="R26" s="13"/>
      <c r="S26" s="14"/>
    </row>
    <row r="27" ht="15.75" customHeight="1">
      <c r="A27" s="284">
        <v>16</v>
      </c>
      <c r="B27" s="293"/>
      <c r="C27" s="293"/>
      <c r="D27" s="294"/>
      <c r="E27" s="288"/>
      <c r="F27" s="295"/>
      <c r="G27" s="295"/>
      <c r="H27" s="293"/>
      <c r="I27" s="252"/>
      <c r="J27" s="247"/>
      <c r="K27" s="296">
        <f>IF(ISBLANK(B27),0,K26+1)</f>
        <v>0</v>
      </c>
      <c r="L27" s="247"/>
      <c r="M27" s="247"/>
      <c r="N27" t="b" s="297">
        <f>IF(AND(COUNTA(B27)=1,OR(G27="",G27='Auswahldaten'!A$13)),1)</f>
        <v>0</v>
      </c>
      <c r="O27" s="298">
        <f>IF(ISBLANK(H27)=TRUE,1,0)</f>
        <v>1</v>
      </c>
      <c r="P27" s="237"/>
      <c r="Q27" s="238"/>
      <c r="R27" s="13"/>
      <c r="S27" s="14"/>
    </row>
    <row r="28" ht="15.75" customHeight="1">
      <c r="A28" s="284">
        <v>17</v>
      </c>
      <c r="B28" s="293"/>
      <c r="C28" s="293"/>
      <c r="D28" s="294"/>
      <c r="E28" s="288"/>
      <c r="F28" s="295"/>
      <c r="G28" s="295"/>
      <c r="H28" s="293"/>
      <c r="I28" s="252"/>
      <c r="J28" s="247"/>
      <c r="K28" s="296">
        <f>IF(ISBLANK(B28),0,K27+1)</f>
        <v>0</v>
      </c>
      <c r="L28" s="247"/>
      <c r="M28" s="247"/>
      <c r="N28" t="b" s="297">
        <f>IF(AND(COUNTA(B28)=1,OR(G28="",G28='Auswahldaten'!A$13)),1)</f>
        <v>0</v>
      </c>
      <c r="O28" s="298">
        <f>IF(ISBLANK(H28)=TRUE,1,0)</f>
        <v>1</v>
      </c>
      <c r="P28" s="237"/>
      <c r="Q28" s="238"/>
      <c r="R28" s="13"/>
      <c r="S28" s="14"/>
    </row>
    <row r="29" ht="15.75" customHeight="1">
      <c r="A29" s="284">
        <v>18</v>
      </c>
      <c r="B29" s="293"/>
      <c r="C29" s="293"/>
      <c r="D29" s="294"/>
      <c r="E29" s="288"/>
      <c r="F29" s="295"/>
      <c r="G29" s="295"/>
      <c r="H29" s="293"/>
      <c r="I29" s="252"/>
      <c r="J29" s="247"/>
      <c r="K29" s="296">
        <f>IF(ISBLANK(B29),0,K28+1)</f>
        <v>0</v>
      </c>
      <c r="L29" s="247"/>
      <c r="M29" s="247"/>
      <c r="N29" t="b" s="297">
        <f>IF(AND(COUNTA(B29)=1,OR(G29="",G29='Auswahldaten'!A$13)),1)</f>
        <v>0</v>
      </c>
      <c r="O29" s="298">
        <f>IF(ISBLANK(H29)=TRUE,1,0)</f>
        <v>1</v>
      </c>
      <c r="P29" s="237"/>
      <c r="Q29" s="238"/>
      <c r="R29" s="13"/>
      <c r="S29" s="14"/>
    </row>
    <row r="30" ht="15.75" customHeight="1">
      <c r="A30" s="284">
        <v>19</v>
      </c>
      <c r="B30" s="293"/>
      <c r="C30" s="293"/>
      <c r="D30" s="294"/>
      <c r="E30" s="288"/>
      <c r="F30" s="295"/>
      <c r="G30" s="295"/>
      <c r="H30" s="293"/>
      <c r="I30" s="252"/>
      <c r="J30" s="247"/>
      <c r="K30" s="296">
        <f>IF(ISBLANK(B30),0,K29+1)</f>
        <v>0</v>
      </c>
      <c r="L30" s="247"/>
      <c r="M30" s="247"/>
      <c r="N30" t="b" s="297">
        <f>IF(AND(COUNTA(B30)=1,OR(G30="",G30='Auswahldaten'!A$13)),1)</f>
        <v>0</v>
      </c>
      <c r="O30" s="298">
        <f>IF(ISBLANK(H30)=TRUE,1,0)</f>
        <v>1</v>
      </c>
      <c r="P30" s="237"/>
      <c r="Q30" s="238"/>
      <c r="R30" s="13"/>
      <c r="S30" s="14"/>
    </row>
    <row r="31" ht="15.75" customHeight="1">
      <c r="A31" s="284">
        <v>20</v>
      </c>
      <c r="B31" s="293"/>
      <c r="C31" s="293"/>
      <c r="D31" s="294"/>
      <c r="E31" s="288"/>
      <c r="F31" s="295"/>
      <c r="G31" s="295"/>
      <c r="H31" s="293"/>
      <c r="I31" s="252"/>
      <c r="J31" s="247"/>
      <c r="K31" s="296">
        <f>IF(ISBLANK(B31),0,K30+1)</f>
        <v>0</v>
      </c>
      <c r="L31" s="247"/>
      <c r="M31" s="247"/>
      <c r="N31" t="b" s="297">
        <f>IF(AND(COUNTA(B31)=1,OR(G31="",G31='Auswahldaten'!A$13)),1)</f>
        <v>0</v>
      </c>
      <c r="O31" s="298">
        <f>IF(ISBLANK(H31)=TRUE,1,0)</f>
        <v>1</v>
      </c>
      <c r="P31" s="237"/>
      <c r="Q31" s="238"/>
      <c r="R31" s="13"/>
      <c r="S31" s="14"/>
    </row>
    <row r="32" ht="15.75" customHeight="1">
      <c r="A32" s="284">
        <v>21</v>
      </c>
      <c r="B32" s="293"/>
      <c r="C32" s="293"/>
      <c r="D32" s="294"/>
      <c r="E32" s="288"/>
      <c r="F32" s="295"/>
      <c r="G32" s="295"/>
      <c r="H32" s="293"/>
      <c r="I32" s="252"/>
      <c r="J32" s="247"/>
      <c r="K32" s="296">
        <f>IF(ISBLANK(B32),0,K31+1)</f>
        <v>0</v>
      </c>
      <c r="L32" s="247"/>
      <c r="M32" s="247"/>
      <c r="N32" t="b" s="297">
        <f>IF(AND(COUNTA(B32)=1,OR(G32="",G32='Auswahldaten'!A$13)),1)</f>
        <v>0</v>
      </c>
      <c r="O32" s="298">
        <f>IF(ISBLANK(H32)=TRUE,1,0)</f>
        <v>1</v>
      </c>
      <c r="P32" s="237"/>
      <c r="Q32" s="238"/>
      <c r="R32" s="13"/>
      <c r="S32" s="14"/>
    </row>
    <row r="33" ht="15.75" customHeight="1">
      <c r="A33" s="284">
        <v>22</v>
      </c>
      <c r="B33" s="293"/>
      <c r="C33" s="293"/>
      <c r="D33" s="294"/>
      <c r="E33" s="288"/>
      <c r="F33" s="295"/>
      <c r="G33" s="295"/>
      <c r="H33" s="293"/>
      <c r="I33" s="252"/>
      <c r="J33" s="247"/>
      <c r="K33" s="296">
        <f>IF(ISBLANK(B33),0,K32+1)</f>
        <v>0</v>
      </c>
      <c r="L33" s="247"/>
      <c r="M33" s="247"/>
      <c r="N33" t="b" s="297">
        <f>IF(AND(COUNTA(B33)=1,OR(G33="",G33='Auswahldaten'!A$13)),1)</f>
        <v>0</v>
      </c>
      <c r="O33" s="298">
        <f>IF(ISBLANK(H33)=TRUE,1,0)</f>
        <v>1</v>
      </c>
      <c r="P33" s="237"/>
      <c r="Q33" s="238"/>
      <c r="R33" s="13"/>
      <c r="S33" s="14"/>
    </row>
    <row r="34" ht="15.75" customHeight="1">
      <c r="A34" s="284">
        <v>23</v>
      </c>
      <c r="B34" s="293"/>
      <c r="C34" s="293"/>
      <c r="D34" s="294"/>
      <c r="E34" s="288"/>
      <c r="F34" s="295"/>
      <c r="G34" s="295"/>
      <c r="H34" s="293"/>
      <c r="I34" s="252"/>
      <c r="J34" s="247"/>
      <c r="K34" s="296">
        <f>IF(ISBLANK(B34),0,K33+1)</f>
        <v>0</v>
      </c>
      <c r="L34" s="247"/>
      <c r="M34" s="247"/>
      <c r="N34" t="b" s="297">
        <f>IF(AND(COUNTA(B34)=1,OR(G34="",G34='Auswahldaten'!A$13)),1)</f>
        <v>0</v>
      </c>
      <c r="O34" s="298">
        <f>IF(ISBLANK(H34)=TRUE,1,0)</f>
        <v>1</v>
      </c>
      <c r="P34" s="237"/>
      <c r="Q34" s="238"/>
      <c r="R34" s="13"/>
      <c r="S34" s="14"/>
    </row>
    <row r="35" ht="15.75" customHeight="1">
      <c r="A35" s="284">
        <v>24</v>
      </c>
      <c r="B35" s="293"/>
      <c r="C35" s="293"/>
      <c r="D35" s="294"/>
      <c r="E35" s="288"/>
      <c r="F35" s="295"/>
      <c r="G35" s="295"/>
      <c r="H35" s="293"/>
      <c r="I35" s="252"/>
      <c r="J35" s="247"/>
      <c r="K35" s="296">
        <f>IF(ISBLANK(B35),0,K34+1)</f>
        <v>0</v>
      </c>
      <c r="L35" s="247"/>
      <c r="M35" s="247"/>
      <c r="N35" t="b" s="297">
        <f>IF(AND(COUNTA(B35)=1,OR(G35="",G35='Auswahldaten'!A$13)),1)</f>
        <v>0</v>
      </c>
      <c r="O35" s="298">
        <f>IF(ISBLANK(H35)=TRUE,1,0)</f>
        <v>1</v>
      </c>
      <c r="P35" s="237"/>
      <c r="Q35" s="238"/>
      <c r="R35" s="13"/>
      <c r="S35" s="14"/>
    </row>
    <row r="36" ht="15.75" customHeight="1">
      <c r="A36" s="284">
        <v>25</v>
      </c>
      <c r="B36" s="293"/>
      <c r="C36" s="293"/>
      <c r="D36" s="294"/>
      <c r="E36" s="288"/>
      <c r="F36" s="295"/>
      <c r="G36" s="295"/>
      <c r="H36" s="293"/>
      <c r="I36" s="252"/>
      <c r="J36" s="247"/>
      <c r="K36" s="296">
        <f>IF(ISBLANK(B36),0,K35+1)</f>
        <v>0</v>
      </c>
      <c r="L36" s="247"/>
      <c r="M36" s="247"/>
      <c r="N36" t="b" s="297">
        <f>IF(AND(COUNTA(B36)=1,OR(G36="",G36='Auswahldaten'!A$13)),1)</f>
        <v>0</v>
      </c>
      <c r="O36" s="298">
        <f>IF(ISBLANK(H36)=TRUE,1,0)</f>
        <v>1</v>
      </c>
      <c r="P36" s="237"/>
      <c r="Q36" s="238"/>
      <c r="R36" s="13"/>
      <c r="S36" s="14"/>
    </row>
    <row r="37" ht="15.75" customHeight="1">
      <c r="A37" s="284">
        <v>26</v>
      </c>
      <c r="B37" s="293"/>
      <c r="C37" s="293"/>
      <c r="D37" s="294"/>
      <c r="E37" s="288"/>
      <c r="F37" s="295"/>
      <c r="G37" s="295"/>
      <c r="H37" s="293"/>
      <c r="I37" s="252"/>
      <c r="J37" s="247"/>
      <c r="K37" s="296">
        <f>IF(ISBLANK(B37),0,K36+1)</f>
        <v>0</v>
      </c>
      <c r="L37" s="247"/>
      <c r="M37" s="247"/>
      <c r="N37" t="b" s="297">
        <f>IF(AND(COUNTA(B37)=1,OR(G37="",G37='Auswahldaten'!A$13)),1)</f>
        <v>0</v>
      </c>
      <c r="O37" s="298">
        <f>IF(ISBLANK(H37)=TRUE,1,0)</f>
        <v>1</v>
      </c>
      <c r="P37" s="237"/>
      <c r="Q37" s="238"/>
      <c r="R37" s="13"/>
      <c r="S37" s="14"/>
    </row>
    <row r="38" ht="15.75" customHeight="1">
      <c r="A38" s="284">
        <v>27</v>
      </c>
      <c r="B38" s="293"/>
      <c r="C38" s="293"/>
      <c r="D38" s="294"/>
      <c r="E38" s="288"/>
      <c r="F38" s="295"/>
      <c r="G38" s="295"/>
      <c r="H38" s="293"/>
      <c r="I38" s="252"/>
      <c r="J38" s="247"/>
      <c r="K38" s="296">
        <f>IF(ISBLANK(B38),0,K37+1)</f>
        <v>0</v>
      </c>
      <c r="L38" s="247"/>
      <c r="M38" s="247"/>
      <c r="N38" t="b" s="297">
        <f>IF(AND(COUNTA(B38)=1,OR(G38="",G38='Auswahldaten'!A$13)),1)</f>
        <v>0</v>
      </c>
      <c r="O38" s="298">
        <f>IF(ISBLANK(H38)=TRUE,1,0)</f>
        <v>1</v>
      </c>
      <c r="P38" s="237"/>
      <c r="Q38" s="238"/>
      <c r="R38" s="13"/>
      <c r="S38" s="14"/>
    </row>
    <row r="39" ht="15.75" customHeight="1">
      <c r="A39" s="284">
        <v>28</v>
      </c>
      <c r="B39" s="293"/>
      <c r="C39" s="293"/>
      <c r="D39" s="294"/>
      <c r="E39" s="288"/>
      <c r="F39" s="295"/>
      <c r="G39" s="295"/>
      <c r="H39" s="293"/>
      <c r="I39" s="252"/>
      <c r="J39" s="247"/>
      <c r="K39" s="296">
        <f>IF(ISBLANK(B39),0,K38+1)</f>
        <v>0</v>
      </c>
      <c r="L39" s="247"/>
      <c r="M39" s="247"/>
      <c r="N39" t="b" s="297">
        <f>IF(AND(COUNTA(B39)=1,OR(G39="",G39='Auswahldaten'!A$13)),1)</f>
        <v>0</v>
      </c>
      <c r="O39" s="298">
        <f>IF(ISBLANK(H39)=TRUE,1,0)</f>
        <v>1</v>
      </c>
      <c r="P39" s="237"/>
      <c r="Q39" s="238"/>
      <c r="R39" s="13"/>
      <c r="S39" s="14"/>
    </row>
    <row r="40" ht="15.75" customHeight="1">
      <c r="A40" s="284">
        <v>29</v>
      </c>
      <c r="B40" s="293"/>
      <c r="C40" s="293"/>
      <c r="D40" s="294"/>
      <c r="E40" s="288"/>
      <c r="F40" s="295"/>
      <c r="G40" s="295"/>
      <c r="H40" s="293"/>
      <c r="I40" s="252"/>
      <c r="J40" s="247"/>
      <c r="K40" s="296">
        <f>IF(ISBLANK(B40),0,K39+1)</f>
        <v>0</v>
      </c>
      <c r="L40" s="247"/>
      <c r="M40" s="247"/>
      <c r="N40" t="b" s="297">
        <f>IF(AND(COUNTA(B40)=1,OR(G40="",G40='Auswahldaten'!A$13)),1)</f>
        <v>0</v>
      </c>
      <c r="O40" s="298">
        <f>IF(ISBLANK(H40)=TRUE,1,0)</f>
        <v>1</v>
      </c>
      <c r="P40" s="237"/>
      <c r="Q40" s="238"/>
      <c r="R40" s="13"/>
      <c r="S40" s="14"/>
    </row>
    <row r="41" ht="15.75" customHeight="1">
      <c r="A41" s="284">
        <v>30</v>
      </c>
      <c r="B41" s="293"/>
      <c r="C41" s="293"/>
      <c r="D41" s="294"/>
      <c r="E41" s="288"/>
      <c r="F41" s="295"/>
      <c r="G41" s="295"/>
      <c r="H41" s="293"/>
      <c r="I41" s="252"/>
      <c r="J41" s="247"/>
      <c r="K41" s="296">
        <f>IF(ISBLANK(B41),0,K40+1)</f>
        <v>0</v>
      </c>
      <c r="L41" s="247"/>
      <c r="M41" s="247"/>
      <c r="N41" t="b" s="297">
        <f>IF(AND(COUNTA(B41)=1,OR(G41="",G41='Auswahldaten'!A$13)),1)</f>
        <v>0</v>
      </c>
      <c r="O41" s="298">
        <f>IF(ISBLANK(H41)=TRUE,1,0)</f>
        <v>1</v>
      </c>
      <c r="P41" s="237"/>
      <c r="Q41" s="238"/>
      <c r="R41" s="13"/>
      <c r="S41" s="14"/>
    </row>
    <row r="42" ht="15.75" customHeight="1">
      <c r="A42" s="284">
        <v>31</v>
      </c>
      <c r="B42" s="293"/>
      <c r="C42" s="293"/>
      <c r="D42" s="294"/>
      <c r="E42" s="288"/>
      <c r="F42" s="295"/>
      <c r="G42" s="295"/>
      <c r="H42" s="293"/>
      <c r="I42" s="252"/>
      <c r="J42" s="247"/>
      <c r="K42" s="296">
        <f>IF(ISBLANK(B42),0,K41+1)</f>
        <v>0</v>
      </c>
      <c r="L42" s="247"/>
      <c r="M42" s="247"/>
      <c r="N42" t="b" s="297">
        <f>IF(AND(COUNTA(B42)=1,OR(G42="",G42='Auswahldaten'!A$13)),1)</f>
        <v>0</v>
      </c>
      <c r="O42" s="298">
        <f>IF(ISBLANK(H42)=TRUE,1,0)</f>
        <v>1</v>
      </c>
      <c r="P42" s="237"/>
      <c r="Q42" s="238"/>
      <c r="R42" s="13"/>
      <c r="S42" s="14"/>
    </row>
    <row r="43" ht="15.75" customHeight="1">
      <c r="A43" s="284">
        <v>32</v>
      </c>
      <c r="B43" s="293"/>
      <c r="C43" s="293"/>
      <c r="D43" s="294"/>
      <c r="E43" s="288"/>
      <c r="F43" s="295"/>
      <c r="G43" s="295"/>
      <c r="H43" s="293"/>
      <c r="I43" s="252"/>
      <c r="J43" s="247"/>
      <c r="K43" s="296">
        <f>IF(ISBLANK(B43),0,K42+1)</f>
        <v>0</v>
      </c>
      <c r="L43" s="247"/>
      <c r="M43" s="247"/>
      <c r="N43" t="b" s="297">
        <f>IF(AND(COUNTA(B43)=1,OR(G43="",G43='Auswahldaten'!A$13)),1)</f>
        <v>0</v>
      </c>
      <c r="O43" s="298">
        <f>IF(ISBLANK(H43)=TRUE,1,0)</f>
        <v>1</v>
      </c>
      <c r="P43" s="237"/>
      <c r="Q43" s="238"/>
      <c r="R43" s="13"/>
      <c r="S43" s="14"/>
    </row>
    <row r="44" ht="15.75" customHeight="1">
      <c r="A44" s="284">
        <v>33</v>
      </c>
      <c r="B44" s="293"/>
      <c r="C44" s="293"/>
      <c r="D44" s="294"/>
      <c r="E44" s="288"/>
      <c r="F44" s="295"/>
      <c r="G44" s="295"/>
      <c r="H44" s="293"/>
      <c r="I44" s="252"/>
      <c r="J44" s="247"/>
      <c r="K44" s="296">
        <f>IF(ISBLANK(B44),0,K43+1)</f>
        <v>0</v>
      </c>
      <c r="L44" s="247"/>
      <c r="M44" s="247"/>
      <c r="N44" t="b" s="297">
        <f>IF(AND(COUNTA(B44)=1,OR(G44="",G44='Auswahldaten'!A$13)),1)</f>
        <v>0</v>
      </c>
      <c r="O44" s="298">
        <f>IF(ISBLANK(H44)=TRUE,1,0)</f>
        <v>1</v>
      </c>
      <c r="P44" s="237"/>
      <c r="Q44" s="238"/>
      <c r="R44" s="13"/>
      <c r="S44" s="14"/>
    </row>
    <row r="45" ht="15.75" customHeight="1">
      <c r="A45" s="284">
        <v>34</v>
      </c>
      <c r="B45" s="293"/>
      <c r="C45" s="293"/>
      <c r="D45" s="294"/>
      <c r="E45" s="288"/>
      <c r="F45" s="295"/>
      <c r="G45" s="295"/>
      <c r="H45" s="293"/>
      <c r="I45" s="252"/>
      <c r="J45" s="247"/>
      <c r="K45" s="296">
        <f>IF(ISBLANK(B45),0,K44+1)</f>
        <v>0</v>
      </c>
      <c r="L45" s="247"/>
      <c r="M45" s="247"/>
      <c r="N45" t="b" s="297">
        <f>IF(AND(COUNTA(B45)=1,OR(G45="",G45='Auswahldaten'!A$13)),1)</f>
        <v>0</v>
      </c>
      <c r="O45" s="298">
        <f>IF(ISBLANK(H45)=TRUE,1,0)</f>
        <v>1</v>
      </c>
      <c r="P45" s="237"/>
      <c r="Q45" s="238"/>
      <c r="R45" s="13"/>
      <c r="S45" s="14"/>
    </row>
    <row r="46" ht="15.75" customHeight="1">
      <c r="A46" s="284">
        <v>35</v>
      </c>
      <c r="B46" s="293"/>
      <c r="C46" s="293"/>
      <c r="D46" s="294"/>
      <c r="E46" s="288"/>
      <c r="F46" s="295"/>
      <c r="G46" s="295"/>
      <c r="H46" s="293"/>
      <c r="I46" s="252"/>
      <c r="J46" s="247"/>
      <c r="K46" s="296">
        <f>IF(ISBLANK(B46),0,K45+1)</f>
        <v>0</v>
      </c>
      <c r="L46" s="247"/>
      <c r="M46" s="247"/>
      <c r="N46" t="b" s="297">
        <f>IF(AND(COUNTA(B46)=1,OR(G46="",G46='Auswahldaten'!A$13)),1)</f>
        <v>0</v>
      </c>
      <c r="O46" s="298">
        <f>IF(ISBLANK(H46)=TRUE,1,0)</f>
        <v>1</v>
      </c>
      <c r="P46" s="237"/>
      <c r="Q46" s="238"/>
      <c r="R46" s="13"/>
      <c r="S46" s="14"/>
    </row>
    <row r="47" ht="15.75" customHeight="1">
      <c r="A47" s="284">
        <v>36</v>
      </c>
      <c r="B47" s="293"/>
      <c r="C47" s="293"/>
      <c r="D47" s="294"/>
      <c r="E47" s="288"/>
      <c r="F47" s="295"/>
      <c r="G47" s="295"/>
      <c r="H47" s="293"/>
      <c r="I47" s="252"/>
      <c r="J47" s="247"/>
      <c r="K47" s="296">
        <f>IF(ISBLANK(B47),0,K46+1)</f>
        <v>0</v>
      </c>
      <c r="L47" s="247"/>
      <c r="M47" s="247"/>
      <c r="N47" t="b" s="297">
        <f>IF(AND(COUNTA(B47)=1,OR(G47="",G47='Auswahldaten'!A$13)),1)</f>
        <v>0</v>
      </c>
      <c r="O47" s="298">
        <f>IF(ISBLANK(H47)=TRUE,1,0)</f>
        <v>1</v>
      </c>
      <c r="P47" s="237"/>
      <c r="Q47" s="238"/>
      <c r="R47" s="13"/>
      <c r="S47" s="14"/>
    </row>
    <row r="48" ht="15.75" customHeight="1">
      <c r="A48" s="284">
        <v>37</v>
      </c>
      <c r="B48" s="293"/>
      <c r="C48" s="293"/>
      <c r="D48" s="294"/>
      <c r="E48" s="288"/>
      <c r="F48" s="295"/>
      <c r="G48" s="295"/>
      <c r="H48" s="293"/>
      <c r="I48" s="252"/>
      <c r="J48" s="247"/>
      <c r="K48" s="296">
        <f>IF(ISBLANK(B48),0,K47+1)</f>
        <v>0</v>
      </c>
      <c r="L48" s="247"/>
      <c r="M48" s="247"/>
      <c r="N48" t="b" s="297">
        <f>IF(AND(COUNTA(B48)=1,OR(G48="",G48='Auswahldaten'!A$13)),1)</f>
        <v>0</v>
      </c>
      <c r="O48" s="298">
        <f>IF(ISBLANK(H48)=TRUE,1,0)</f>
        <v>1</v>
      </c>
      <c r="P48" s="237"/>
      <c r="Q48" s="238"/>
      <c r="R48" s="13"/>
      <c r="S48" s="14"/>
    </row>
    <row r="49" ht="15.75" customHeight="1">
      <c r="A49" s="284">
        <v>38</v>
      </c>
      <c r="B49" s="293"/>
      <c r="C49" s="293"/>
      <c r="D49" s="294"/>
      <c r="E49" s="288"/>
      <c r="F49" s="295"/>
      <c r="G49" s="295"/>
      <c r="H49" s="293"/>
      <c r="I49" s="252"/>
      <c r="J49" s="247"/>
      <c r="K49" s="296">
        <f>IF(ISBLANK(B49),0,K48+1)</f>
        <v>0</v>
      </c>
      <c r="L49" s="247"/>
      <c r="M49" s="247"/>
      <c r="N49" t="b" s="297">
        <f>IF(AND(COUNTA(B49)=1,OR(G49="",G49='Auswahldaten'!A$13)),1)</f>
        <v>0</v>
      </c>
      <c r="O49" s="298">
        <f>IF(ISBLANK(H49)=TRUE,1,0)</f>
        <v>1</v>
      </c>
      <c r="P49" s="237"/>
      <c r="Q49" s="238"/>
      <c r="R49" s="13"/>
      <c r="S49" s="14"/>
    </row>
    <row r="50" ht="15.75" customHeight="1">
      <c r="A50" s="284">
        <v>39</v>
      </c>
      <c r="B50" s="293"/>
      <c r="C50" s="293"/>
      <c r="D50" s="294"/>
      <c r="E50" s="288"/>
      <c r="F50" s="295"/>
      <c r="G50" s="295"/>
      <c r="H50" s="293"/>
      <c r="I50" s="252"/>
      <c r="J50" s="247"/>
      <c r="K50" s="296">
        <f>IF(ISBLANK(B50),0,K49+1)</f>
        <v>0</v>
      </c>
      <c r="L50" s="247"/>
      <c r="M50" s="247"/>
      <c r="N50" t="b" s="297">
        <f>IF(AND(COUNTA(B50)=1,OR(G50="",G50='Auswahldaten'!A$13)),1)</f>
        <v>0</v>
      </c>
      <c r="O50" s="298">
        <f>IF(ISBLANK(H50)=TRUE,1,0)</f>
        <v>1</v>
      </c>
      <c r="P50" s="237"/>
      <c r="Q50" s="238"/>
      <c r="R50" s="13"/>
      <c r="S50" s="14"/>
    </row>
    <row r="51" ht="15.75" customHeight="1">
      <c r="A51" s="284">
        <v>40</v>
      </c>
      <c r="B51" s="293"/>
      <c r="C51" s="293"/>
      <c r="D51" s="294"/>
      <c r="E51" s="288"/>
      <c r="F51" s="295"/>
      <c r="G51" s="295"/>
      <c r="H51" s="293"/>
      <c r="I51" s="252"/>
      <c r="J51" s="247"/>
      <c r="K51" s="296">
        <f>IF(ISBLANK(B51),0,K50+1)</f>
        <v>0</v>
      </c>
      <c r="L51" s="247"/>
      <c r="M51" s="247"/>
      <c r="N51" t="b" s="297">
        <f>IF(AND(COUNTA(B51)=1,OR(G51="",G51='Auswahldaten'!A$13)),1)</f>
        <v>0</v>
      </c>
      <c r="O51" s="298">
        <f>IF(ISBLANK(H51)=TRUE,1,0)</f>
        <v>1</v>
      </c>
      <c r="P51" s="237"/>
      <c r="Q51" s="238"/>
      <c r="R51" s="13"/>
      <c r="S51" s="14"/>
    </row>
    <row r="52" ht="15.75" customHeight="1">
      <c r="A52" s="284">
        <v>41</v>
      </c>
      <c r="B52" s="293"/>
      <c r="C52" s="293"/>
      <c r="D52" s="294"/>
      <c r="E52" s="288"/>
      <c r="F52" s="295"/>
      <c r="G52" s="295"/>
      <c r="H52" s="293"/>
      <c r="I52" s="252"/>
      <c r="J52" s="247"/>
      <c r="K52" s="296">
        <f>IF(ISBLANK(B52),0,K51+1)</f>
        <v>0</v>
      </c>
      <c r="L52" s="247"/>
      <c r="M52" s="247"/>
      <c r="N52" t="b" s="297">
        <f>IF(AND(COUNTA(B52)=1,OR(G52="",G52='Auswahldaten'!A$13)),1)</f>
        <v>0</v>
      </c>
      <c r="O52" s="298">
        <f>IF(ISBLANK(H52)=TRUE,1,0)</f>
        <v>1</v>
      </c>
      <c r="P52" s="237"/>
      <c r="Q52" s="238"/>
      <c r="R52" s="13"/>
      <c r="S52" s="14"/>
    </row>
    <row r="53" ht="15.75" customHeight="1">
      <c r="A53" s="284">
        <v>42</v>
      </c>
      <c r="B53" s="293"/>
      <c r="C53" s="293"/>
      <c r="D53" s="294"/>
      <c r="E53" s="288"/>
      <c r="F53" s="295"/>
      <c r="G53" s="295"/>
      <c r="H53" s="293"/>
      <c r="I53" s="252"/>
      <c r="J53" s="247"/>
      <c r="K53" s="296">
        <f>IF(ISBLANK(B53),0,K52+1)</f>
        <v>0</v>
      </c>
      <c r="L53" s="247"/>
      <c r="M53" s="247"/>
      <c r="N53" t="b" s="297">
        <f>IF(AND(COUNTA(B53)=1,OR(G53="",G53='Auswahldaten'!A$13)),1)</f>
        <v>0</v>
      </c>
      <c r="O53" s="298">
        <f>IF(ISBLANK(H53)=TRUE,1,0)</f>
        <v>1</v>
      </c>
      <c r="P53" s="237"/>
      <c r="Q53" s="238"/>
      <c r="R53" s="13"/>
      <c r="S53" s="14"/>
    </row>
    <row r="54" ht="15.75" customHeight="1">
      <c r="A54" s="284">
        <v>43</v>
      </c>
      <c r="B54" s="293"/>
      <c r="C54" s="293"/>
      <c r="D54" s="294"/>
      <c r="E54" s="288"/>
      <c r="F54" s="295"/>
      <c r="G54" s="295"/>
      <c r="H54" s="293"/>
      <c r="I54" s="252"/>
      <c r="J54" s="247"/>
      <c r="K54" s="296">
        <f>IF(ISBLANK(B54),0,K53+1)</f>
        <v>0</v>
      </c>
      <c r="L54" s="247"/>
      <c r="M54" s="247"/>
      <c r="N54" t="b" s="297">
        <f>IF(AND(COUNTA(B54)=1,OR(G54="",G54='Auswahldaten'!A$13)),1)</f>
        <v>0</v>
      </c>
      <c r="O54" s="298">
        <f>IF(ISBLANK(H54)=TRUE,1,0)</f>
        <v>1</v>
      </c>
      <c r="P54" s="237"/>
      <c r="Q54" s="238"/>
      <c r="R54" s="13"/>
      <c r="S54" s="14"/>
    </row>
    <row r="55" ht="15.75" customHeight="1">
      <c r="A55" s="284">
        <v>44</v>
      </c>
      <c r="B55" s="293"/>
      <c r="C55" s="293"/>
      <c r="D55" s="294"/>
      <c r="E55" s="288"/>
      <c r="F55" s="295"/>
      <c r="G55" s="295"/>
      <c r="H55" s="293"/>
      <c r="I55" s="252"/>
      <c r="J55" s="247"/>
      <c r="K55" s="296">
        <f>IF(ISBLANK(B55),0,K54+1)</f>
        <v>0</v>
      </c>
      <c r="L55" s="247"/>
      <c r="M55" s="247"/>
      <c r="N55" t="b" s="297">
        <f>IF(AND(COUNTA(B55)=1,OR(G55="",G55='Auswahldaten'!A$13)),1)</f>
        <v>0</v>
      </c>
      <c r="O55" s="298">
        <f>IF(ISBLANK(H55)=TRUE,1,0)</f>
        <v>1</v>
      </c>
      <c r="P55" s="237"/>
      <c r="Q55" s="238"/>
      <c r="R55" s="13"/>
      <c r="S55" s="14"/>
    </row>
    <row r="56" ht="15.75" customHeight="1">
      <c r="A56" s="284">
        <v>45</v>
      </c>
      <c r="B56" s="293"/>
      <c r="C56" s="293"/>
      <c r="D56" s="294"/>
      <c r="E56" s="288"/>
      <c r="F56" s="295"/>
      <c r="G56" s="295"/>
      <c r="H56" s="293"/>
      <c r="I56" s="252"/>
      <c r="J56" s="247"/>
      <c r="K56" s="296">
        <f>IF(ISBLANK(B56),0,K55+1)</f>
        <v>0</v>
      </c>
      <c r="L56" s="247"/>
      <c r="M56" s="247"/>
      <c r="N56" t="b" s="297">
        <f>IF(AND(COUNTA(B56)=1,OR(G56="",G56='Auswahldaten'!A$13)),1)</f>
        <v>0</v>
      </c>
      <c r="O56" s="298">
        <f>IF(ISBLANK(H56)=TRUE,1,0)</f>
        <v>1</v>
      </c>
      <c r="P56" s="237"/>
      <c r="Q56" s="238"/>
      <c r="R56" s="13"/>
      <c r="S56" s="14"/>
    </row>
    <row r="57" ht="15.75" customHeight="1">
      <c r="A57" s="284">
        <v>46</v>
      </c>
      <c r="B57" s="293"/>
      <c r="C57" s="293"/>
      <c r="D57" s="294"/>
      <c r="E57" s="288"/>
      <c r="F57" s="295"/>
      <c r="G57" s="295"/>
      <c r="H57" s="293"/>
      <c r="I57" s="252"/>
      <c r="J57" s="247"/>
      <c r="K57" s="296">
        <f>IF(ISBLANK(B57),0,K56+1)</f>
        <v>0</v>
      </c>
      <c r="L57" s="247"/>
      <c r="M57" s="247"/>
      <c r="N57" t="b" s="297">
        <f>IF(AND(COUNTA(B57)=1,OR(G57="",G57='Auswahldaten'!A$13)),1)</f>
        <v>0</v>
      </c>
      <c r="O57" s="298">
        <f>IF(ISBLANK(H57)=TRUE,1,0)</f>
        <v>1</v>
      </c>
      <c r="P57" s="237"/>
      <c r="Q57" s="238"/>
      <c r="R57" s="13"/>
      <c r="S57" s="14"/>
    </row>
    <row r="58" ht="15.75" customHeight="1">
      <c r="A58" s="284">
        <v>47</v>
      </c>
      <c r="B58" s="293"/>
      <c r="C58" s="293"/>
      <c r="D58" s="294"/>
      <c r="E58" s="288"/>
      <c r="F58" s="295"/>
      <c r="G58" s="295"/>
      <c r="H58" s="293"/>
      <c r="I58" s="252"/>
      <c r="J58" s="247"/>
      <c r="K58" s="296">
        <f>IF(ISBLANK(B58),0,K57+1)</f>
        <v>0</v>
      </c>
      <c r="L58" s="247"/>
      <c r="M58" s="247"/>
      <c r="N58" t="b" s="297">
        <f>IF(AND(COUNTA(B58)=1,OR(G58="",G58='Auswahldaten'!A$13)),1)</f>
        <v>0</v>
      </c>
      <c r="O58" s="298">
        <f>IF(ISBLANK(H58)=TRUE,1,0)</f>
        <v>1</v>
      </c>
      <c r="P58" s="237"/>
      <c r="Q58" s="238"/>
      <c r="R58" s="13"/>
      <c r="S58" s="14"/>
    </row>
    <row r="59" ht="15.75" customHeight="1">
      <c r="A59" s="284">
        <v>48</v>
      </c>
      <c r="B59" s="293"/>
      <c r="C59" s="293"/>
      <c r="D59" s="294"/>
      <c r="E59" s="288"/>
      <c r="F59" s="295"/>
      <c r="G59" s="295"/>
      <c r="H59" s="293"/>
      <c r="I59" s="252"/>
      <c r="J59" s="247"/>
      <c r="K59" s="296">
        <f>IF(ISBLANK(B59),0,K58+1)</f>
        <v>0</v>
      </c>
      <c r="L59" s="247"/>
      <c r="M59" s="247"/>
      <c r="N59" t="b" s="297">
        <f>IF(AND(COUNTA(B59)=1,OR(G59="",G59='Auswahldaten'!A$13)),1)</f>
        <v>0</v>
      </c>
      <c r="O59" s="298">
        <f>IF(ISBLANK(H59)=TRUE,1,0)</f>
        <v>1</v>
      </c>
      <c r="P59" s="237"/>
      <c r="Q59" s="238"/>
      <c r="R59" s="13"/>
      <c r="S59" s="14"/>
    </row>
    <row r="60" ht="15.75" customHeight="1">
      <c r="A60" s="284">
        <v>49</v>
      </c>
      <c r="B60" s="293"/>
      <c r="C60" s="293"/>
      <c r="D60" s="294"/>
      <c r="E60" s="288"/>
      <c r="F60" s="295"/>
      <c r="G60" s="295"/>
      <c r="H60" s="293"/>
      <c r="I60" s="252"/>
      <c r="J60" s="247"/>
      <c r="K60" s="296">
        <f>IF(ISBLANK(B60),0,K59+1)</f>
        <v>0</v>
      </c>
      <c r="L60" s="247"/>
      <c r="M60" s="247"/>
      <c r="N60" t="b" s="297">
        <f>IF(AND(COUNTA(B60)=1,OR(G60="",G60='Auswahldaten'!A$13)),1)</f>
        <v>0</v>
      </c>
      <c r="O60" s="298">
        <f>IF(ISBLANK(H60)=TRUE,1,0)</f>
        <v>1</v>
      </c>
      <c r="P60" s="237"/>
      <c r="Q60" s="238"/>
      <c r="R60" s="13"/>
      <c r="S60" s="14"/>
    </row>
    <row r="61" ht="15.75" customHeight="1">
      <c r="A61" s="284">
        <v>50</v>
      </c>
      <c r="B61" s="293"/>
      <c r="C61" s="293"/>
      <c r="D61" s="294"/>
      <c r="E61" s="288"/>
      <c r="F61" s="295"/>
      <c r="G61" s="295"/>
      <c r="H61" s="293"/>
      <c r="I61" s="252"/>
      <c r="J61" s="247"/>
      <c r="K61" s="296">
        <f>IF(ISBLANK(B61),0,K60+1)</f>
        <v>0</v>
      </c>
      <c r="L61" s="247"/>
      <c r="M61" s="247"/>
      <c r="N61" t="b" s="297">
        <f>IF(AND(COUNTA(B61)=1,OR(G61="",G61='Auswahldaten'!A$13)),1)</f>
        <v>0</v>
      </c>
      <c r="O61" s="298">
        <f>IF(ISBLANK(H61)=TRUE,1,0)</f>
        <v>1</v>
      </c>
      <c r="P61" s="237"/>
      <c r="Q61" s="238"/>
      <c r="R61" s="13"/>
      <c r="S61" s="14"/>
    </row>
    <row r="62" ht="16.5" customHeight="1">
      <c r="A62" s="299"/>
      <c r="B62" t="s" s="300">
        <f>IF('Adatlap'!$L$1='Fordítások'!C3,'Fordítások'!C24,'Fordítások'!B24)</f>
        <v>194</v>
      </c>
      <c r="C62" s="301"/>
      <c r="D62" s="302"/>
      <c r="E62" s="303">
        <f>SUM(E12:E61)</f>
        <v>0</v>
      </c>
      <c r="F62" s="301"/>
      <c r="G62" s="301"/>
      <c r="H62" s="301"/>
      <c r="I62" s="247"/>
      <c r="J62" s="247"/>
      <c r="K62" s="247"/>
      <c r="L62" t="s" s="304">
        <v>195</v>
      </c>
      <c r="M62" s="305"/>
      <c r="N62" s="298">
        <f>SUM(N13:N61)</f>
        <v>0</v>
      </c>
      <c r="O62" s="298">
        <f>49-SUM(O13:O61)</f>
        <v>0</v>
      </c>
      <c r="P62" s="237"/>
      <c r="Q62" s="238"/>
      <c r="R62" s="13"/>
      <c r="S62" s="14"/>
    </row>
    <row r="63" ht="16.5" customHeight="1">
      <c r="A63" s="239"/>
      <c r="B63" s="242"/>
      <c r="C63" s="242"/>
      <c r="D63" s="306"/>
      <c r="E63" t="s" s="307">
        <f>IF('Adatlap'!$L$1='Fordítások'!C3,'Fordítások'!C25,'Fordítások'!B25)</f>
        <v>196</v>
      </c>
      <c r="F63" s="242"/>
      <c r="G63" s="242"/>
      <c r="H63" s="242"/>
      <c r="I63" s="247"/>
      <c r="J63" s="247"/>
      <c r="K63" s="247"/>
      <c r="L63" s="247"/>
      <c r="M63" s="247"/>
      <c r="N63" s="236"/>
      <c r="O63" s="237"/>
      <c r="P63" s="237"/>
      <c r="Q63" s="238"/>
      <c r="R63" s="13"/>
      <c r="S63" s="14"/>
    </row>
    <row r="64" ht="15.75" customHeight="1">
      <c r="A64" s="239"/>
      <c r="B64" s="242"/>
      <c r="C64" s="242"/>
      <c r="D64" s="306"/>
      <c r="E64" s="308"/>
      <c r="F64" s="242"/>
      <c r="G64" s="242"/>
      <c r="H64" s="242"/>
      <c r="I64" s="247"/>
      <c r="J64" s="247"/>
      <c r="K64" s="247"/>
      <c r="L64" s="247"/>
      <c r="M64" s="247"/>
      <c r="N64" s="236"/>
      <c r="O64" s="237"/>
      <c r="P64" s="237"/>
      <c r="Q64" s="238"/>
      <c r="R64" s="13"/>
      <c r="S64" s="14"/>
    </row>
    <row r="65" ht="34.5" customHeight="1">
      <c r="A65" s="239"/>
      <c r="B65" t="s" s="211">
        <f>IF('Adatlap'!$L$1='Fordítások'!C3,'Fordítások'!C53,'Fordítások'!B53)</f>
        <v>163</v>
      </c>
      <c r="C65" s="305"/>
      <c r="D65" s="309"/>
      <c r="E65" s="309"/>
      <c r="F65" s="309"/>
      <c r="G65" s="309"/>
      <c r="H65" s="310"/>
      <c r="I65" s="247"/>
      <c r="J65" s="247"/>
      <c r="K65" s="247"/>
      <c r="L65" s="247"/>
      <c r="M65" s="247"/>
      <c r="N65" s="236"/>
      <c r="O65" s="237"/>
      <c r="P65" s="237"/>
      <c r="Q65" s="238"/>
      <c r="R65" s="13"/>
      <c r="S65" s="14"/>
    </row>
    <row r="66" ht="15.75" customHeight="1">
      <c r="A66" s="239"/>
      <c r="B66" s="311"/>
      <c r="C66" s="311"/>
      <c r="D66" s="311"/>
      <c r="E66" s="311"/>
      <c r="F66" s="311"/>
      <c r="G66" s="311"/>
      <c r="H66" s="311"/>
      <c r="I66" s="247"/>
      <c r="J66" s="247"/>
      <c r="K66" s="247"/>
      <c r="L66" s="247"/>
      <c r="M66" s="247"/>
      <c r="N66" s="236"/>
      <c r="O66" s="237"/>
      <c r="P66" s="237"/>
      <c r="Q66" s="238"/>
      <c r="R66" s="13"/>
      <c r="S66" s="14"/>
    </row>
    <row r="67" ht="46.5" customHeight="1">
      <c r="A67" s="312"/>
      <c r="B67" t="s" s="313">
        <f>IF('Adatlap'!$L$1='Fordítások'!C3,'Fordítások'!C26,'Fordítások'!B26)</f>
        <v>197</v>
      </c>
      <c r="C67" s="314"/>
      <c r="D67" s="315"/>
      <c r="E67" s="315"/>
      <c r="F67" s="315"/>
      <c r="G67" s="315"/>
      <c r="H67" s="316"/>
      <c r="I67" s="252"/>
      <c r="J67" s="247"/>
      <c r="K67" s="247"/>
      <c r="L67" s="247"/>
      <c r="M67" s="247"/>
      <c r="N67" s="236"/>
      <c r="O67" s="237"/>
      <c r="P67" s="237"/>
      <c r="Q67" s="238"/>
      <c r="R67" s="13"/>
      <c r="S67" s="14"/>
    </row>
    <row r="68" ht="15.75" customHeight="1">
      <c r="A68" s="239"/>
      <c r="B68" s="301"/>
      <c r="C68" s="301"/>
      <c r="D68" s="301"/>
      <c r="E68" s="301"/>
      <c r="F68" s="301"/>
      <c r="G68" s="301"/>
      <c r="H68" s="301"/>
      <c r="I68" s="247"/>
      <c r="J68" s="247"/>
      <c r="K68" s="247"/>
      <c r="L68" s="247"/>
      <c r="M68" s="247"/>
      <c r="N68" s="236"/>
      <c r="O68" s="237"/>
      <c r="P68" s="237"/>
      <c r="Q68" s="238"/>
      <c r="R68" s="13"/>
      <c r="S68" s="14"/>
    </row>
    <row r="69" ht="15.75" customHeight="1">
      <c r="A69" s="239"/>
      <c r="B69" s="242"/>
      <c r="C69" s="242"/>
      <c r="D69" s="242"/>
      <c r="E69" s="242"/>
      <c r="F69" s="242"/>
      <c r="G69" s="242"/>
      <c r="H69" s="242"/>
      <c r="I69" s="247"/>
      <c r="J69" s="247"/>
      <c r="K69" s="247"/>
      <c r="L69" s="247"/>
      <c r="M69" s="247"/>
      <c r="N69" s="236"/>
      <c r="O69" s="237"/>
      <c r="P69" s="237"/>
      <c r="Q69" s="238"/>
      <c r="R69" s="13"/>
      <c r="S69" s="14"/>
    </row>
    <row r="70" ht="15.75" customHeight="1">
      <c r="A70" s="239"/>
      <c r="B70" s="242"/>
      <c r="C70" s="242"/>
      <c r="D70" s="242"/>
      <c r="E70" s="242"/>
      <c r="F70" s="242"/>
      <c r="G70" s="242"/>
      <c r="H70" s="242"/>
      <c r="I70" s="242"/>
      <c r="J70" s="247"/>
      <c r="K70" s="247"/>
      <c r="L70" s="247"/>
      <c r="M70" s="247"/>
      <c r="N70" s="236"/>
      <c r="O70" s="237"/>
      <c r="P70" s="237"/>
      <c r="Q70" s="238"/>
      <c r="R70" s="13"/>
      <c r="S70" s="14"/>
    </row>
    <row r="71" ht="15.75" customHeight="1">
      <c r="A71" s="239"/>
      <c r="B71" s="242"/>
      <c r="C71" s="242"/>
      <c r="D71" s="242"/>
      <c r="E71" s="242"/>
      <c r="F71" s="242"/>
      <c r="G71" s="242"/>
      <c r="H71" s="242"/>
      <c r="I71" s="242"/>
      <c r="J71" s="247"/>
      <c r="K71" s="247"/>
      <c r="L71" s="247"/>
      <c r="M71" s="247"/>
      <c r="N71" s="236"/>
      <c r="O71" s="237"/>
      <c r="P71" s="237"/>
      <c r="Q71" s="238"/>
      <c r="R71" s="13"/>
      <c r="S71" s="14"/>
    </row>
    <row r="72" ht="15.75" customHeight="1">
      <c r="A72" s="239"/>
      <c r="B72" s="242"/>
      <c r="C72" s="242"/>
      <c r="D72" s="242"/>
      <c r="E72" s="242"/>
      <c r="F72" s="242"/>
      <c r="G72" s="242"/>
      <c r="H72" s="242"/>
      <c r="I72" s="242"/>
      <c r="J72" s="247"/>
      <c r="K72" s="247"/>
      <c r="L72" s="247"/>
      <c r="M72" s="247"/>
      <c r="N72" s="236"/>
      <c r="O72" s="237"/>
      <c r="P72" s="237"/>
      <c r="Q72" s="238"/>
      <c r="R72" s="13"/>
      <c r="S72" s="14"/>
    </row>
    <row r="73" ht="15.75" customHeight="1">
      <c r="A73" s="239"/>
      <c r="B73" s="242"/>
      <c r="C73" s="242"/>
      <c r="D73" s="242"/>
      <c r="E73" s="242"/>
      <c r="F73" s="242"/>
      <c r="G73" s="242"/>
      <c r="H73" s="242"/>
      <c r="I73" s="242"/>
      <c r="J73" s="247"/>
      <c r="K73" s="247"/>
      <c r="L73" s="247"/>
      <c r="M73" s="247"/>
      <c r="N73" s="236"/>
      <c r="O73" s="237"/>
      <c r="P73" s="237"/>
      <c r="Q73" s="238"/>
      <c r="R73" s="13"/>
      <c r="S73" s="14"/>
    </row>
    <row r="74" ht="15.75" customHeight="1">
      <c r="A74" s="239"/>
      <c r="B74" s="242"/>
      <c r="C74" s="242"/>
      <c r="D74" s="242"/>
      <c r="E74" s="242"/>
      <c r="F74" s="242"/>
      <c r="G74" s="242"/>
      <c r="H74" s="242"/>
      <c r="I74" s="242"/>
      <c r="J74" s="247"/>
      <c r="K74" s="247"/>
      <c r="L74" s="247"/>
      <c r="M74" s="247"/>
      <c r="N74" s="236"/>
      <c r="O74" s="237"/>
      <c r="P74" s="237"/>
      <c r="Q74" s="238"/>
      <c r="R74" s="13"/>
      <c r="S74" s="14"/>
    </row>
    <row r="75" ht="15.75" customHeight="1">
      <c r="A75" s="239"/>
      <c r="B75" s="242"/>
      <c r="C75" s="242"/>
      <c r="D75" s="242"/>
      <c r="E75" s="242"/>
      <c r="F75" s="242"/>
      <c r="G75" s="242"/>
      <c r="H75" s="242"/>
      <c r="I75" s="242"/>
      <c r="J75" s="247"/>
      <c r="K75" s="247"/>
      <c r="L75" s="247"/>
      <c r="M75" s="247"/>
      <c r="N75" s="236"/>
      <c r="O75" s="237"/>
      <c r="P75" s="237"/>
      <c r="Q75" s="238"/>
      <c r="R75" s="13"/>
      <c r="S75" s="14"/>
    </row>
    <row r="76" ht="15.75" customHeight="1">
      <c r="A76" s="239"/>
      <c r="B76" s="242"/>
      <c r="C76" s="242"/>
      <c r="D76" s="242"/>
      <c r="E76" s="242"/>
      <c r="F76" s="242"/>
      <c r="G76" s="242"/>
      <c r="H76" s="242"/>
      <c r="I76" s="242"/>
      <c r="J76" s="247"/>
      <c r="K76" s="247"/>
      <c r="L76" s="247"/>
      <c r="M76" s="247"/>
      <c r="N76" s="236"/>
      <c r="O76" s="237"/>
      <c r="P76" s="237"/>
      <c r="Q76" s="238"/>
      <c r="R76" s="13"/>
      <c r="S76" s="14"/>
    </row>
    <row r="77" ht="15.75" customHeight="1">
      <c r="A77" s="239"/>
      <c r="B77" s="242"/>
      <c r="C77" s="242"/>
      <c r="D77" s="242"/>
      <c r="E77" s="242"/>
      <c r="F77" s="242"/>
      <c r="G77" s="242"/>
      <c r="H77" s="242"/>
      <c r="I77" s="242"/>
      <c r="J77" s="247"/>
      <c r="K77" s="247"/>
      <c r="L77" s="247"/>
      <c r="M77" s="247"/>
      <c r="N77" s="236"/>
      <c r="O77" s="237"/>
      <c r="P77" s="237"/>
      <c r="Q77" s="238"/>
      <c r="R77" s="13"/>
      <c r="S77" s="14"/>
    </row>
    <row r="78" ht="15.75" customHeight="1">
      <c r="A78" s="239"/>
      <c r="B78" s="242"/>
      <c r="C78" s="242"/>
      <c r="D78" s="242"/>
      <c r="E78" s="242"/>
      <c r="F78" s="242"/>
      <c r="G78" s="242"/>
      <c r="H78" s="242"/>
      <c r="I78" s="242"/>
      <c r="J78" s="247"/>
      <c r="K78" s="247"/>
      <c r="L78" s="247"/>
      <c r="M78" s="247"/>
      <c r="N78" s="236"/>
      <c r="O78" s="237"/>
      <c r="P78" s="237"/>
      <c r="Q78" s="238"/>
      <c r="R78" s="13"/>
      <c r="S78" s="14"/>
    </row>
    <row r="79" ht="15.75" customHeight="1">
      <c r="A79" s="239"/>
      <c r="B79" s="242"/>
      <c r="C79" s="242"/>
      <c r="D79" s="242"/>
      <c r="E79" s="242"/>
      <c r="F79" s="242"/>
      <c r="G79" s="242"/>
      <c r="H79" s="242"/>
      <c r="I79" s="242"/>
      <c r="J79" s="247"/>
      <c r="K79" s="247"/>
      <c r="L79" s="247"/>
      <c r="M79" s="247"/>
      <c r="N79" s="236"/>
      <c r="O79" s="237"/>
      <c r="P79" s="237"/>
      <c r="Q79" s="238"/>
      <c r="R79" s="13"/>
      <c r="S79" s="14"/>
    </row>
    <row r="80" ht="15.75" customHeight="1">
      <c r="A80" s="239"/>
      <c r="B80" s="242"/>
      <c r="C80" s="242"/>
      <c r="D80" s="242"/>
      <c r="E80" s="242"/>
      <c r="F80" s="242"/>
      <c r="G80" s="242"/>
      <c r="H80" s="242"/>
      <c r="I80" s="242"/>
      <c r="J80" s="247"/>
      <c r="K80" s="247"/>
      <c r="L80" s="247"/>
      <c r="M80" s="247"/>
      <c r="N80" s="236"/>
      <c r="O80" s="237"/>
      <c r="P80" s="237"/>
      <c r="Q80" s="238"/>
      <c r="R80" s="13"/>
      <c r="S80" s="14"/>
    </row>
    <row r="81" ht="15.75" customHeight="1">
      <c r="A81" s="239"/>
      <c r="B81" s="242"/>
      <c r="C81" s="242"/>
      <c r="D81" s="242"/>
      <c r="E81" s="242"/>
      <c r="F81" s="242"/>
      <c r="G81" s="242"/>
      <c r="H81" s="242"/>
      <c r="I81" s="242"/>
      <c r="J81" s="247"/>
      <c r="K81" s="247"/>
      <c r="L81" s="247"/>
      <c r="M81" s="247"/>
      <c r="N81" s="236"/>
      <c r="O81" s="237"/>
      <c r="P81" s="237"/>
      <c r="Q81" s="238"/>
      <c r="R81" s="13"/>
      <c r="S81" s="14"/>
    </row>
    <row r="82" ht="15.75" customHeight="1">
      <c r="A82" s="239"/>
      <c r="B82" s="242"/>
      <c r="C82" s="242"/>
      <c r="D82" s="242"/>
      <c r="E82" s="242"/>
      <c r="F82" s="242"/>
      <c r="G82" s="242"/>
      <c r="H82" s="242"/>
      <c r="I82" s="242"/>
      <c r="J82" s="247"/>
      <c r="K82" s="247"/>
      <c r="L82" s="247"/>
      <c r="M82" s="247"/>
      <c r="N82" s="236"/>
      <c r="O82" s="237"/>
      <c r="P82" s="237"/>
      <c r="Q82" s="238"/>
      <c r="R82" s="13"/>
      <c r="S82" s="14"/>
    </row>
    <row r="83" ht="15.75" customHeight="1">
      <c r="A83" s="239"/>
      <c r="B83" s="242"/>
      <c r="C83" s="242"/>
      <c r="D83" s="242"/>
      <c r="E83" s="242"/>
      <c r="F83" s="242"/>
      <c r="G83" s="242"/>
      <c r="H83" s="242"/>
      <c r="I83" s="242"/>
      <c r="J83" s="247"/>
      <c r="K83" s="247"/>
      <c r="L83" s="247"/>
      <c r="M83" s="247"/>
      <c r="N83" s="236"/>
      <c r="O83" s="237"/>
      <c r="P83" s="237"/>
      <c r="Q83" s="238"/>
      <c r="R83" s="13"/>
      <c r="S83" s="14"/>
    </row>
    <row r="84" ht="15.75" customHeight="1">
      <c r="A84" s="239"/>
      <c r="B84" s="242"/>
      <c r="C84" s="242"/>
      <c r="D84" s="242"/>
      <c r="E84" s="242"/>
      <c r="F84" s="242"/>
      <c r="G84" s="242"/>
      <c r="H84" s="242"/>
      <c r="I84" s="242"/>
      <c r="J84" s="247"/>
      <c r="K84" s="247"/>
      <c r="L84" s="247"/>
      <c r="M84" s="247"/>
      <c r="N84" s="236"/>
      <c r="O84" s="237"/>
      <c r="P84" s="237"/>
      <c r="Q84" s="238"/>
      <c r="R84" s="13"/>
      <c r="S84" s="14"/>
    </row>
    <row r="85" ht="15.75" customHeight="1">
      <c r="A85" s="239"/>
      <c r="B85" s="242"/>
      <c r="C85" s="242"/>
      <c r="D85" s="242"/>
      <c r="E85" s="242"/>
      <c r="F85" s="242"/>
      <c r="G85" s="242"/>
      <c r="H85" s="242"/>
      <c r="I85" s="242"/>
      <c r="J85" s="247"/>
      <c r="K85" s="247"/>
      <c r="L85" s="247"/>
      <c r="M85" s="247"/>
      <c r="N85" s="236"/>
      <c r="O85" s="237"/>
      <c r="P85" s="237"/>
      <c r="Q85" s="238"/>
      <c r="R85" s="13"/>
      <c r="S85" s="14"/>
    </row>
    <row r="86" ht="15.75" customHeight="1">
      <c r="A86" s="239"/>
      <c r="B86" s="242"/>
      <c r="C86" s="242"/>
      <c r="D86" s="242"/>
      <c r="E86" s="242"/>
      <c r="F86" s="242"/>
      <c r="G86" s="242"/>
      <c r="H86" s="242"/>
      <c r="I86" s="242"/>
      <c r="J86" s="247"/>
      <c r="K86" s="247"/>
      <c r="L86" s="247"/>
      <c r="M86" s="247"/>
      <c r="N86" s="236"/>
      <c r="O86" s="237"/>
      <c r="P86" s="237"/>
      <c r="Q86" s="238"/>
      <c r="R86" s="13"/>
      <c r="S86" s="14"/>
    </row>
    <row r="87" ht="15.75" customHeight="1">
      <c r="A87" s="239"/>
      <c r="B87" s="242"/>
      <c r="C87" s="242"/>
      <c r="D87" s="242"/>
      <c r="E87" s="242"/>
      <c r="F87" s="242"/>
      <c r="G87" s="242"/>
      <c r="H87" s="242"/>
      <c r="I87" s="242"/>
      <c r="J87" s="247"/>
      <c r="K87" s="247"/>
      <c r="L87" s="247"/>
      <c r="M87" s="247"/>
      <c r="N87" s="236"/>
      <c r="O87" s="237"/>
      <c r="P87" s="237"/>
      <c r="Q87" s="238"/>
      <c r="R87" s="13"/>
      <c r="S87" s="14"/>
    </row>
    <row r="88" ht="15.75" customHeight="1">
      <c r="A88" s="239"/>
      <c r="B88" s="242"/>
      <c r="C88" s="242"/>
      <c r="D88" s="242"/>
      <c r="E88" s="242"/>
      <c r="F88" s="242"/>
      <c r="G88" s="242"/>
      <c r="H88" s="242"/>
      <c r="I88" s="242"/>
      <c r="J88" s="247"/>
      <c r="K88" s="247"/>
      <c r="L88" s="247"/>
      <c r="M88" s="247"/>
      <c r="N88" s="236"/>
      <c r="O88" s="237"/>
      <c r="P88" s="237"/>
      <c r="Q88" s="238"/>
      <c r="R88" s="13"/>
      <c r="S88" s="14"/>
    </row>
    <row r="89" ht="15.75" customHeight="1">
      <c r="A89" s="239"/>
      <c r="B89" s="242"/>
      <c r="C89" s="242"/>
      <c r="D89" s="242"/>
      <c r="E89" s="242"/>
      <c r="F89" s="242"/>
      <c r="G89" s="242"/>
      <c r="H89" s="242"/>
      <c r="I89" s="242"/>
      <c r="J89" s="247"/>
      <c r="K89" s="247"/>
      <c r="L89" s="247"/>
      <c r="M89" s="247"/>
      <c r="N89" s="236"/>
      <c r="O89" s="237"/>
      <c r="P89" s="237"/>
      <c r="Q89" s="238"/>
      <c r="R89" s="13"/>
      <c r="S89" s="14"/>
    </row>
    <row r="90" ht="15.75" customHeight="1">
      <c r="A90" s="239"/>
      <c r="B90" s="242"/>
      <c r="C90" s="242"/>
      <c r="D90" s="242"/>
      <c r="E90" s="242"/>
      <c r="F90" s="242"/>
      <c r="G90" s="242"/>
      <c r="H90" s="242"/>
      <c r="I90" s="242"/>
      <c r="J90" s="247"/>
      <c r="K90" s="247"/>
      <c r="L90" s="247"/>
      <c r="M90" s="247"/>
      <c r="N90" s="236"/>
      <c r="O90" s="237"/>
      <c r="P90" s="237"/>
      <c r="Q90" s="238"/>
      <c r="R90" s="13"/>
      <c r="S90" s="14"/>
    </row>
    <row r="91" ht="15.75" customHeight="1">
      <c r="A91" s="239"/>
      <c r="B91" s="242"/>
      <c r="C91" s="242"/>
      <c r="D91" s="242"/>
      <c r="E91" s="242"/>
      <c r="F91" s="242"/>
      <c r="G91" s="242"/>
      <c r="H91" s="242"/>
      <c r="I91" s="242"/>
      <c r="J91" s="247"/>
      <c r="K91" s="247"/>
      <c r="L91" s="247"/>
      <c r="M91" s="247"/>
      <c r="N91" s="236"/>
      <c r="O91" s="237"/>
      <c r="P91" s="237"/>
      <c r="Q91" s="238"/>
      <c r="R91" s="13"/>
      <c r="S91" s="14"/>
    </row>
    <row r="92" ht="15.75" customHeight="1">
      <c r="A92" s="239"/>
      <c r="B92" s="242"/>
      <c r="C92" s="242"/>
      <c r="D92" s="242"/>
      <c r="E92" s="242"/>
      <c r="F92" s="242"/>
      <c r="G92" s="242"/>
      <c r="H92" s="242"/>
      <c r="I92" s="242"/>
      <c r="J92" s="247"/>
      <c r="K92" s="247"/>
      <c r="L92" s="247"/>
      <c r="M92" s="247"/>
      <c r="N92" s="236"/>
      <c r="O92" s="237"/>
      <c r="P92" s="237"/>
      <c r="Q92" s="238"/>
      <c r="R92" s="13"/>
      <c r="S92" s="14"/>
    </row>
    <row r="93" ht="15.75" customHeight="1">
      <c r="A93" s="239"/>
      <c r="B93" s="242"/>
      <c r="C93" s="242"/>
      <c r="D93" s="242"/>
      <c r="E93" s="242"/>
      <c r="F93" s="242"/>
      <c r="G93" s="242"/>
      <c r="H93" s="242"/>
      <c r="I93" s="242"/>
      <c r="J93" s="247"/>
      <c r="K93" s="247"/>
      <c r="L93" s="247"/>
      <c r="M93" s="247"/>
      <c r="N93" s="236"/>
      <c r="O93" s="237"/>
      <c r="P93" s="237"/>
      <c r="Q93" s="238"/>
      <c r="R93" s="13"/>
      <c r="S93" s="14"/>
    </row>
    <row r="94" ht="15.75" customHeight="1">
      <c r="A94" s="239"/>
      <c r="B94" s="242"/>
      <c r="C94" s="242"/>
      <c r="D94" s="242"/>
      <c r="E94" s="242"/>
      <c r="F94" s="242"/>
      <c r="G94" s="242"/>
      <c r="H94" s="242"/>
      <c r="I94" s="242"/>
      <c r="J94" s="247"/>
      <c r="K94" s="247"/>
      <c r="L94" s="247"/>
      <c r="M94" s="247"/>
      <c r="N94" s="236"/>
      <c r="O94" s="237"/>
      <c r="P94" s="237"/>
      <c r="Q94" s="238"/>
      <c r="R94" s="13"/>
      <c r="S94" s="14"/>
    </row>
    <row r="95" ht="15.75" customHeight="1">
      <c r="A95" s="239"/>
      <c r="B95" s="242"/>
      <c r="C95" s="242"/>
      <c r="D95" s="242"/>
      <c r="E95" s="242"/>
      <c r="F95" s="242"/>
      <c r="G95" s="242"/>
      <c r="H95" s="242"/>
      <c r="I95" s="242"/>
      <c r="J95" s="247"/>
      <c r="K95" s="247"/>
      <c r="L95" s="247"/>
      <c r="M95" s="247"/>
      <c r="N95" s="236"/>
      <c r="O95" s="237"/>
      <c r="P95" s="237"/>
      <c r="Q95" s="238"/>
      <c r="R95" s="13"/>
      <c r="S95" s="14"/>
    </row>
    <row r="96" ht="15.75" customHeight="1">
      <c r="A96" s="239"/>
      <c r="B96" s="242"/>
      <c r="C96" s="242"/>
      <c r="D96" s="242"/>
      <c r="E96" s="242"/>
      <c r="F96" s="242"/>
      <c r="G96" s="242"/>
      <c r="H96" s="242"/>
      <c r="I96" s="242"/>
      <c r="J96" s="247"/>
      <c r="K96" s="247"/>
      <c r="L96" s="247"/>
      <c r="M96" s="247"/>
      <c r="N96" s="236"/>
      <c r="O96" s="237"/>
      <c r="P96" s="237"/>
      <c r="Q96" s="238"/>
      <c r="R96" s="13"/>
      <c r="S96" s="14"/>
    </row>
    <row r="97" ht="15.75" customHeight="1">
      <c r="A97" s="239"/>
      <c r="B97" s="242"/>
      <c r="C97" s="242"/>
      <c r="D97" s="242"/>
      <c r="E97" s="242"/>
      <c r="F97" s="242"/>
      <c r="G97" s="242"/>
      <c r="H97" s="242"/>
      <c r="I97" s="242"/>
      <c r="J97" s="247"/>
      <c r="K97" s="247"/>
      <c r="L97" s="247"/>
      <c r="M97" s="247"/>
      <c r="N97" s="236"/>
      <c r="O97" s="237"/>
      <c r="P97" s="237"/>
      <c r="Q97" s="238"/>
      <c r="R97" s="13"/>
      <c r="S97" s="14"/>
    </row>
    <row r="98" ht="15.75" customHeight="1">
      <c r="A98" s="239"/>
      <c r="B98" s="242"/>
      <c r="C98" s="242"/>
      <c r="D98" s="242"/>
      <c r="E98" s="242"/>
      <c r="F98" s="242"/>
      <c r="G98" s="242"/>
      <c r="H98" s="242"/>
      <c r="I98" s="242"/>
      <c r="J98" s="247"/>
      <c r="K98" s="247"/>
      <c r="L98" s="247"/>
      <c r="M98" s="247"/>
      <c r="N98" s="236"/>
      <c r="O98" s="237"/>
      <c r="P98" s="237"/>
      <c r="Q98" s="238"/>
      <c r="R98" s="13"/>
      <c r="S98" s="14"/>
    </row>
    <row r="99" ht="15.75" customHeight="1">
      <c r="A99" s="239"/>
      <c r="B99" s="242"/>
      <c r="C99" s="242"/>
      <c r="D99" s="242"/>
      <c r="E99" s="242"/>
      <c r="F99" s="242"/>
      <c r="G99" s="242"/>
      <c r="H99" s="242"/>
      <c r="I99" s="242"/>
      <c r="J99" s="247"/>
      <c r="K99" s="247"/>
      <c r="L99" s="247"/>
      <c r="M99" s="247"/>
      <c r="N99" s="236"/>
      <c r="O99" s="237"/>
      <c r="P99" s="237"/>
      <c r="Q99" s="238"/>
      <c r="R99" s="13"/>
      <c r="S99" s="14"/>
    </row>
    <row r="100" ht="15.75" customHeight="1">
      <c r="A100" s="239"/>
      <c r="B100" s="242"/>
      <c r="C100" s="242"/>
      <c r="D100" s="242"/>
      <c r="E100" s="242"/>
      <c r="F100" s="242"/>
      <c r="G100" s="242"/>
      <c r="H100" s="242"/>
      <c r="I100" s="242"/>
      <c r="J100" s="247"/>
      <c r="K100" s="247"/>
      <c r="L100" s="247"/>
      <c r="M100" s="247"/>
      <c r="N100" s="236"/>
      <c r="O100" s="237"/>
      <c r="P100" s="237"/>
      <c r="Q100" s="238"/>
      <c r="R100" s="13"/>
      <c r="S100" s="14"/>
    </row>
    <row r="101" ht="15.75" customHeight="1">
      <c r="A101" s="239"/>
      <c r="B101" s="242"/>
      <c r="C101" s="242"/>
      <c r="D101" s="242"/>
      <c r="E101" s="242"/>
      <c r="F101" s="242"/>
      <c r="G101" s="242"/>
      <c r="H101" s="242"/>
      <c r="I101" s="242"/>
      <c r="J101" s="247"/>
      <c r="K101" s="247"/>
      <c r="L101" s="247"/>
      <c r="M101" s="247"/>
      <c r="N101" s="236"/>
      <c r="O101" s="237"/>
      <c r="P101" s="237"/>
      <c r="Q101" s="238"/>
      <c r="R101" s="13"/>
      <c r="S101" s="14"/>
    </row>
    <row r="102" ht="15.75" customHeight="1">
      <c r="A102" s="317"/>
      <c r="B102" s="317"/>
      <c r="C102" s="317"/>
      <c r="D102" s="317"/>
      <c r="E102" s="317"/>
      <c r="F102" s="317"/>
      <c r="G102" s="317"/>
      <c r="H102" s="318"/>
      <c r="I102" s="247"/>
      <c r="J102" s="247"/>
      <c r="K102" s="247"/>
      <c r="L102" s="247"/>
      <c r="M102" s="247"/>
      <c r="N102" s="236"/>
      <c r="O102" s="237"/>
      <c r="P102" s="237"/>
      <c r="Q102" s="238"/>
      <c r="R102" s="13"/>
      <c r="S102" s="14"/>
    </row>
    <row r="103" ht="15.75" customHeight="1">
      <c r="A103" s="237"/>
      <c r="B103" s="237"/>
      <c r="C103" s="237"/>
      <c r="D103" s="237"/>
      <c r="E103" s="237"/>
      <c r="F103" s="237"/>
      <c r="G103" s="237"/>
      <c r="H103" s="238"/>
      <c r="I103" s="247"/>
      <c r="J103" s="247"/>
      <c r="K103" s="247"/>
      <c r="L103" s="247"/>
      <c r="M103" s="247"/>
      <c r="N103" s="236"/>
      <c r="O103" s="237"/>
      <c r="P103" s="237"/>
      <c r="Q103" s="238"/>
      <c r="R103" s="13"/>
      <c r="S103" s="14"/>
    </row>
    <row r="104" ht="15.75" customHeight="1">
      <c r="A104" s="237"/>
      <c r="B104" s="237"/>
      <c r="C104" s="237"/>
      <c r="D104" s="237"/>
      <c r="E104" s="237"/>
      <c r="F104" s="237"/>
      <c r="G104" s="237"/>
      <c r="H104" s="238"/>
      <c r="I104" s="247"/>
      <c r="J104" s="247"/>
      <c r="K104" s="247"/>
      <c r="L104" s="247"/>
      <c r="M104" s="247"/>
      <c r="N104" s="236"/>
      <c r="O104" s="237"/>
      <c r="P104" s="237"/>
      <c r="Q104" s="238"/>
      <c r="R104" s="13"/>
      <c r="S104" s="14"/>
    </row>
    <row r="105" ht="15.75" customHeight="1">
      <c r="A105" s="237"/>
      <c r="B105" s="237"/>
      <c r="C105" s="237"/>
      <c r="D105" s="237"/>
      <c r="E105" s="237"/>
      <c r="F105" s="237"/>
      <c r="G105" s="237"/>
      <c r="H105" s="238"/>
      <c r="I105" s="247"/>
      <c r="J105" s="247"/>
      <c r="K105" s="247"/>
      <c r="L105" s="247"/>
      <c r="M105" s="247"/>
      <c r="N105" s="236"/>
      <c r="O105" s="237"/>
      <c r="P105" s="237"/>
      <c r="Q105" s="238"/>
      <c r="R105" s="13"/>
      <c r="S105" s="14"/>
    </row>
    <row r="106" ht="15.75" customHeight="1">
      <c r="A106" s="237"/>
      <c r="B106" s="237"/>
      <c r="C106" s="237"/>
      <c r="D106" s="237"/>
      <c r="E106" s="237"/>
      <c r="F106" s="237"/>
      <c r="G106" s="237"/>
      <c r="H106" s="238"/>
      <c r="I106" s="247"/>
      <c r="J106" s="247"/>
      <c r="K106" s="247"/>
      <c r="L106" s="247"/>
      <c r="M106" s="247"/>
      <c r="N106" s="236"/>
      <c r="O106" s="237"/>
      <c r="P106" s="237"/>
      <c r="Q106" s="238"/>
      <c r="R106" s="13"/>
      <c r="S106" s="14"/>
    </row>
    <row r="107" ht="15.75" customHeight="1">
      <c r="A107" s="237"/>
      <c r="B107" s="237"/>
      <c r="C107" s="237"/>
      <c r="D107" s="237"/>
      <c r="E107" s="237"/>
      <c r="F107" s="237"/>
      <c r="G107" s="237"/>
      <c r="H107" s="238"/>
      <c r="I107" s="247"/>
      <c r="J107" s="247"/>
      <c r="K107" s="247"/>
      <c r="L107" s="247"/>
      <c r="M107" s="247"/>
      <c r="N107" s="236"/>
      <c r="O107" s="237"/>
      <c r="P107" s="237"/>
      <c r="Q107" s="238"/>
      <c r="R107" s="13"/>
      <c r="S107" s="14"/>
    </row>
    <row r="108" ht="15.75" customHeight="1">
      <c r="A108" s="237"/>
      <c r="B108" s="237"/>
      <c r="C108" s="237"/>
      <c r="D108" s="237"/>
      <c r="E108" s="237"/>
      <c r="F108" s="237"/>
      <c r="G108" s="237"/>
      <c r="H108" s="238"/>
      <c r="I108" s="247"/>
      <c r="J108" s="247"/>
      <c r="K108" s="247"/>
      <c r="L108" s="247"/>
      <c r="M108" s="247"/>
      <c r="N108" s="236"/>
      <c r="O108" s="237"/>
      <c r="P108" s="237"/>
      <c r="Q108" s="238"/>
      <c r="R108" s="13"/>
      <c r="S108" s="14"/>
    </row>
    <row r="109" ht="15.75" customHeight="1">
      <c r="A109" s="237"/>
      <c r="B109" s="237"/>
      <c r="C109" s="237"/>
      <c r="D109" s="237"/>
      <c r="E109" s="237"/>
      <c r="F109" s="237"/>
      <c r="G109" s="237"/>
      <c r="H109" s="238"/>
      <c r="I109" s="247"/>
      <c r="J109" s="247"/>
      <c r="K109" s="247"/>
      <c r="L109" s="247"/>
      <c r="M109" s="247"/>
      <c r="N109" s="236"/>
      <c r="O109" s="237"/>
      <c r="P109" s="237"/>
      <c r="Q109" s="238"/>
      <c r="R109" s="13"/>
      <c r="S109" s="14"/>
    </row>
    <row r="110" ht="15.75" customHeight="1">
      <c r="A110" s="237"/>
      <c r="B110" s="237"/>
      <c r="C110" s="237"/>
      <c r="D110" s="237"/>
      <c r="E110" s="237"/>
      <c r="F110" s="237"/>
      <c r="G110" s="237"/>
      <c r="H110" s="238"/>
      <c r="I110" s="247"/>
      <c r="J110" s="247"/>
      <c r="K110" s="247"/>
      <c r="L110" s="247"/>
      <c r="M110" s="247"/>
      <c r="N110" s="236"/>
      <c r="O110" s="237"/>
      <c r="P110" s="237"/>
      <c r="Q110" s="238"/>
      <c r="R110" s="13"/>
      <c r="S110" s="14"/>
    </row>
    <row r="111" ht="15.75" customHeight="1">
      <c r="A111" s="237"/>
      <c r="B111" s="237"/>
      <c r="C111" s="237"/>
      <c r="D111" s="237"/>
      <c r="E111" s="237"/>
      <c r="F111" s="237"/>
      <c r="G111" s="237"/>
      <c r="H111" s="238"/>
      <c r="I111" s="247"/>
      <c r="J111" s="247"/>
      <c r="K111" s="247"/>
      <c r="L111" s="247"/>
      <c r="M111" s="247"/>
      <c r="N111" s="236"/>
      <c r="O111" s="237"/>
      <c r="P111" s="237"/>
      <c r="Q111" s="238"/>
      <c r="R111" s="13"/>
      <c r="S111" s="14"/>
    </row>
    <row r="112" ht="15.75" customHeight="1">
      <c r="A112" s="237"/>
      <c r="B112" s="237"/>
      <c r="C112" s="237"/>
      <c r="D112" s="237"/>
      <c r="E112" s="237"/>
      <c r="F112" s="237"/>
      <c r="G112" s="237"/>
      <c r="H112" s="238"/>
      <c r="I112" s="247"/>
      <c r="J112" s="247"/>
      <c r="K112" s="247"/>
      <c r="L112" s="247"/>
      <c r="M112" s="247"/>
      <c r="N112" s="236"/>
      <c r="O112" s="237"/>
      <c r="P112" s="237"/>
      <c r="Q112" s="238"/>
      <c r="R112" s="13"/>
      <c r="S112" s="14"/>
    </row>
    <row r="113" ht="15.75" customHeight="1">
      <c r="A113" s="237"/>
      <c r="B113" s="237"/>
      <c r="C113" s="237"/>
      <c r="D113" s="237"/>
      <c r="E113" s="237"/>
      <c r="F113" s="237"/>
      <c r="G113" s="237"/>
      <c r="H113" s="238"/>
      <c r="I113" s="247"/>
      <c r="J113" s="247"/>
      <c r="K113" s="247"/>
      <c r="L113" s="247"/>
      <c r="M113" s="247"/>
      <c r="N113" s="236"/>
      <c r="O113" s="237"/>
      <c r="P113" s="237"/>
      <c r="Q113" s="238"/>
      <c r="R113" s="13"/>
      <c r="S113" s="14"/>
    </row>
    <row r="114" ht="15.75" customHeight="1">
      <c r="A114" s="237"/>
      <c r="B114" s="237"/>
      <c r="C114" s="237"/>
      <c r="D114" s="237"/>
      <c r="E114" s="237"/>
      <c r="F114" s="237"/>
      <c r="G114" s="237"/>
      <c r="H114" s="238"/>
      <c r="I114" s="247"/>
      <c r="J114" s="247"/>
      <c r="K114" s="247"/>
      <c r="L114" s="247"/>
      <c r="M114" s="247"/>
      <c r="N114" s="236"/>
      <c r="O114" s="237"/>
      <c r="P114" s="237"/>
      <c r="Q114" s="238"/>
      <c r="R114" s="13"/>
      <c r="S114" s="14"/>
    </row>
    <row r="115" ht="15.75" customHeight="1">
      <c r="A115" s="237"/>
      <c r="B115" s="237"/>
      <c r="C115" s="237"/>
      <c r="D115" s="237"/>
      <c r="E115" s="237"/>
      <c r="F115" s="237"/>
      <c r="G115" s="237"/>
      <c r="H115" s="238"/>
      <c r="I115" s="247"/>
      <c r="J115" s="247"/>
      <c r="K115" s="247"/>
      <c r="L115" s="247"/>
      <c r="M115" s="247"/>
      <c r="N115" s="236"/>
      <c r="O115" s="237"/>
      <c r="P115" s="237"/>
      <c r="Q115" s="238"/>
      <c r="R115" s="13"/>
      <c r="S115" s="14"/>
    </row>
    <row r="116" ht="15.75" customHeight="1">
      <c r="A116" s="237"/>
      <c r="B116" s="237"/>
      <c r="C116" s="237"/>
      <c r="D116" s="237"/>
      <c r="E116" s="237"/>
      <c r="F116" s="237"/>
      <c r="G116" s="237"/>
      <c r="H116" s="238"/>
      <c r="I116" s="247"/>
      <c r="J116" s="247"/>
      <c r="K116" s="247"/>
      <c r="L116" s="247"/>
      <c r="M116" s="247"/>
      <c r="N116" s="236"/>
      <c r="O116" s="237"/>
      <c r="P116" s="237"/>
      <c r="Q116" s="238"/>
      <c r="R116" s="13"/>
      <c r="S116" s="14"/>
    </row>
    <row r="117" ht="15.75" customHeight="1">
      <c r="A117" s="237"/>
      <c r="B117" s="237"/>
      <c r="C117" s="237"/>
      <c r="D117" s="237"/>
      <c r="E117" s="237"/>
      <c r="F117" s="237"/>
      <c r="G117" s="237"/>
      <c r="H117" s="238"/>
      <c r="I117" s="319"/>
      <c r="J117" s="319"/>
      <c r="K117" s="319"/>
      <c r="L117" s="319"/>
      <c r="M117" s="319"/>
      <c r="N117" s="236"/>
      <c r="O117" s="237"/>
      <c r="P117" s="237"/>
      <c r="Q117" s="238"/>
      <c r="R117" s="17"/>
      <c r="S117" s="18"/>
    </row>
  </sheetData>
  <mergeCells count="21">
    <mergeCell ref="M11:M12"/>
    <mergeCell ref="K11:K12"/>
    <mergeCell ref="N11:N12"/>
    <mergeCell ref="A5:B5"/>
    <mergeCell ref="C5:E5"/>
    <mergeCell ref="E1:F1"/>
    <mergeCell ref="G1:H1"/>
    <mergeCell ref="A4:B4"/>
    <mergeCell ref="C4:E4"/>
    <mergeCell ref="B65:H65"/>
    <mergeCell ref="B67:H67"/>
    <mergeCell ref="A6:B6"/>
    <mergeCell ref="C6:E6"/>
    <mergeCell ref="A7:B7"/>
    <mergeCell ref="C7:E7"/>
    <mergeCell ref="A8:B8"/>
    <mergeCell ref="C8:E8"/>
    <mergeCell ref="F6:H6"/>
    <mergeCell ref="B10:B11"/>
    <mergeCell ref="C10:C11"/>
    <mergeCell ref="H10:H11"/>
  </mergeCells>
  <dataValidations count="2">
    <dataValidation type="list" allowBlank="1" showInputMessage="1" showErrorMessage="1" sqref="D13:D61">
      <formula1>"Felületaktív anyag,Egyéb,Tartósítószer,Illatanyag,Színezék,Enzim,Mikroorganizmus"</formula1>
    </dataValidation>
    <dataValidation type="list" allowBlank="1" showInputMessage="1" showErrorMessage="1" sqref="F13:G61">
      <formula1>"Igen,Nem"</formula1>
    </dataValidation>
  </dataValidations>
  <pageMargins left="0.787402" right="0.787402" top="0.984252" bottom="0.984252" header="0.511811" footer="0.511811"/>
  <pageSetup firstPageNumber="1" fitToHeight="1" fitToWidth="1" scale="73" useFirstPageNumber="0" orientation="landscape"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AW81"/>
  <sheetViews>
    <sheetView workbookViewId="0" showGridLines="0" defaultGridColor="1"/>
  </sheetViews>
  <sheetFormatPr defaultColWidth="11.5" defaultRowHeight="12.75" customHeight="1" outlineLevelRow="0" outlineLevelCol="0"/>
  <cols>
    <col min="1" max="1" width="3.17188" style="320" customWidth="1"/>
    <col min="2" max="2" width="32.6719" style="320" customWidth="1"/>
    <col min="3" max="3" width="15.6719" style="320" customWidth="1"/>
    <col min="4" max="4" width="3.85156" style="320" customWidth="1"/>
    <col min="5" max="7" width="9.5" style="320" customWidth="1"/>
    <col min="8" max="8" width="19.1719" style="320" customWidth="1"/>
    <col min="9" max="9" width="17.6719" style="320" customWidth="1"/>
    <col min="10" max="11" width="18.3516" style="320" customWidth="1"/>
    <col min="12" max="12" width="19.1719" style="320" customWidth="1"/>
    <col min="13" max="13" width="12.6719" style="320" customWidth="1"/>
    <col min="14" max="15" width="10.8516" style="320" customWidth="1"/>
    <col min="16" max="21" width="12.6719" style="320" customWidth="1"/>
    <col min="22" max="22" width="10.8516" style="320" customWidth="1"/>
    <col min="23" max="24" width="11.5" style="320" customWidth="1"/>
    <col min="25" max="26" hidden="1" width="11.5" style="320" customWidth="1"/>
    <col min="27" max="40" width="11.5" style="320" customWidth="1"/>
    <col min="41" max="44" hidden="1" width="11.5" style="320" customWidth="1"/>
    <col min="45" max="49" width="11.5" style="320" customWidth="1"/>
    <col min="50" max="16384" width="11.5" style="320" customWidth="1"/>
  </cols>
  <sheetData>
    <row r="1" ht="32.25" customHeight="1">
      <c r="A1" s="321"/>
      <c r="B1" s="322"/>
      <c r="C1" s="323"/>
      <c r="D1" s="323"/>
      <c r="E1" s="323"/>
      <c r="F1" s="323"/>
      <c r="G1" s="324"/>
      <c r="H1" s="325"/>
      <c r="I1" t="s" s="134">
        <f>'Termék'!A1</f>
        <v>165</v>
      </c>
      <c r="J1" s="135"/>
      <c r="K1" t="s" s="326">
        <f>'Termék'!C1</f>
        <v>166</v>
      </c>
      <c r="L1" s="327"/>
      <c r="M1" s="328"/>
      <c r="N1" s="329"/>
      <c r="O1" s="330"/>
      <c r="P1" s="330"/>
      <c r="Q1" s="330"/>
      <c r="R1" s="330"/>
      <c r="S1" s="330"/>
      <c r="T1" s="330"/>
      <c r="U1" s="330"/>
      <c r="V1" s="330"/>
      <c r="W1" s="331"/>
      <c r="X1" s="231"/>
      <c r="Y1" s="236"/>
      <c r="Z1" s="237"/>
      <c r="AA1" s="145"/>
      <c r="AB1" s="142"/>
      <c r="AC1" s="142"/>
      <c r="AD1" s="142"/>
      <c r="AE1" s="142"/>
      <c r="AF1" s="142"/>
      <c r="AG1" s="142"/>
      <c r="AH1" s="142"/>
      <c r="AI1" s="142"/>
      <c r="AJ1" s="142"/>
      <c r="AK1" s="142"/>
      <c r="AL1" s="142"/>
      <c r="AM1" s="142"/>
      <c r="AN1" s="146"/>
      <c r="AO1" s="142"/>
      <c r="AP1" s="142"/>
      <c r="AQ1" s="146"/>
      <c r="AR1" s="9"/>
      <c r="AS1" s="9"/>
      <c r="AT1" s="9"/>
      <c r="AU1" s="9"/>
      <c r="AV1" s="9"/>
      <c r="AW1" s="10"/>
    </row>
    <row r="2" ht="15.75" customHeight="1">
      <c r="A2" s="210"/>
      <c r="B2" s="247"/>
      <c r="C2" s="151"/>
      <c r="D2" s="151"/>
      <c r="E2" s="151"/>
      <c r="F2" s="151"/>
      <c r="G2" s="242"/>
      <c r="H2" s="247"/>
      <c r="I2" s="244"/>
      <c r="J2" s="257"/>
      <c r="K2" s="257"/>
      <c r="L2" s="246"/>
      <c r="M2" s="332"/>
      <c r="N2" s="151"/>
      <c r="O2" s="333"/>
      <c r="P2" s="333"/>
      <c r="Q2" s="333"/>
      <c r="R2" s="333"/>
      <c r="S2" s="333"/>
      <c r="T2" s="333"/>
      <c r="U2" s="333"/>
      <c r="V2" s="333"/>
      <c r="W2" s="176"/>
      <c r="X2" s="247"/>
      <c r="Y2" s="236"/>
      <c r="Z2" s="237"/>
      <c r="AA2" s="145"/>
      <c r="AB2" s="142"/>
      <c r="AC2" s="142"/>
      <c r="AD2" s="142"/>
      <c r="AE2" s="142"/>
      <c r="AF2" s="142"/>
      <c r="AG2" s="142"/>
      <c r="AH2" s="142"/>
      <c r="AI2" s="142"/>
      <c r="AJ2" s="142"/>
      <c r="AK2" s="142"/>
      <c r="AL2" s="142"/>
      <c r="AM2" s="142"/>
      <c r="AN2" s="146"/>
      <c r="AO2" s="142"/>
      <c r="AP2" s="142"/>
      <c r="AQ2" s="146"/>
      <c r="AR2" s="13"/>
      <c r="AS2" s="13"/>
      <c r="AT2" s="13"/>
      <c r="AU2" s="13"/>
      <c r="AV2" s="13"/>
      <c r="AW2" s="14"/>
    </row>
    <row r="3" ht="15.75" customHeight="1">
      <c r="A3" s="334"/>
      <c r="B3" s="335"/>
      <c r="C3" s="336"/>
      <c r="D3" s="336"/>
      <c r="E3" s="336"/>
      <c r="F3" s="336"/>
      <c r="G3" s="336"/>
      <c r="H3" s="336"/>
      <c r="I3" s="336"/>
      <c r="J3" s="337"/>
      <c r="K3" s="250"/>
      <c r="L3" t="s" s="147">
        <f>'Termék'!A3</f>
        <v>167</v>
      </c>
      <c r="M3" t="s" s="338">
        <f>IF('Termék'!B3="","",'Termék'!B3)</f>
      </c>
      <c r="N3" s="149"/>
      <c r="O3" s="333"/>
      <c r="P3" s="333"/>
      <c r="Q3" s="333"/>
      <c r="R3" s="333"/>
      <c r="S3" s="333"/>
      <c r="T3" s="333"/>
      <c r="U3" s="333"/>
      <c r="V3" s="333"/>
      <c r="W3" s="176"/>
      <c r="X3" s="247"/>
      <c r="Y3" s="236"/>
      <c r="Z3" s="237"/>
      <c r="AA3" s="145"/>
      <c r="AB3" s="142"/>
      <c r="AC3" s="142"/>
      <c r="AD3" s="142"/>
      <c r="AE3" s="142"/>
      <c r="AF3" s="142"/>
      <c r="AG3" s="142"/>
      <c r="AH3" s="142"/>
      <c r="AI3" s="142"/>
      <c r="AJ3" s="142"/>
      <c r="AK3" s="142"/>
      <c r="AL3" s="142"/>
      <c r="AM3" s="142"/>
      <c r="AN3" s="146"/>
      <c r="AO3" s="142"/>
      <c r="AP3" s="142"/>
      <c r="AQ3" s="146"/>
      <c r="AR3" s="13"/>
      <c r="AS3" s="13"/>
      <c r="AT3" s="13"/>
      <c r="AU3" s="13"/>
      <c r="AV3" s="13"/>
      <c r="AW3" s="14"/>
    </row>
    <row r="4" ht="15.75" customHeight="1">
      <c r="A4" t="s" s="161">
        <f>'Termék'!A6</f>
        <v>168</v>
      </c>
      <c r="B4" s="162"/>
      <c r="C4" t="s" s="171">
        <f>IF('Termék'!C6="","",'Termék'!C6)</f>
      </c>
      <c r="D4" s="164"/>
      <c r="E4" s="164"/>
      <c r="F4" s="164"/>
      <c r="G4" s="164"/>
      <c r="H4" s="164"/>
      <c r="I4" s="165"/>
      <c r="J4" s="339"/>
      <c r="K4" s="250"/>
      <c r="L4" t="s" s="147">
        <f>'Termék'!A4</f>
        <v>169</v>
      </c>
      <c r="M4" t="s" s="338">
        <f>IF('Termék'!B4="","",'Termék'!B4)</f>
      </c>
      <c r="N4" s="149"/>
      <c r="O4" s="333"/>
      <c r="P4" s="333"/>
      <c r="Q4" s="333"/>
      <c r="R4" s="333"/>
      <c r="S4" s="333"/>
      <c r="T4" s="333"/>
      <c r="U4" s="333"/>
      <c r="V4" s="333"/>
      <c r="W4" s="176"/>
      <c r="X4" s="247"/>
      <c r="Y4" s="236"/>
      <c r="Z4" s="237"/>
      <c r="AA4" s="145"/>
      <c r="AB4" s="142"/>
      <c r="AC4" s="142"/>
      <c r="AD4" s="142"/>
      <c r="AE4" s="142"/>
      <c r="AF4" s="142"/>
      <c r="AG4" s="142"/>
      <c r="AH4" s="142"/>
      <c r="AI4" s="142"/>
      <c r="AJ4" s="142"/>
      <c r="AK4" s="142"/>
      <c r="AL4" s="142"/>
      <c r="AM4" s="142"/>
      <c r="AN4" s="146"/>
      <c r="AO4" s="142"/>
      <c r="AP4" s="142"/>
      <c r="AQ4" s="146"/>
      <c r="AR4" s="13"/>
      <c r="AS4" s="13"/>
      <c r="AT4" s="13"/>
      <c r="AU4" s="13"/>
      <c r="AV4" s="13"/>
      <c r="AW4" s="14"/>
    </row>
    <row r="5" ht="15.75" customHeight="1">
      <c r="A5" t="s" s="161">
        <f>'Termék'!A7</f>
        <v>170</v>
      </c>
      <c r="B5" s="162"/>
      <c r="C5" t="s" s="171">
        <f>IF('Termék'!C7="","",'Termék'!C7)</f>
      </c>
      <c r="D5" s="164"/>
      <c r="E5" s="164"/>
      <c r="F5" s="164"/>
      <c r="G5" s="164"/>
      <c r="H5" s="164"/>
      <c r="I5" s="165"/>
      <c r="J5" s="255"/>
      <c r="K5" s="262"/>
      <c r="L5" s="340"/>
      <c r="M5" s="340"/>
      <c r="N5" s="151"/>
      <c r="O5" s="333"/>
      <c r="P5" s="333"/>
      <c r="Q5" s="333"/>
      <c r="R5" s="333"/>
      <c r="S5" s="333"/>
      <c r="T5" s="333"/>
      <c r="U5" s="333"/>
      <c r="V5" s="333"/>
      <c r="W5" s="176"/>
      <c r="X5" s="247"/>
      <c r="Y5" s="236"/>
      <c r="Z5" s="237"/>
      <c r="AA5" s="145"/>
      <c r="AB5" s="142"/>
      <c r="AC5" s="142"/>
      <c r="AD5" s="142"/>
      <c r="AE5" s="142"/>
      <c r="AF5" s="142"/>
      <c r="AG5" s="142"/>
      <c r="AH5" s="142"/>
      <c r="AI5" s="142"/>
      <c r="AJ5" s="142"/>
      <c r="AK5" s="142"/>
      <c r="AL5" s="142"/>
      <c r="AM5" s="142"/>
      <c r="AN5" s="146"/>
      <c r="AO5" s="142"/>
      <c r="AP5" s="142"/>
      <c r="AQ5" s="146"/>
      <c r="AR5" s="13"/>
      <c r="AS5" s="13"/>
      <c r="AT5" s="13"/>
      <c r="AU5" s="13"/>
      <c r="AV5" s="13"/>
      <c r="AW5" s="14"/>
    </row>
    <row r="6" ht="15.75" customHeight="1">
      <c r="A6" t="s" s="161">
        <f>'Termék'!A8</f>
        <v>133</v>
      </c>
      <c r="B6" s="162"/>
      <c r="C6" t="s" s="171">
        <f>IF('Termék'!C8="","",'Termék'!C8)</f>
      </c>
      <c r="D6" s="164"/>
      <c r="E6" s="164"/>
      <c r="F6" s="164"/>
      <c r="G6" s="164"/>
      <c r="H6" s="164"/>
      <c r="I6" s="165"/>
      <c r="J6" s="252"/>
      <c r="K6" s="247"/>
      <c r="L6" s="185"/>
      <c r="M6" s="151"/>
      <c r="N6" s="151"/>
      <c r="O6" s="333"/>
      <c r="P6" s="333"/>
      <c r="Q6" s="333"/>
      <c r="R6" s="333"/>
      <c r="S6" s="333"/>
      <c r="T6" s="333"/>
      <c r="U6" s="333"/>
      <c r="V6" s="333"/>
      <c r="W6" s="341"/>
      <c r="X6" s="247"/>
      <c r="Y6" s="236"/>
      <c r="Z6" s="237"/>
      <c r="AA6" s="145"/>
      <c r="AB6" s="142"/>
      <c r="AC6" s="142"/>
      <c r="AD6" s="142"/>
      <c r="AE6" s="142"/>
      <c r="AF6" s="142"/>
      <c r="AG6" s="142"/>
      <c r="AH6" s="142"/>
      <c r="AI6" s="142"/>
      <c r="AJ6" s="142"/>
      <c r="AK6" s="142"/>
      <c r="AL6" s="142"/>
      <c r="AM6" s="142"/>
      <c r="AN6" s="146"/>
      <c r="AO6" s="142"/>
      <c r="AP6" s="142"/>
      <c r="AQ6" s="146"/>
      <c r="AR6" s="13"/>
      <c r="AS6" s="13"/>
      <c r="AT6" s="13"/>
      <c r="AU6" s="13"/>
      <c r="AV6" s="13"/>
      <c r="AW6" s="14"/>
    </row>
    <row r="7" ht="15.75" customHeight="1">
      <c r="A7" t="s" s="161">
        <f>'Termék'!A24</f>
        <v>171</v>
      </c>
      <c r="B7" s="162"/>
      <c r="C7" s="163"/>
      <c r="D7" s="164"/>
      <c r="E7" s="164"/>
      <c r="F7" s="164"/>
      <c r="G7" s="164"/>
      <c r="H7" s="164"/>
      <c r="I7" s="165"/>
      <c r="J7" s="252"/>
      <c r="K7" s="247"/>
      <c r="L7" s="185"/>
      <c r="M7" s="151"/>
      <c r="N7" s="151"/>
      <c r="O7" s="333"/>
      <c r="P7" s="333"/>
      <c r="Q7" s="333"/>
      <c r="R7" s="333"/>
      <c r="S7" s="333"/>
      <c r="T7" s="333"/>
      <c r="U7" s="333"/>
      <c r="V7" s="333"/>
      <c r="W7" s="176"/>
      <c r="X7" s="247"/>
      <c r="Y7" s="236"/>
      <c r="Z7" s="237"/>
      <c r="AA7" s="145"/>
      <c r="AB7" s="142"/>
      <c r="AC7" s="142"/>
      <c r="AD7" s="142"/>
      <c r="AE7" s="142"/>
      <c r="AF7" s="142"/>
      <c r="AG7" s="142"/>
      <c r="AH7" s="142"/>
      <c r="AI7" s="142"/>
      <c r="AJ7" s="142"/>
      <c r="AK7" s="142"/>
      <c r="AL7" s="142"/>
      <c r="AM7" s="142"/>
      <c r="AN7" s="146"/>
      <c r="AO7" s="142"/>
      <c r="AP7" s="142"/>
      <c r="AQ7" s="146"/>
      <c r="AR7" s="13"/>
      <c r="AS7" s="13"/>
      <c r="AT7" s="13"/>
      <c r="AU7" s="13"/>
      <c r="AV7" s="13"/>
      <c r="AW7" s="14"/>
    </row>
    <row r="8" ht="15.75" customHeight="1">
      <c r="A8" t="s" s="161">
        <f>'Termék'!A26</f>
        <v>172</v>
      </c>
      <c r="B8" s="162"/>
      <c r="C8" t="s" s="171">
        <f>IF('Termék'!C26="","",'Termék'!C26)</f>
      </c>
      <c r="D8" s="164"/>
      <c r="E8" s="164"/>
      <c r="F8" s="164"/>
      <c r="G8" s="164"/>
      <c r="H8" s="164"/>
      <c r="I8" s="165"/>
      <c r="J8" s="258"/>
      <c r="K8" s="259"/>
      <c r="L8" s="342"/>
      <c r="M8" s="342"/>
      <c r="N8" s="342"/>
      <c r="O8" s="343"/>
      <c r="P8" s="343"/>
      <c r="Q8" s="343"/>
      <c r="R8" s="343"/>
      <c r="S8" s="343"/>
      <c r="T8" s="343"/>
      <c r="U8" s="343"/>
      <c r="V8" s="343"/>
      <c r="W8" s="176"/>
      <c r="X8" s="247"/>
      <c r="Y8" s="236"/>
      <c r="Z8" s="237"/>
      <c r="AA8" s="145"/>
      <c r="AB8" s="142"/>
      <c r="AC8" s="142"/>
      <c r="AD8" s="142"/>
      <c r="AE8" s="142"/>
      <c r="AF8" s="142"/>
      <c r="AG8" s="142"/>
      <c r="AH8" s="142"/>
      <c r="AI8" s="142"/>
      <c r="AJ8" s="142"/>
      <c r="AK8" s="142"/>
      <c r="AL8" s="142"/>
      <c r="AM8" s="142"/>
      <c r="AN8" s="146"/>
      <c r="AO8" s="142"/>
      <c r="AP8" s="142"/>
      <c r="AQ8" s="146"/>
      <c r="AR8" s="13"/>
      <c r="AS8" s="13"/>
      <c r="AT8" s="13"/>
      <c r="AU8" s="13"/>
      <c r="AV8" s="13"/>
      <c r="AW8" s="14"/>
    </row>
    <row r="9" ht="9.75" customHeight="1">
      <c r="A9" s="344"/>
      <c r="B9" s="345"/>
      <c r="C9" s="346"/>
      <c r="D9" s="346"/>
      <c r="E9" s="346"/>
      <c r="F9" s="346"/>
      <c r="G9" s="345"/>
      <c r="H9" s="345"/>
      <c r="I9" s="345"/>
      <c r="J9" s="347"/>
      <c r="K9" s="347"/>
      <c r="L9" s="348"/>
      <c r="M9" s="348"/>
      <c r="N9" s="348"/>
      <c r="O9" s="349"/>
      <c r="P9" s="349"/>
      <c r="Q9" s="349"/>
      <c r="R9" s="349"/>
      <c r="S9" s="349"/>
      <c r="T9" s="349"/>
      <c r="U9" s="349"/>
      <c r="V9" s="349"/>
      <c r="W9" s="176"/>
      <c r="X9" s="247"/>
      <c r="Y9" s="236"/>
      <c r="Z9" s="237"/>
      <c r="AA9" s="145"/>
      <c r="AB9" s="142"/>
      <c r="AC9" s="142"/>
      <c r="AD9" s="142"/>
      <c r="AE9" s="142"/>
      <c r="AF9" s="142"/>
      <c r="AG9" s="142"/>
      <c r="AH9" s="142"/>
      <c r="AI9" s="142"/>
      <c r="AJ9" s="142"/>
      <c r="AK9" s="142"/>
      <c r="AL9" s="142"/>
      <c r="AM9" s="142"/>
      <c r="AN9" s="146"/>
      <c r="AO9" s="142"/>
      <c r="AP9" s="142"/>
      <c r="AQ9" s="146"/>
      <c r="AR9" s="13"/>
      <c r="AS9" s="13"/>
      <c r="AT9" s="13"/>
      <c r="AU9" s="13"/>
      <c r="AV9" s="13"/>
      <c r="AW9" s="14"/>
    </row>
    <row r="10" ht="71.25" customHeight="1">
      <c r="A10" t="s" s="350">
        <f>'Összetétel'!A10</f>
        <v>199</v>
      </c>
      <c r="B10" t="s" s="351">
        <f>IF('Adatlap'!$L$1='Fordítások'!C3,'Fordítások'!C55,'Fordítások'!B55)</f>
        <v>200</v>
      </c>
      <c r="C10" t="s" s="352">
        <f>IF('Adatlap'!$L$1='Fordítások'!C3,'Fordítások'!C57,'Fordítások'!B57)</f>
        <v>201</v>
      </c>
      <c r="D10" t="s" s="353">
        <v>202</v>
      </c>
      <c r="E10" t="s" s="352">
        <f>IF('Adatlap'!$L$1='Fordítások'!C3,'Fordítások'!C136,'Fordítások'!B136)</f>
        <v>203</v>
      </c>
      <c r="F10" t="s" s="353">
        <f>I10</f>
        <v>204</v>
      </c>
      <c r="G10" t="s" s="354">
        <v>205</v>
      </c>
      <c r="H10" t="s" s="352">
        <f>'Összetétel'!D10</f>
        <v>206</v>
      </c>
      <c r="I10" t="s" s="352">
        <f>'Összetétel'!E10</f>
        <v>207</v>
      </c>
      <c r="J10" t="s" s="352">
        <f>'Összetétel'!H10</f>
        <v>208</v>
      </c>
      <c r="K10" t="s" s="352">
        <f>IF('Adatlap'!$L$1='Fordítások'!C3,'Fordítások'!C233,'Fordítások'!B233)</f>
        <v>209</v>
      </c>
      <c r="L10" t="s" s="272">
        <f>IF('Adatlap'!$L$1='Fordítások'!C3,'Fordítások'!C27,'Fordítások'!B27)</f>
        <v>210</v>
      </c>
      <c r="M10" t="s" s="352">
        <f>IF('Adatlap'!$L$1='Fordítások'!C3,'Fordítások'!C59,'Fordítások'!B59)</f>
        <v>211</v>
      </c>
      <c r="N10" t="s" s="352">
        <f>IF('Adatlap'!$L$1='Fordítások'!C3,'Fordítások'!C349,'Fordítások'!B102)</f>
        <v>212</v>
      </c>
      <c r="O10" t="s" s="352">
        <f>IF('Adatlap'!$L$1='Fordítások'!C3,'Fordítások'!C41,'Fordítások'!B41)</f>
        <v>213</v>
      </c>
      <c r="P10" t="s" s="352">
        <f>IF('Adatlap'!$L$1='Fordítások'!C3,'Fordítások'!C168,'Fordítások'!B168)</f>
        <v>214</v>
      </c>
      <c r="Q10" t="s" s="353">
        <v>215</v>
      </c>
      <c r="R10" t="s" s="353">
        <v>216</v>
      </c>
      <c r="S10" t="s" s="353">
        <v>216</v>
      </c>
      <c r="T10" t="s" s="353">
        <v>215</v>
      </c>
      <c r="U10" t="s" s="352">
        <v>217</v>
      </c>
      <c r="V10" t="s" s="352">
        <f>IF('Adatlap'!$L$1='Fordítások'!C3,'Fordítások'!C225,'Fordítások'!B225)</f>
        <v>218</v>
      </c>
      <c r="W10" s="355"/>
      <c r="X10" s="247"/>
      <c r="Y10" s="236"/>
      <c r="Z10" s="237"/>
      <c r="AA10" s="145"/>
      <c r="AB10" s="142"/>
      <c r="AC10" s="142"/>
      <c r="AD10" s="142"/>
      <c r="AE10" s="142"/>
      <c r="AF10" s="142"/>
      <c r="AG10" s="142"/>
      <c r="AH10" s="142"/>
      <c r="AI10" s="142"/>
      <c r="AJ10" t="s" s="356">
        <v>219</v>
      </c>
      <c r="AK10" s="357"/>
      <c r="AL10" s="357"/>
      <c r="AM10" s="357"/>
      <c r="AN10" s="358"/>
      <c r="AO10" s="142"/>
      <c r="AP10" s="142"/>
      <c r="AQ10" s="146"/>
      <c r="AR10" s="13"/>
      <c r="AS10" s="13"/>
      <c r="AT10" s="13"/>
      <c r="AU10" s="13"/>
      <c r="AV10" s="13"/>
      <c r="AW10" s="14"/>
    </row>
    <row r="11" ht="69" customHeight="1">
      <c r="A11" t="s" s="359">
        <f>'Összetétel'!A11</f>
        <v>220</v>
      </c>
      <c r="B11" t="s" s="360">
        <f>IF('Adatlap'!$L$1='Fordítások'!C3,'Fordítások'!C56,'Fordítások'!B56)</f>
        <v>221</v>
      </c>
      <c r="C11" t="s" s="361">
        <f>IF('Adatlap'!$L$1='Fordítások'!C3,'Fordítások'!C58,'Fordítások'!B58)</f>
        <v>222</v>
      </c>
      <c r="D11" t="s" s="362">
        <v>223</v>
      </c>
      <c r="E11" t="s" s="363">
        <f>IF('Adatlap'!$L$1='Fordítások'!C3,'Fordítások'!C137,'Fordítások'!B137)</f>
        <v>224</v>
      </c>
      <c r="F11" t="s" s="362">
        <f>I11</f>
        <v>225</v>
      </c>
      <c r="G11" t="s" s="363">
        <f>'Összetétel'!A11</f>
        <v>226</v>
      </c>
      <c r="H11" t="s" s="363">
        <f>IF('Adatlap'!$L$1='Fordítások'!C3,'Fordítások'!C135,'Fordítások'!B135)</f>
        <v>227</v>
      </c>
      <c r="I11" t="s" s="361">
        <f>'Összetétel'!E11</f>
        <v>228</v>
      </c>
      <c r="J11" t="s" s="362">
        <f>IF('Adatlap'!$L$1='Fordítások'!C3,'Fordítások'!C106,'Fordítások'!B106)</f>
        <v>229</v>
      </c>
      <c r="K11" t="s" s="361">
        <f>H11</f>
        <v>230</v>
      </c>
      <c r="L11" t="s" s="361">
        <f>IF('Adatlap'!$L$1='Fordítások'!C3,'Fordítások'!C28,'Fordítások'!B28)</f>
        <v>231</v>
      </c>
      <c r="M11" t="s" s="361">
        <v>232</v>
      </c>
      <c r="N11" t="s" s="361">
        <f>H11</f>
        <v>230</v>
      </c>
      <c r="O11" t="s" s="361">
        <f>H11</f>
        <v>230</v>
      </c>
      <c r="P11" t="s" s="361">
        <f>H11</f>
        <v>230</v>
      </c>
      <c r="Q11" s="364"/>
      <c r="R11" t="s" s="362">
        <v>233</v>
      </c>
      <c r="S11" t="s" s="362">
        <v>234</v>
      </c>
      <c r="T11" t="s" s="362">
        <v>235</v>
      </c>
      <c r="U11" t="s" s="361">
        <f>P11</f>
        <v>230</v>
      </c>
      <c r="V11" t="s" s="361">
        <f>IF('Adatlap'!$L$1='Fordítások'!C3,'Fordítások'!C226,'Fordítások'!B226)</f>
        <v>236</v>
      </c>
      <c r="W11" s="355"/>
      <c r="X11" s="247"/>
      <c r="Y11" t="s" s="365">
        <v>102</v>
      </c>
      <c r="Z11" s="237"/>
      <c r="AA11" t="s" s="366">
        <v>237</v>
      </c>
      <c r="AB11" t="s" s="367">
        <v>238</v>
      </c>
      <c r="AC11" t="s" s="367">
        <v>239</v>
      </c>
      <c r="AD11" t="s" s="367">
        <v>240</v>
      </c>
      <c r="AE11" t="s" s="367">
        <v>241</v>
      </c>
      <c r="AF11" t="s" s="367">
        <v>242</v>
      </c>
      <c r="AG11" t="s" s="368">
        <v>243</v>
      </c>
      <c r="AH11" t="s" s="367">
        <v>244</v>
      </c>
      <c r="AI11" t="s" s="367">
        <v>245</v>
      </c>
      <c r="AJ11" t="s" s="367">
        <v>246</v>
      </c>
      <c r="AK11" t="s" s="368">
        <v>247</v>
      </c>
      <c r="AL11" t="s" s="368">
        <v>248</v>
      </c>
      <c r="AM11" t="s" s="368">
        <v>249</v>
      </c>
      <c r="AN11" t="s" s="369">
        <v>250</v>
      </c>
      <c r="AO11" t="s" s="367">
        <v>191</v>
      </c>
      <c r="AP11" t="s" s="367">
        <v>251</v>
      </c>
      <c r="AQ11" t="s" s="370">
        <v>252</v>
      </c>
      <c r="AR11" t="s" s="33">
        <v>253</v>
      </c>
      <c r="AS11" s="13"/>
      <c r="AT11" s="13"/>
      <c r="AU11" s="13"/>
      <c r="AV11" s="13"/>
      <c r="AW11" s="14"/>
    </row>
    <row r="12" ht="15.75" customHeight="1">
      <c r="A12" s="371">
        <v>1</v>
      </c>
      <c r="B12" t="s" s="285">
        <f>'Összetétel'!B12</f>
        <v>254</v>
      </c>
      <c r="C12" t="s" s="372">
        <v>190</v>
      </c>
      <c r="D12" s="373"/>
      <c r="E12" t="s" s="372">
        <v>190</v>
      </c>
      <c r="F12" s="373"/>
      <c r="G12" t="s" s="372">
        <v>190</v>
      </c>
      <c r="H12" t="s" s="372">
        <v>190</v>
      </c>
      <c r="I12" s="288"/>
      <c r="J12" t="s" s="372">
        <v>190</v>
      </c>
      <c r="K12" s="374"/>
      <c r="L12" t="s" s="372">
        <v>190</v>
      </c>
      <c r="M12" t="s" s="372">
        <v>190</v>
      </c>
      <c r="N12" t="s" s="372">
        <v>190</v>
      </c>
      <c r="O12" t="s" s="375">
        <v>190</v>
      </c>
      <c r="P12" t="s" s="375">
        <v>190</v>
      </c>
      <c r="Q12" s="376"/>
      <c r="R12" s="376"/>
      <c r="S12" s="376"/>
      <c r="T12" s="376"/>
      <c r="U12" s="376"/>
      <c r="V12" t="s" s="375">
        <v>190</v>
      </c>
      <c r="W12" s="355"/>
      <c r="X12" s="247"/>
      <c r="Y12" s="236"/>
      <c r="Z12" s="237"/>
      <c r="AA12" s="145"/>
      <c r="AB12" s="142"/>
      <c r="AC12" s="142"/>
      <c r="AD12" s="142"/>
      <c r="AE12" s="142"/>
      <c r="AF12" s="142"/>
      <c r="AG12" s="142"/>
      <c r="AH12" s="142"/>
      <c r="AI12" s="142"/>
      <c r="AJ12" s="142"/>
      <c r="AK12" t="s" s="356">
        <v>255</v>
      </c>
      <c r="AL12" t="s" s="356">
        <v>256</v>
      </c>
      <c r="AM12" t="s" s="356">
        <v>256</v>
      </c>
      <c r="AN12" s="358"/>
      <c r="AO12" s="377">
        <f>_xlfn.COUNTIFS(H13:H61,'Auswahldaten'!A20)</f>
        <v>0</v>
      </c>
      <c r="AP12" s="142"/>
      <c r="AQ12" s="146"/>
      <c r="AR12" s="13"/>
      <c r="AS12" s="13"/>
      <c r="AT12" s="13"/>
      <c r="AU12" s="13"/>
      <c r="AV12" s="13"/>
      <c r="AW12" s="14"/>
    </row>
    <row r="13" ht="15.75" customHeight="1">
      <c r="A13" s="371">
        <v>2</v>
      </c>
      <c r="B13" s="293"/>
      <c r="C13" s="294"/>
      <c r="D13" t="s" s="378">
        <f>IF(C13="","",VLOOKUP(C13,'Összetétel'!$B$13:$E$61,4,FALSE))</f>
      </c>
      <c r="E13" s="288"/>
      <c r="F13" s="288">
        <f>IF(D13="",0,(E13*D13/100))</f>
        <v>0</v>
      </c>
      <c r="G13" s="378"/>
      <c r="H13" s="294"/>
      <c r="I13" t="s" s="378">
        <f>IF(F13&lt;0.0000000000001,"",F13)</f>
      </c>
      <c r="J13" s="378"/>
      <c r="K13" s="294"/>
      <c r="L13" s="379"/>
      <c r="M13" s="380"/>
      <c r="N13" s="379"/>
      <c r="O13" s="295"/>
      <c r="P13" s="295"/>
      <c r="Q13" t="s" s="381">
        <f>IF(B13="","",IF(OR(H13='Fordítások'!$C$70,H13='Fordítások'!$B$70),"Y","N"))</f>
      </c>
      <c r="R13" t="s" s="381">
        <f>IF(NOT(ISERROR(SEARCH("400",J13,1))),"Y","N")</f>
        <v>257</v>
      </c>
      <c r="S13" t="s" s="381">
        <f>IF(NOT(ISERROR(SEARCH("412",J13,1))),"Y","N")</f>
        <v>257</v>
      </c>
      <c r="T13" t="s" s="381">
        <f>IF(AND(Q13="Y",(OR(R13="Y",S13="Y"))),"Y","N")</f>
        <v>257</v>
      </c>
      <c r="U13" s="295"/>
      <c r="V13" s="382"/>
      <c r="W13" s="383">
        <v>300</v>
      </c>
      <c r="X13" s="247"/>
      <c r="Y13" s="297">
        <f>IF(B13="",0,1)</f>
        <v>0</v>
      </c>
      <c r="Z13" s="237"/>
      <c r="AA13" t="b" s="384">
        <f>IF(H13='Auswahldaten'!$A$16,TRUE,FALSE)</f>
        <v>0</v>
      </c>
      <c r="AB13" t="b" s="377">
        <f>IF('Alapanyagok_DID'!O13="R",TRUE,FALSE)</f>
        <v>0</v>
      </c>
      <c r="AC13" t="b" s="377">
        <f>IF(AND(AA13=TRUE,AB13=TRUE),TRUE,FALSE)</f>
        <v>0</v>
      </c>
      <c r="AD13" t="b" s="377">
        <f>IF('Alapanyagok_DID'!K13='Auswahldaten'!$A$12,TRUE,FALSE)</f>
        <v>0</v>
      </c>
      <c r="AE13" t="b" s="377">
        <f>IF(AND(AA13=TRUE,AD13=TRUE),TRUE,FALSE)</f>
        <v>0</v>
      </c>
      <c r="AF13" t="b" s="377">
        <f>IF(AND(AA13=TRUE,'Alapanyagok_DID'!E13='DID List'!$A$7),TRUE,FALSE)</f>
        <v>0</v>
      </c>
      <c r="AG13" t="b" s="377">
        <f>IF(AND(O13='Auswahldaten'!$A$12,'Alapanyagok_DID'!F13='DID List'!$A$7),TRUE,FALSE)</f>
        <v>0</v>
      </c>
      <c r="AH13" t="b" s="377">
        <f>IF('Alapanyagok_DID'!F13='DID List'!$A$7,TRUE,FALSE)</f>
        <v>0</v>
      </c>
      <c r="AI13" t="b" s="377">
        <f>IF(P13='Auswahldaten'!$A$12,TRUE,FALSE)</f>
        <v>0</v>
      </c>
      <c r="AJ13" t="b" s="377">
        <f>IF(AND(ISERROR(SEARCH("H400",J13))=FALSE,H13='Auswahldaten'!$A$16)=TRUE,TRUE,FALSE)</f>
        <v>0</v>
      </c>
      <c r="AK13" t="b" s="377">
        <f>AND(ISERROR(SEARCH("H412",J13))=FALSE,H13='Auswahldaten'!A16)</f>
        <v>0</v>
      </c>
      <c r="AL13" t="b" s="377">
        <f>IF(AND(ISERROR(SEARCH("H317",J13))=FALSE,H13='Auswahldaten'!$A$21)=TRUE,TRUE,FALSE)</f>
        <v>0</v>
      </c>
      <c r="AM13" t="b" s="377">
        <f>IF(AND(ISERROR(SEARCH("H334",J13))=FALSE,H13='Auswahldaten'!$A$21)=TRUE,TRUE,FALSE)</f>
        <v>0</v>
      </c>
      <c r="AN13" t="b" s="385">
        <f>IF(ISERROR(SEARCH("H351",J13))=TRUE,FALSE,TRUE)</f>
        <v>0</v>
      </c>
      <c r="AO13" s="142"/>
      <c r="AP13" s="377">
        <f>L13</f>
        <v>0</v>
      </c>
      <c r="AQ13" t="b" s="385">
        <f>IF(AND(H13='Auswahldaten'!A$20,OR(L13='Auswahldaten'!A$52,L13='Auswahldaten'!A$53)),TRUE,FALSE)</f>
        <v>0</v>
      </c>
      <c r="AR13" s="34">
        <f>IF(K13='Auswahldaten'!$A$61,1,0)</f>
        <v>0</v>
      </c>
      <c r="AS13" s="13"/>
      <c r="AT13" s="13"/>
      <c r="AU13" s="13"/>
      <c r="AV13" s="13"/>
      <c r="AW13" s="14"/>
    </row>
    <row r="14" ht="15.75" customHeight="1">
      <c r="A14" s="371">
        <v>3</v>
      </c>
      <c r="B14" s="293"/>
      <c r="C14" s="294"/>
      <c r="D14" t="s" s="378">
        <f>IF(C14="","",VLOOKUP(C14,'Összetétel'!$B$13:$E$61,4,FALSE))</f>
      </c>
      <c r="E14" s="288"/>
      <c r="F14" s="288">
        <f>IF(D14="",0,(E14*D14/100))</f>
        <v>0</v>
      </c>
      <c r="G14" s="378"/>
      <c r="H14" s="294"/>
      <c r="I14" t="s" s="378">
        <f>IF(F14&lt;0.0000000000001,"",F14)</f>
      </c>
      <c r="J14" s="378"/>
      <c r="K14" s="294"/>
      <c r="L14" s="379"/>
      <c r="M14" s="380"/>
      <c r="N14" s="379"/>
      <c r="O14" s="295"/>
      <c r="P14" s="295"/>
      <c r="Q14" t="s" s="381">
        <f>IF(B14="","",IF(OR(H14='Fordítások'!$C$70,H14='Fordítások'!$B$70),"Y","N"))</f>
      </c>
      <c r="R14" t="s" s="381">
        <f>IF(NOT(ISERROR(SEARCH("400",J14,1))),"Y","N")</f>
        <v>257</v>
      </c>
      <c r="S14" t="s" s="381">
        <f>IF(NOT(ISERROR(SEARCH("412",J14,1))),"Y","N")</f>
        <v>257</v>
      </c>
      <c r="T14" t="s" s="381">
        <f>IF(NOT(ISERROR(SEARCH("412",K14,1))),"Y","N")</f>
        <v>257</v>
      </c>
      <c r="U14" s="295"/>
      <c r="V14" s="382"/>
      <c r="W14" s="383">
        <v>301</v>
      </c>
      <c r="X14" s="247"/>
      <c r="Y14" s="297">
        <f>IF(B14="",0,Y13+1)</f>
        <v>0</v>
      </c>
      <c r="Z14" s="237"/>
      <c r="AA14" t="b" s="384">
        <f>IF(H14='Auswahldaten'!$A$16,TRUE,FALSE)</f>
        <v>0</v>
      </c>
      <c r="AB14" t="b" s="377">
        <f>IF('Alapanyagok_DID'!O14="R",TRUE,FALSE)</f>
        <v>0</v>
      </c>
      <c r="AC14" t="b" s="377">
        <f>IF(AND(AA14=TRUE,AB14=TRUE),TRUE,FALSE)</f>
        <v>0</v>
      </c>
      <c r="AD14" t="b" s="377">
        <f>IF('Alapanyagok_DID'!K14='Auswahldaten'!$A$12,TRUE,FALSE)</f>
        <v>0</v>
      </c>
      <c r="AE14" t="b" s="377">
        <f>IF(AND(AA14=TRUE,AD14=TRUE),TRUE,FALSE)</f>
        <v>0</v>
      </c>
      <c r="AF14" t="b" s="377">
        <f>IF(AND(AA14=TRUE,'Alapanyagok_DID'!E14='DID List'!$A$7),TRUE,FALSE)</f>
        <v>0</v>
      </c>
      <c r="AG14" t="b" s="377">
        <f>IF(AND(O14='Auswahldaten'!$A$12,'Alapanyagok_DID'!F14='DID List'!$A$7),TRUE,FALSE)</f>
        <v>0</v>
      </c>
      <c r="AH14" t="b" s="377">
        <f>IF('Alapanyagok_DID'!F14='DID List'!$A$7,TRUE,FALSE)</f>
        <v>0</v>
      </c>
      <c r="AI14" t="b" s="377">
        <f>IF(P14='Auswahldaten'!$A$12,TRUE,FALSE)</f>
        <v>0</v>
      </c>
      <c r="AJ14" t="b" s="377">
        <f>IF(AND(ISERROR(SEARCH("H400",J14))=FALSE,H14='Auswahldaten'!$A$16)=TRUE,TRUE,FALSE)</f>
        <v>0</v>
      </c>
      <c r="AK14" t="b" s="377">
        <f>IF(AND(ISERROR(SEARCH($AK$11,J14))=FALSE,H14='Auswahldaten'!$A$16)=TRUE,TRUE,FALSE)</f>
        <v>0</v>
      </c>
      <c r="AL14" t="b" s="377">
        <f>IF(AND(ISERROR(SEARCH("H317",J14))=FALSE,H14='Auswahldaten'!$A$21)=TRUE,TRUE,FALSE)</f>
        <v>0</v>
      </c>
      <c r="AM14" t="b" s="377">
        <f>IF(AND(ISERROR(SEARCH("H334",J14))=FALSE,H14='Auswahldaten'!$A$21)=TRUE,TRUE,FALSE)</f>
        <v>0</v>
      </c>
      <c r="AN14" t="b" s="385">
        <f>IF(ISERROR(SEARCH("H351",J14))=TRUE,FALSE,TRUE)</f>
        <v>0</v>
      </c>
      <c r="AO14" s="142"/>
      <c r="AP14" s="377">
        <f>L14</f>
        <v>0</v>
      </c>
      <c r="AQ14" t="b" s="385">
        <f>IF(AND(H14='Auswahldaten'!A$20,OR(L14='Auswahldaten'!A$52,L14='Auswahldaten'!A$53)),TRUE,FALSE)</f>
        <v>0</v>
      </c>
      <c r="AR14" s="34">
        <f>IF(K14='Auswahldaten'!$A$61,1,0)</f>
        <v>0</v>
      </c>
      <c r="AS14" s="13"/>
      <c r="AT14" s="13"/>
      <c r="AU14" s="13"/>
      <c r="AV14" s="13"/>
      <c r="AW14" s="14"/>
    </row>
    <row r="15" ht="15.75" customHeight="1">
      <c r="A15" s="371">
        <v>4</v>
      </c>
      <c r="B15" s="293"/>
      <c r="C15" s="294"/>
      <c r="D15" t="s" s="378">
        <f>IF(C15="","",VLOOKUP(C15,'Összetétel'!$B$13:$E$61,4,FALSE))</f>
      </c>
      <c r="E15" s="288"/>
      <c r="F15" s="288">
        <f>IF(D15="",0,(E15*D15/100))</f>
        <v>0</v>
      </c>
      <c r="G15" s="378"/>
      <c r="H15" s="294"/>
      <c r="I15" t="s" s="378">
        <f>IF(F15&lt;0.0000000000001,"",F15)</f>
      </c>
      <c r="J15" s="378"/>
      <c r="K15" s="294"/>
      <c r="L15" s="379"/>
      <c r="M15" s="380"/>
      <c r="N15" s="379"/>
      <c r="O15" s="295"/>
      <c r="P15" s="295"/>
      <c r="Q15" t="s" s="381">
        <f>IF(B15="","",IF(OR(H15='Fordítások'!$C$70,H15='Fordítások'!$B$70),"Y","N"))</f>
      </c>
      <c r="R15" t="s" s="381">
        <f>IF(NOT(ISERROR(SEARCH("400",J15,1))),"Y","N")</f>
        <v>257</v>
      </c>
      <c r="S15" t="s" s="381">
        <f>IF(NOT(ISERROR(SEARCH("412",J15,1))),"Y","N")</f>
        <v>257</v>
      </c>
      <c r="T15" t="s" s="381">
        <f>IF(NOT(ISERROR(SEARCH("412",K15,1))),"Y","N")</f>
        <v>257</v>
      </c>
      <c r="U15" s="295"/>
      <c r="V15" s="382"/>
      <c r="W15" s="383">
        <v>304</v>
      </c>
      <c r="X15" s="247"/>
      <c r="Y15" s="297">
        <f>IF(B15="",0,Y14+1)</f>
        <v>0</v>
      </c>
      <c r="Z15" s="237"/>
      <c r="AA15" t="b" s="384">
        <f>IF(H15='Auswahldaten'!$A$16,TRUE,FALSE)</f>
        <v>0</v>
      </c>
      <c r="AB15" t="b" s="377">
        <f>IF('Alapanyagok_DID'!O15="R",TRUE,FALSE)</f>
        <v>0</v>
      </c>
      <c r="AC15" t="b" s="377">
        <f>IF(AND(AA15=TRUE,AB15=TRUE),TRUE,FALSE)</f>
        <v>0</v>
      </c>
      <c r="AD15" t="b" s="377">
        <f>IF('Alapanyagok_DID'!K15='Auswahldaten'!$A$12,TRUE,FALSE)</f>
        <v>0</v>
      </c>
      <c r="AE15" t="b" s="377">
        <f>IF(AND(AA15=TRUE,AD15=TRUE),TRUE,FALSE)</f>
        <v>0</v>
      </c>
      <c r="AF15" t="b" s="377">
        <f>IF(AND(AA15=TRUE,'Alapanyagok_DID'!E15='DID List'!$A$7),TRUE,FALSE)</f>
        <v>0</v>
      </c>
      <c r="AG15" t="b" s="377">
        <f>IF(AND(O15='Auswahldaten'!$A$12,'Alapanyagok_DID'!F15='DID List'!$A$7),TRUE,FALSE)</f>
        <v>0</v>
      </c>
      <c r="AH15" t="b" s="377">
        <f>IF('Alapanyagok_DID'!F15='DID List'!$A$7,TRUE,FALSE)</f>
        <v>0</v>
      </c>
      <c r="AI15" t="b" s="377">
        <f>IF(P15='Auswahldaten'!$A$12,TRUE,FALSE)</f>
        <v>0</v>
      </c>
      <c r="AJ15" t="b" s="377">
        <f>IF(AND(ISERROR(SEARCH("H400",J15))=FALSE,H15='Auswahldaten'!$A$16)=TRUE,TRUE,FALSE)</f>
        <v>0</v>
      </c>
      <c r="AK15" t="b" s="377">
        <f>IF(AND(ISERROR(SEARCH($AK$11,J15))=FALSE,H15='Auswahldaten'!$A$16)=TRUE,TRUE,FALSE)</f>
        <v>0</v>
      </c>
      <c r="AL15" t="b" s="377">
        <f>IF(AND(ISERROR(SEARCH("H317",J15))=FALSE,H15='Auswahldaten'!$A$21)=TRUE,TRUE,FALSE)</f>
        <v>0</v>
      </c>
      <c r="AM15" t="b" s="377">
        <f>IF(AND(ISERROR(SEARCH("H334",J15))=FALSE,H15='Auswahldaten'!$A$21)=TRUE,TRUE,FALSE)</f>
        <v>0</v>
      </c>
      <c r="AN15" t="b" s="385">
        <f>IF(ISERROR(SEARCH("H351",J15))=TRUE,FALSE,TRUE)</f>
        <v>0</v>
      </c>
      <c r="AO15" t="s" s="386">
        <v>192</v>
      </c>
      <c r="AP15" s="377">
        <f>L15</f>
        <v>0</v>
      </c>
      <c r="AQ15" t="b" s="385">
        <f>IF(AND(H15='Auswahldaten'!A$20,OR(L15='Auswahldaten'!A$52,L15='Auswahldaten'!A$53)),TRUE,FALSE)</f>
        <v>0</v>
      </c>
      <c r="AR15" s="34">
        <f>IF(K15='Auswahldaten'!$A$61,1,0)</f>
        <v>0</v>
      </c>
      <c r="AS15" s="13"/>
      <c r="AT15" s="13"/>
      <c r="AU15" s="13"/>
      <c r="AV15" s="13"/>
      <c r="AW15" s="14"/>
    </row>
    <row r="16" ht="15.75" customHeight="1">
      <c r="A16" s="371">
        <v>5</v>
      </c>
      <c r="B16" s="293"/>
      <c r="C16" s="294"/>
      <c r="D16" t="s" s="378">
        <f>IF(C16="","",VLOOKUP(C16,'Összetétel'!$B$13:$E$61,4,FALSE))</f>
      </c>
      <c r="E16" s="288"/>
      <c r="F16" s="288">
        <f>IF(D16="",0,(E16*D16/100))</f>
        <v>0</v>
      </c>
      <c r="G16" s="378"/>
      <c r="H16" s="294"/>
      <c r="I16" t="s" s="378">
        <f>IF(F16&lt;0.0000000000001,"",F16)</f>
      </c>
      <c r="J16" s="378"/>
      <c r="K16" s="294"/>
      <c r="L16" s="379"/>
      <c r="M16" s="380"/>
      <c r="N16" s="379"/>
      <c r="O16" s="295"/>
      <c r="P16" s="295"/>
      <c r="Q16" t="s" s="381">
        <f>IF(B16="","",IF(OR(H16='Fordítások'!$C$70,H16='Fordítások'!$B$70),"Y","N"))</f>
      </c>
      <c r="R16" t="s" s="381">
        <f>IF(NOT(ISERROR(SEARCH("400",J16,1))),"Y","N")</f>
        <v>257</v>
      </c>
      <c r="S16" t="s" s="381">
        <f>IF(NOT(ISERROR(SEARCH("412",J16,1))),"Y","N")</f>
        <v>257</v>
      </c>
      <c r="T16" t="s" s="381">
        <f>IF(NOT(ISERROR(SEARCH("412",K16,1))),"Y","N")</f>
        <v>257</v>
      </c>
      <c r="U16" s="295"/>
      <c r="V16" s="382"/>
      <c r="W16" s="383">
        <v>310</v>
      </c>
      <c r="X16" s="247"/>
      <c r="Y16" s="297">
        <f>IF(B16="",0,Y15+1)</f>
        <v>0</v>
      </c>
      <c r="Z16" s="237"/>
      <c r="AA16" t="b" s="384">
        <f>IF(H16='Auswahldaten'!$A$16,TRUE,FALSE)</f>
        <v>0</v>
      </c>
      <c r="AB16" t="b" s="377">
        <f>IF('Alapanyagok_DID'!O16="R",TRUE,FALSE)</f>
        <v>0</v>
      </c>
      <c r="AC16" t="b" s="377">
        <f>IF(AND(AA16=TRUE,AB16=TRUE),TRUE,FALSE)</f>
        <v>0</v>
      </c>
      <c r="AD16" t="b" s="377">
        <f>IF('Alapanyagok_DID'!K16='Auswahldaten'!$A$12,TRUE,FALSE)</f>
        <v>0</v>
      </c>
      <c r="AE16" t="b" s="377">
        <f>IF(AND(AA16=TRUE,AD16=TRUE),TRUE,FALSE)</f>
        <v>0</v>
      </c>
      <c r="AF16" t="b" s="377">
        <f>IF(AND(AA16=TRUE,'Alapanyagok_DID'!E16='DID List'!$A$7),TRUE,FALSE)</f>
        <v>0</v>
      </c>
      <c r="AG16" t="b" s="377">
        <f>IF(AND(O16='Auswahldaten'!$A$12,'Alapanyagok_DID'!F16='DID List'!$A$7),TRUE,FALSE)</f>
        <v>0</v>
      </c>
      <c r="AH16" t="b" s="377">
        <f>IF('Alapanyagok_DID'!F16='DID List'!$A$7,TRUE,FALSE)</f>
        <v>0</v>
      </c>
      <c r="AI16" t="b" s="377">
        <f>IF(P16='Auswahldaten'!$A$12,TRUE,FALSE)</f>
        <v>0</v>
      </c>
      <c r="AJ16" t="b" s="377">
        <f>IF(AND(ISERROR(SEARCH("H400",J16))=FALSE,H16='Auswahldaten'!$A$16)=TRUE,TRUE,FALSE)</f>
        <v>0</v>
      </c>
      <c r="AK16" t="b" s="377">
        <f>IF(AND(ISERROR(SEARCH($AK$11,J16))=FALSE,H16='Auswahldaten'!$A$16)=TRUE,TRUE,FALSE)</f>
        <v>0</v>
      </c>
      <c r="AL16" t="b" s="377">
        <f>IF(AND(ISERROR(SEARCH("H317",J16))=FALSE,H16='Auswahldaten'!$A$21)=TRUE,TRUE,FALSE)</f>
        <v>0</v>
      </c>
      <c r="AM16" t="b" s="377">
        <f>IF(AND(ISERROR(SEARCH("H334",J16))=FALSE,H16='Auswahldaten'!$A$21)=TRUE,TRUE,FALSE)</f>
        <v>0</v>
      </c>
      <c r="AN16" t="b" s="385">
        <f>IF(ISERROR(SEARCH("H351",J16))=TRUE,FALSE,TRUE)</f>
        <v>0</v>
      </c>
      <c r="AO16" s="387">
        <f>_xlfn.COUNTIFS(H13:H61,'Auswahldaten'!A18)</f>
        <v>0</v>
      </c>
      <c r="AP16" s="377">
        <f>L16</f>
        <v>0</v>
      </c>
      <c r="AQ16" t="b" s="385">
        <f>IF(AND(H16='Auswahldaten'!A$20,OR(L16='Auswahldaten'!A$52,L16='Auswahldaten'!A$53)),TRUE,FALSE)</f>
        <v>0</v>
      </c>
      <c r="AR16" s="34">
        <f>IF(K16='Auswahldaten'!$A$61,1,0)</f>
        <v>0</v>
      </c>
      <c r="AS16" s="13"/>
      <c r="AT16" s="13"/>
      <c r="AU16" s="13"/>
      <c r="AV16" s="13"/>
      <c r="AW16" s="14"/>
    </row>
    <row r="17" ht="15.75" customHeight="1">
      <c r="A17" s="371">
        <v>6</v>
      </c>
      <c r="B17" s="293"/>
      <c r="C17" s="294"/>
      <c r="D17" t="s" s="378">
        <f>IF(C17="","",VLOOKUP(C17,'Összetétel'!$B$13:$E$61,4,FALSE))</f>
      </c>
      <c r="E17" s="288"/>
      <c r="F17" s="288">
        <f>IF(D17="",0,(E17*D17/100))</f>
        <v>0</v>
      </c>
      <c r="G17" s="378"/>
      <c r="H17" s="294"/>
      <c r="I17" t="s" s="378">
        <f>IF(F17&lt;0.0000000000001,"",F17)</f>
      </c>
      <c r="J17" s="378"/>
      <c r="K17" s="294"/>
      <c r="L17" s="379"/>
      <c r="M17" s="380"/>
      <c r="N17" s="379"/>
      <c r="O17" s="295"/>
      <c r="P17" s="295"/>
      <c r="Q17" t="s" s="381">
        <f>IF(B17="","",IF(OR(H17='Fordítások'!$C$70,H17='Fordítások'!$B$70),"Y","N"))</f>
      </c>
      <c r="R17" t="s" s="381">
        <f>IF(NOT(ISERROR(SEARCH("400",J17,1))),"Y","N")</f>
        <v>257</v>
      </c>
      <c r="S17" t="s" s="381">
        <f>IF(NOT(ISERROR(SEARCH("412",J17,1))),"Y","N")</f>
        <v>257</v>
      </c>
      <c r="T17" t="s" s="381">
        <f>IF(NOT(ISERROR(SEARCH("412",K17,1))),"Y","N")</f>
        <v>257</v>
      </c>
      <c r="U17" s="295"/>
      <c r="V17" s="382"/>
      <c r="W17" s="383">
        <v>311</v>
      </c>
      <c r="X17" s="247"/>
      <c r="Y17" s="297">
        <f>IF(B17="",0,Y16+1)</f>
        <v>0</v>
      </c>
      <c r="Z17" s="237"/>
      <c r="AA17" t="b" s="384">
        <f>IF(H17='Auswahldaten'!$A$16,TRUE,FALSE)</f>
        <v>0</v>
      </c>
      <c r="AB17" t="b" s="377">
        <f>IF('Alapanyagok_DID'!O17="R",TRUE,FALSE)</f>
        <v>0</v>
      </c>
      <c r="AC17" t="b" s="377">
        <f>IF(AND(AA17=TRUE,AB17=TRUE),TRUE,FALSE)</f>
        <v>0</v>
      </c>
      <c r="AD17" t="b" s="377">
        <f>IF('Alapanyagok_DID'!K17='Auswahldaten'!$A$12,TRUE,FALSE)</f>
        <v>0</v>
      </c>
      <c r="AE17" t="b" s="377">
        <f>IF(AND(AA17=TRUE,AD17=TRUE),TRUE,FALSE)</f>
        <v>0</v>
      </c>
      <c r="AF17" t="b" s="377">
        <f>IF(AND(AA17=TRUE,'Alapanyagok_DID'!E17='DID List'!$A$7),TRUE,FALSE)</f>
        <v>0</v>
      </c>
      <c r="AG17" t="b" s="377">
        <f>IF(AND(O17='Auswahldaten'!$A$12,'Alapanyagok_DID'!F17='DID List'!$A$7),TRUE,FALSE)</f>
        <v>0</v>
      </c>
      <c r="AH17" t="b" s="377">
        <f>IF('Alapanyagok_DID'!F17='DID List'!$A$7,TRUE,FALSE)</f>
        <v>0</v>
      </c>
      <c r="AI17" t="b" s="377">
        <f>IF(P17='Auswahldaten'!$A$12,TRUE,FALSE)</f>
        <v>0</v>
      </c>
      <c r="AJ17" t="b" s="377">
        <f>IF(AND(ISERROR(SEARCH("H400",J17))=FALSE,H17='Auswahldaten'!$A$16)=TRUE,TRUE,FALSE)</f>
        <v>0</v>
      </c>
      <c r="AK17" t="b" s="377">
        <f>IF(AND(ISERROR(SEARCH($AK$11,J17))=FALSE,H17='Auswahldaten'!$A$16)=TRUE,TRUE,FALSE)</f>
        <v>0</v>
      </c>
      <c r="AL17" t="b" s="377">
        <f>IF(AND(ISERROR(SEARCH("H317",J17))=FALSE,H17='Auswahldaten'!$A$21)=TRUE,TRUE,FALSE)</f>
        <v>0</v>
      </c>
      <c r="AM17" t="b" s="377">
        <f>IF(AND(ISERROR(SEARCH("H334",J17))=FALSE,H17='Auswahldaten'!$A$21)=TRUE,TRUE,FALSE)</f>
        <v>0</v>
      </c>
      <c r="AN17" t="b" s="385">
        <f>IF(ISERROR(SEARCH("H351",J17))=TRUE,FALSE,TRUE)</f>
        <v>0</v>
      </c>
      <c r="AO17" s="142"/>
      <c r="AP17" s="377">
        <f>L17</f>
        <v>0</v>
      </c>
      <c r="AQ17" t="b" s="385">
        <f>IF(AND(H17='Auswahldaten'!A$20,OR(L17='Auswahldaten'!A$52,L17='Auswahldaten'!A$53)),TRUE,FALSE)</f>
        <v>0</v>
      </c>
      <c r="AR17" s="34">
        <f>IF(K17='Auswahldaten'!$A$61,1,0)</f>
        <v>0</v>
      </c>
      <c r="AS17" s="13"/>
      <c r="AT17" s="13"/>
      <c r="AU17" s="13"/>
      <c r="AV17" s="13"/>
      <c r="AW17" s="14"/>
    </row>
    <row r="18" ht="15.75" customHeight="1">
      <c r="A18" s="371">
        <v>7</v>
      </c>
      <c r="B18" s="293"/>
      <c r="C18" s="294"/>
      <c r="D18" t="s" s="378">
        <f>IF(C18="","",VLOOKUP(C18,'Összetétel'!$B$13:$E$61,4,FALSE))</f>
      </c>
      <c r="E18" s="288"/>
      <c r="F18" s="288">
        <f>IF(D18="",0,(E18*D18/100))</f>
        <v>0</v>
      </c>
      <c r="G18" s="378"/>
      <c r="H18" s="294"/>
      <c r="I18" t="s" s="378">
        <f>IF(F18&lt;0.0000000000001,"",F18)</f>
      </c>
      <c r="J18" s="378"/>
      <c r="K18" s="294"/>
      <c r="L18" s="379"/>
      <c r="M18" s="380"/>
      <c r="N18" s="379"/>
      <c r="O18" s="295"/>
      <c r="P18" s="295"/>
      <c r="Q18" t="s" s="381">
        <f>IF(B18="","",IF(OR(H18='Fordítások'!$C$70,H18='Fordítások'!$B$70),"Y","N"))</f>
      </c>
      <c r="R18" t="s" s="381">
        <f>IF(NOT(ISERROR(SEARCH("400",J18,1))),"Y","N")</f>
        <v>257</v>
      </c>
      <c r="S18" t="s" s="381">
        <f>IF(NOT(ISERROR(SEARCH("412",J18,1))),"Y","N")</f>
        <v>257</v>
      </c>
      <c r="T18" t="s" s="381">
        <f>IF(NOT(ISERROR(SEARCH("412",K18,1))),"Y","N")</f>
        <v>257</v>
      </c>
      <c r="U18" s="295"/>
      <c r="V18" s="382"/>
      <c r="W18" s="383">
        <v>317</v>
      </c>
      <c r="X18" s="247"/>
      <c r="Y18" s="297">
        <f>IF(B18="",0,Y17+1)</f>
        <v>0</v>
      </c>
      <c r="Z18" s="237"/>
      <c r="AA18" t="b" s="384">
        <f>IF(H18='Auswahldaten'!$A$16,TRUE,FALSE)</f>
        <v>0</v>
      </c>
      <c r="AB18" t="b" s="377">
        <f>IF('Alapanyagok_DID'!O18="R",TRUE,FALSE)</f>
        <v>0</v>
      </c>
      <c r="AC18" t="b" s="377">
        <f>IF(AND(AA18=TRUE,AB18=TRUE),TRUE,FALSE)</f>
        <v>0</v>
      </c>
      <c r="AD18" t="b" s="377">
        <f>IF('Alapanyagok_DID'!K18='Auswahldaten'!$A$12,TRUE,FALSE)</f>
        <v>0</v>
      </c>
      <c r="AE18" t="b" s="377">
        <f>IF(AND(AA18=TRUE,AD18=TRUE),TRUE,FALSE)</f>
        <v>0</v>
      </c>
      <c r="AF18" t="b" s="377">
        <f>IF(AND(AA18=TRUE,'Alapanyagok_DID'!E18='DID List'!$A$7),TRUE,FALSE)</f>
        <v>0</v>
      </c>
      <c r="AG18" t="b" s="377">
        <f>IF(AND(O18='Auswahldaten'!$A$12,'Alapanyagok_DID'!F18='DID List'!$A$7),TRUE,FALSE)</f>
        <v>0</v>
      </c>
      <c r="AH18" t="b" s="377">
        <f>IF('Alapanyagok_DID'!F18='DID List'!$A$7,TRUE,FALSE)</f>
        <v>0</v>
      </c>
      <c r="AI18" t="b" s="377">
        <f>IF(P18='Auswahldaten'!$A$12,TRUE,FALSE)</f>
        <v>0</v>
      </c>
      <c r="AJ18" t="b" s="377">
        <f>IF(AND(ISERROR(SEARCH("H400",J18))=FALSE,H18='Auswahldaten'!$A$16)=TRUE,TRUE,FALSE)</f>
        <v>0</v>
      </c>
      <c r="AK18" t="b" s="377">
        <f>IF(AND(ISERROR(SEARCH($AK$11,J18))=FALSE,H18='Auswahldaten'!$A$16)=TRUE,TRUE,FALSE)</f>
        <v>0</v>
      </c>
      <c r="AL18" t="b" s="377">
        <f>IF(AND(ISERROR(SEARCH("H317",J18))=FALSE,H18='Auswahldaten'!$A$21)=TRUE,TRUE,FALSE)</f>
        <v>0</v>
      </c>
      <c r="AM18" t="b" s="377">
        <f>IF(AND(ISERROR(SEARCH("H334",J18))=FALSE,H18='Auswahldaten'!$A$21)=TRUE,TRUE,FALSE)</f>
        <v>0</v>
      </c>
      <c r="AN18" t="b" s="385">
        <f>IF(ISERROR(SEARCH("H351",J18))=TRUE,FALSE,TRUE)</f>
        <v>0</v>
      </c>
      <c r="AO18" t="s" s="386">
        <v>193</v>
      </c>
      <c r="AP18" s="377">
        <f>L18</f>
        <v>0</v>
      </c>
      <c r="AQ18" t="b" s="385">
        <f>IF(AND(H18='Auswahldaten'!A$20,OR(L18='Auswahldaten'!A$52,L18='Auswahldaten'!A$53)),TRUE,FALSE)</f>
        <v>0</v>
      </c>
      <c r="AR18" s="34">
        <f>IF(K18='Auswahldaten'!$A$61,1,0)</f>
        <v>0</v>
      </c>
      <c r="AS18" s="13"/>
      <c r="AT18" s="13"/>
      <c r="AU18" s="13"/>
      <c r="AV18" s="13"/>
      <c r="AW18" s="14"/>
    </row>
    <row r="19" ht="15.75" customHeight="1">
      <c r="A19" s="371">
        <v>8</v>
      </c>
      <c r="B19" s="293"/>
      <c r="C19" s="294"/>
      <c r="D19" t="s" s="378">
        <f>IF(C19="","",VLOOKUP(C19,'Összetétel'!$B$13:$E$61,4,FALSE))</f>
      </c>
      <c r="E19" s="288"/>
      <c r="F19" s="288">
        <f>IF(D19="",0,(E19*D19/100))</f>
        <v>0</v>
      </c>
      <c r="G19" s="378"/>
      <c r="H19" s="294"/>
      <c r="I19" t="s" s="378">
        <f>IF(F19&lt;0.0000000000001,"",F19)</f>
      </c>
      <c r="J19" s="378"/>
      <c r="K19" s="294"/>
      <c r="L19" s="379"/>
      <c r="M19" s="380"/>
      <c r="N19" s="379"/>
      <c r="O19" s="295"/>
      <c r="P19" s="295"/>
      <c r="Q19" t="s" s="381">
        <f>IF(B19="","",IF(OR(H19='Fordítások'!$C$70,H19='Fordítások'!$B$70),"Y","N"))</f>
      </c>
      <c r="R19" t="s" s="381">
        <f>IF(NOT(ISERROR(SEARCH("400",J19,1))),"Y","N")</f>
        <v>257</v>
      </c>
      <c r="S19" t="s" s="381">
        <f>IF(NOT(ISERROR(SEARCH("412",J19,1))),"Y","N")</f>
        <v>257</v>
      </c>
      <c r="T19" t="s" s="381">
        <f>IF(NOT(ISERROR(SEARCH("412",K19,1))),"Y","N")</f>
        <v>257</v>
      </c>
      <c r="U19" s="295"/>
      <c r="V19" s="382"/>
      <c r="W19" s="383">
        <v>330</v>
      </c>
      <c r="X19" s="247"/>
      <c r="Y19" s="297">
        <f>IF(B19="",0,Y18+1)</f>
        <v>0</v>
      </c>
      <c r="Z19" s="237"/>
      <c r="AA19" t="b" s="384">
        <f>IF(H19='Auswahldaten'!$A$16,TRUE,FALSE)</f>
        <v>0</v>
      </c>
      <c r="AB19" t="b" s="377">
        <f>IF('Alapanyagok_DID'!O19="R",TRUE,FALSE)</f>
        <v>0</v>
      </c>
      <c r="AC19" t="b" s="377">
        <f>IF(AND(AA19=TRUE,AB19=TRUE),TRUE,FALSE)</f>
        <v>0</v>
      </c>
      <c r="AD19" t="b" s="377">
        <f>IF('Alapanyagok_DID'!K19='Auswahldaten'!$A$12,TRUE,FALSE)</f>
        <v>0</v>
      </c>
      <c r="AE19" t="b" s="377">
        <f>IF(AND(AA19=TRUE,AD19=TRUE),TRUE,FALSE)</f>
        <v>0</v>
      </c>
      <c r="AF19" t="b" s="377">
        <f>IF(AND(AA19=TRUE,'Alapanyagok_DID'!E19='DID List'!$A$7),TRUE,FALSE)</f>
        <v>0</v>
      </c>
      <c r="AG19" t="b" s="377">
        <f>IF(AND(O19='Auswahldaten'!$A$12,'Alapanyagok_DID'!F19='DID List'!$A$7),TRUE,FALSE)</f>
        <v>0</v>
      </c>
      <c r="AH19" t="b" s="377">
        <f>IF('Alapanyagok_DID'!F19='DID List'!$A$7,TRUE,FALSE)</f>
        <v>0</v>
      </c>
      <c r="AI19" t="b" s="377">
        <f>IF(P19='Auswahldaten'!$A$12,TRUE,FALSE)</f>
        <v>0</v>
      </c>
      <c r="AJ19" t="b" s="377">
        <f>IF(AND(ISERROR(SEARCH("H400",J19))=FALSE,H19='Auswahldaten'!$A$16)=TRUE,TRUE,FALSE)</f>
        <v>0</v>
      </c>
      <c r="AK19" t="b" s="377">
        <f>IF(AND(ISERROR(SEARCH($AK$11,J19))=FALSE,H19='Auswahldaten'!$A$16)=TRUE,TRUE,FALSE)</f>
        <v>0</v>
      </c>
      <c r="AL19" t="b" s="377">
        <f>IF(AND(ISERROR(SEARCH("H317",J19))=FALSE,H19='Auswahldaten'!$A$21)=TRUE,TRUE,FALSE)</f>
        <v>0</v>
      </c>
      <c r="AM19" t="b" s="377">
        <f>IF(AND(ISERROR(SEARCH("H334",J19))=FALSE,H19='Auswahldaten'!$A$21)=TRUE,TRUE,FALSE)</f>
        <v>0</v>
      </c>
      <c r="AN19" t="b" s="385">
        <f>IF(ISERROR(SEARCH("H351",J19))=TRUE,FALSE,TRUE)</f>
        <v>0</v>
      </c>
      <c r="AO19" t="s" s="386">
        <v>258</v>
      </c>
      <c r="AP19" s="377">
        <f>L19</f>
        <v>0</v>
      </c>
      <c r="AQ19" t="b" s="385">
        <f>IF(AND(H19='Auswahldaten'!A$20,OR(L19='Auswahldaten'!A$52,L19='Auswahldaten'!A$53)),TRUE,FALSE)</f>
        <v>0</v>
      </c>
      <c r="AR19" s="34">
        <f>IF(K19='Auswahldaten'!$A$61,1,0)</f>
        <v>0</v>
      </c>
      <c r="AS19" s="13"/>
      <c r="AT19" s="13"/>
      <c r="AU19" s="13"/>
      <c r="AV19" s="13"/>
      <c r="AW19" s="14"/>
    </row>
    <row r="20" ht="15.75" customHeight="1">
      <c r="A20" s="371">
        <v>9</v>
      </c>
      <c r="B20" s="293"/>
      <c r="C20" s="294"/>
      <c r="D20" t="s" s="378">
        <f>IF(C20="","",VLOOKUP(C20,'Összetétel'!$B$13:$E$61,4,FALSE))</f>
      </c>
      <c r="E20" s="288"/>
      <c r="F20" s="288">
        <f>IF(D20="",0,(E20*D20/100))</f>
        <v>0</v>
      </c>
      <c r="G20" s="378"/>
      <c r="H20" s="294"/>
      <c r="I20" t="s" s="378">
        <f>IF(F20&lt;0.0000000000001,"",F20)</f>
      </c>
      <c r="J20" s="378"/>
      <c r="K20" s="294"/>
      <c r="L20" s="379"/>
      <c r="M20" s="380"/>
      <c r="N20" s="379"/>
      <c r="O20" s="295"/>
      <c r="P20" s="295"/>
      <c r="Q20" t="s" s="381">
        <f>IF(B20="","",IF(OR(H20='Fordítások'!$C$70,H20='Fordítások'!$B$70),"Y","N"))</f>
      </c>
      <c r="R20" t="s" s="381">
        <f>IF(NOT(ISERROR(SEARCH("400",J20,1))),"Y","N")</f>
        <v>257</v>
      </c>
      <c r="S20" t="s" s="381">
        <f>IF(NOT(ISERROR(SEARCH("412",J20,1))),"Y","N")</f>
        <v>257</v>
      </c>
      <c r="T20" t="s" s="381">
        <f>IF(NOT(ISERROR(SEARCH("412",K20,1))),"Y","N")</f>
        <v>257</v>
      </c>
      <c r="U20" s="295"/>
      <c r="V20" s="382"/>
      <c r="W20" s="383">
        <v>331</v>
      </c>
      <c r="X20" s="247"/>
      <c r="Y20" s="297">
        <f>IF(B20="",0,Y19+1)</f>
        <v>0</v>
      </c>
      <c r="Z20" s="237"/>
      <c r="AA20" t="b" s="384">
        <f>IF(H20='Auswahldaten'!$A$16,TRUE,FALSE)</f>
        <v>0</v>
      </c>
      <c r="AB20" t="b" s="377">
        <f>IF('Alapanyagok_DID'!O20="R",TRUE,FALSE)</f>
        <v>0</v>
      </c>
      <c r="AC20" t="b" s="377">
        <f>IF(AND(AA20=TRUE,AB20=TRUE),TRUE,FALSE)</f>
        <v>0</v>
      </c>
      <c r="AD20" t="b" s="377">
        <f>IF('Alapanyagok_DID'!K20='Auswahldaten'!$A$12,TRUE,FALSE)</f>
        <v>0</v>
      </c>
      <c r="AE20" t="b" s="377">
        <f>IF(AND(AA20=TRUE,AD20=TRUE),TRUE,FALSE)</f>
        <v>0</v>
      </c>
      <c r="AF20" t="b" s="377">
        <f>IF(AND(AA20=TRUE,'Alapanyagok_DID'!E20='DID List'!$A$7),TRUE,FALSE)</f>
        <v>0</v>
      </c>
      <c r="AG20" t="b" s="377">
        <f>IF(AND(O20='Auswahldaten'!$A$12,'Alapanyagok_DID'!F20='DID List'!$A$7),TRUE,FALSE)</f>
        <v>0</v>
      </c>
      <c r="AH20" t="b" s="377">
        <f>IF('Alapanyagok_DID'!F20='DID List'!$A$7,TRUE,FALSE)</f>
        <v>0</v>
      </c>
      <c r="AI20" t="b" s="377">
        <f>IF(P20='Auswahldaten'!$A$12,TRUE,FALSE)</f>
        <v>0</v>
      </c>
      <c r="AJ20" t="b" s="377">
        <f>IF(AND(ISERROR(SEARCH("H400",J20))=FALSE,H20='Auswahldaten'!$A$16)=TRUE,TRUE,FALSE)</f>
        <v>0</v>
      </c>
      <c r="AK20" t="b" s="377">
        <f>IF(AND(ISERROR(SEARCH($AK$11,J20))=FALSE,H20='Auswahldaten'!$A$16)=TRUE,TRUE,FALSE)</f>
        <v>0</v>
      </c>
      <c r="AL20" t="b" s="377">
        <f>IF(AND(ISERROR(SEARCH("H317",J20))=FALSE,H20='Auswahldaten'!$A$21)=TRUE,TRUE,FALSE)</f>
        <v>0</v>
      </c>
      <c r="AM20" t="b" s="377">
        <f>IF(AND(ISERROR(SEARCH("H334",J20))=FALSE,H20='Auswahldaten'!$A$21)=TRUE,TRUE,FALSE)</f>
        <v>0</v>
      </c>
      <c r="AN20" t="b" s="385">
        <f>IF(ISERROR(SEARCH("H351",J20))=TRUE,FALSE,TRUE)</f>
        <v>0</v>
      </c>
      <c r="AO20" s="377">
        <f>_xlfn.COUNTIFS(H13:H61,'Auswahldaten'!A20,L13:L61,'Auswahldaten'!A54)</f>
        <v>0</v>
      </c>
      <c r="AP20" s="377">
        <f>L20</f>
        <v>0</v>
      </c>
      <c r="AQ20" t="b" s="385">
        <f>IF(AND(H20='Auswahldaten'!A$20,OR(L20='Auswahldaten'!A$52,L20='Auswahldaten'!A$53)),TRUE,FALSE)</f>
        <v>0</v>
      </c>
      <c r="AR20" s="34">
        <f>IF(K20='Auswahldaten'!$A$61,1,0)</f>
        <v>0</v>
      </c>
      <c r="AS20" s="13"/>
      <c r="AT20" s="13"/>
      <c r="AU20" s="13"/>
      <c r="AV20" s="13"/>
      <c r="AW20" s="14"/>
    </row>
    <row r="21" ht="15.75" customHeight="1">
      <c r="A21" s="371">
        <v>10</v>
      </c>
      <c r="B21" s="293"/>
      <c r="C21" s="294"/>
      <c r="D21" t="s" s="378">
        <f>IF(C21="","",VLOOKUP(C21,'Összetétel'!$B$13:$E$61,4,FALSE))</f>
      </c>
      <c r="E21" s="288"/>
      <c r="F21" s="288">
        <f>IF(D21="",0,(E21*D21/100))</f>
        <v>0</v>
      </c>
      <c r="G21" s="378"/>
      <c r="H21" s="294"/>
      <c r="I21" t="s" s="378">
        <f>IF(F21&lt;0.0000000000001,"",F21)</f>
      </c>
      <c r="J21" s="378"/>
      <c r="K21" s="294"/>
      <c r="L21" s="379"/>
      <c r="M21" s="380"/>
      <c r="N21" s="379"/>
      <c r="O21" s="295"/>
      <c r="P21" s="295"/>
      <c r="Q21" t="s" s="381">
        <f>IF(B21="","",IF(OR(H21='Fordítások'!$C$70,H21='Fordítások'!$B$70),"Y","N"))</f>
      </c>
      <c r="R21" t="s" s="381">
        <f>IF(NOT(ISERROR(SEARCH("400",J21,1))),"Y","N")</f>
        <v>257</v>
      </c>
      <c r="S21" t="s" s="381">
        <f>IF(NOT(ISERROR(SEARCH("412",J21,1))),"Y","N")</f>
        <v>257</v>
      </c>
      <c r="T21" t="s" s="381">
        <f>IF(NOT(ISERROR(SEARCH("412",K21,1))),"Y","N")</f>
        <v>257</v>
      </c>
      <c r="U21" s="295"/>
      <c r="V21" s="382"/>
      <c r="W21" s="383">
        <v>334</v>
      </c>
      <c r="X21" s="247"/>
      <c r="Y21" s="297">
        <f>IF(B21="",0,Y20+1)</f>
        <v>0</v>
      </c>
      <c r="Z21" s="237"/>
      <c r="AA21" t="b" s="384">
        <f>IF(H21='Auswahldaten'!$A$16,TRUE,FALSE)</f>
        <v>0</v>
      </c>
      <c r="AB21" t="b" s="377">
        <f>IF('Alapanyagok_DID'!O21="R",TRUE,FALSE)</f>
        <v>0</v>
      </c>
      <c r="AC21" t="b" s="377">
        <f>IF(AND(AA21=TRUE,AB21=TRUE),TRUE,FALSE)</f>
        <v>0</v>
      </c>
      <c r="AD21" t="b" s="377">
        <f>IF('Alapanyagok_DID'!K21='Auswahldaten'!$A$12,TRUE,FALSE)</f>
        <v>0</v>
      </c>
      <c r="AE21" t="b" s="377">
        <f>IF(AND(AA21=TRUE,AD21=TRUE),TRUE,FALSE)</f>
        <v>0</v>
      </c>
      <c r="AF21" t="b" s="377">
        <f>IF(AND(AA21=TRUE,'Alapanyagok_DID'!E21='DID List'!$A$7),TRUE,FALSE)</f>
        <v>0</v>
      </c>
      <c r="AG21" t="b" s="377">
        <f>IF(AND(O21='Auswahldaten'!$A$12,'Alapanyagok_DID'!F21='DID List'!$A$7),TRUE,FALSE)</f>
        <v>0</v>
      </c>
      <c r="AH21" t="b" s="377">
        <f>IF('Alapanyagok_DID'!F21='DID List'!$A$7,TRUE,FALSE)</f>
        <v>0</v>
      </c>
      <c r="AI21" t="b" s="377">
        <f>IF(P21='Auswahldaten'!$A$12,TRUE,FALSE)</f>
        <v>0</v>
      </c>
      <c r="AJ21" t="b" s="377">
        <f>IF(AND(ISERROR(SEARCH("H400",J21))=FALSE,H21='Auswahldaten'!$A$16)=TRUE,TRUE,FALSE)</f>
        <v>0</v>
      </c>
      <c r="AK21" t="b" s="377">
        <f>IF(AND(ISERROR(SEARCH($AK$11,J21))=FALSE,H21='Auswahldaten'!$A$16)=TRUE,TRUE,FALSE)</f>
        <v>0</v>
      </c>
      <c r="AL21" t="b" s="377">
        <f>IF(AND(ISERROR(SEARCH("H317",J21))=FALSE,H21='Auswahldaten'!$A$21)=TRUE,TRUE,FALSE)</f>
        <v>0</v>
      </c>
      <c r="AM21" t="b" s="377">
        <f>IF(AND(ISERROR(SEARCH("H334",J21))=FALSE,H21='Auswahldaten'!$A$21)=TRUE,TRUE,FALSE)</f>
        <v>0</v>
      </c>
      <c r="AN21" t="b" s="385">
        <f>IF(ISERROR(SEARCH("H351",J21))=TRUE,FALSE,TRUE)</f>
        <v>0</v>
      </c>
      <c r="AO21" s="142"/>
      <c r="AP21" s="377">
        <f>L21</f>
        <v>0</v>
      </c>
      <c r="AQ21" t="b" s="385">
        <f>IF(AND(H21='Auswahldaten'!A$20,OR(L21='Auswahldaten'!A$52,L21='Auswahldaten'!A$53)),TRUE,FALSE)</f>
        <v>0</v>
      </c>
      <c r="AR21" s="34">
        <f>IF(K21='Auswahldaten'!$A$61,1,0)</f>
        <v>0</v>
      </c>
      <c r="AS21" s="13"/>
      <c r="AT21" s="13"/>
      <c r="AU21" s="13"/>
      <c r="AV21" s="13"/>
      <c r="AW21" s="14"/>
    </row>
    <row r="22" ht="15.75" customHeight="1">
      <c r="A22" s="371">
        <v>11</v>
      </c>
      <c r="B22" s="293"/>
      <c r="C22" s="294"/>
      <c r="D22" t="s" s="378">
        <f>IF(C22="","",VLOOKUP(C22,'Összetétel'!$B$13:$E$61,4,FALSE))</f>
      </c>
      <c r="E22" s="288"/>
      <c r="F22" s="288">
        <f>IF(D22="",0,(E22*D22/100))</f>
        <v>0</v>
      </c>
      <c r="G22" s="378"/>
      <c r="H22" s="294"/>
      <c r="I22" t="s" s="378">
        <f>IF(F22&lt;0.0000000000001,"",F22)</f>
      </c>
      <c r="J22" s="378"/>
      <c r="K22" s="294"/>
      <c r="L22" s="379"/>
      <c r="M22" s="380"/>
      <c r="N22" s="379"/>
      <c r="O22" s="295"/>
      <c r="P22" s="295"/>
      <c r="Q22" t="s" s="381">
        <f>IF(B22="","",IF(OR(H22='Fordítások'!$C$70,H22='Fordítások'!$B$70),"Y","N"))</f>
      </c>
      <c r="R22" t="s" s="381">
        <f>IF(NOT(ISERROR(SEARCH("400",J22,1))),"Y","N")</f>
        <v>257</v>
      </c>
      <c r="S22" t="s" s="381">
        <f>IF(NOT(ISERROR(SEARCH("412",J22,1))),"Y","N")</f>
        <v>257</v>
      </c>
      <c r="T22" t="s" s="381">
        <f>IF(NOT(ISERROR(SEARCH("412",K22,1))),"Y","N")</f>
        <v>257</v>
      </c>
      <c r="U22" s="295"/>
      <c r="V22" s="382"/>
      <c r="W22" s="383">
        <v>340</v>
      </c>
      <c r="X22" s="247"/>
      <c r="Y22" s="297">
        <f>IF(B22="",0,Y21+1)</f>
        <v>0</v>
      </c>
      <c r="Z22" s="237"/>
      <c r="AA22" t="b" s="384">
        <f>IF(H22='Auswahldaten'!$A$16,TRUE,FALSE)</f>
        <v>0</v>
      </c>
      <c r="AB22" t="b" s="377">
        <f>IF('Alapanyagok_DID'!O22="R",TRUE,FALSE)</f>
        <v>0</v>
      </c>
      <c r="AC22" t="b" s="377">
        <f>IF(AND(AA22=TRUE,AB22=TRUE),TRUE,FALSE)</f>
        <v>0</v>
      </c>
      <c r="AD22" t="b" s="377">
        <f>IF('Alapanyagok_DID'!K22='Auswahldaten'!$A$12,TRUE,FALSE)</f>
        <v>0</v>
      </c>
      <c r="AE22" t="b" s="377">
        <f>IF(AND(AA22=TRUE,AD22=TRUE),TRUE,FALSE)</f>
        <v>0</v>
      </c>
      <c r="AF22" t="b" s="377">
        <f>IF(AND(AA22=TRUE,'Alapanyagok_DID'!E22='DID List'!$A$7),TRUE,FALSE)</f>
        <v>0</v>
      </c>
      <c r="AG22" t="b" s="377">
        <f>IF(AND(O22='Auswahldaten'!$A$12,'Alapanyagok_DID'!F22='DID List'!$A$7),TRUE,FALSE)</f>
        <v>0</v>
      </c>
      <c r="AH22" t="b" s="377">
        <f>IF('Alapanyagok_DID'!F22='DID List'!$A$7,TRUE,FALSE)</f>
        <v>0</v>
      </c>
      <c r="AI22" t="b" s="377">
        <f>IF(P22='Auswahldaten'!$A$12,TRUE,FALSE)</f>
        <v>0</v>
      </c>
      <c r="AJ22" t="b" s="377">
        <f>IF(AND(ISERROR(SEARCH("H400",J22))=FALSE,H22='Auswahldaten'!$A$16)=TRUE,TRUE,FALSE)</f>
        <v>0</v>
      </c>
      <c r="AK22" t="b" s="377">
        <f>IF(AND(ISERROR(SEARCH($AK$11,J22))=FALSE,H22='Auswahldaten'!$A$16)=TRUE,TRUE,FALSE)</f>
        <v>0</v>
      </c>
      <c r="AL22" t="b" s="377">
        <f>IF(AND(ISERROR(SEARCH("H317",J22))=FALSE,H22='Auswahldaten'!$A$21)=TRUE,TRUE,FALSE)</f>
        <v>0</v>
      </c>
      <c r="AM22" t="b" s="377">
        <f>IF(AND(ISERROR(SEARCH("H334",J22))=FALSE,H22='Auswahldaten'!$A$21)=TRUE,TRUE,FALSE)</f>
        <v>0</v>
      </c>
      <c r="AN22" t="b" s="385">
        <f>IF(ISERROR(SEARCH("H351",J22))=TRUE,FALSE,TRUE)</f>
        <v>0</v>
      </c>
      <c r="AO22" t="s" s="386">
        <v>259</v>
      </c>
      <c r="AP22" s="377">
        <f>L22</f>
        <v>0</v>
      </c>
      <c r="AQ22" t="b" s="385">
        <f>IF(AND(H22='Auswahldaten'!A$20,OR(L22='Auswahldaten'!A$52,L22='Auswahldaten'!A$53)),TRUE,FALSE)</f>
        <v>0</v>
      </c>
      <c r="AR22" s="34">
        <f>IF(K22='Auswahldaten'!$A$61,1,0)</f>
        <v>0</v>
      </c>
      <c r="AS22" s="13"/>
      <c r="AT22" s="13"/>
      <c r="AU22" s="13"/>
      <c r="AV22" s="13"/>
      <c r="AW22" s="14"/>
    </row>
    <row r="23" ht="15.75" customHeight="1">
      <c r="A23" s="371">
        <v>12</v>
      </c>
      <c r="B23" s="293"/>
      <c r="C23" s="294"/>
      <c r="D23" t="s" s="378">
        <f>IF(C23="","",VLOOKUP(C23,'Összetétel'!$B$13:$E$61,4,FALSE))</f>
      </c>
      <c r="E23" s="288"/>
      <c r="F23" s="288">
        <f>IF(D23="",0,(E23*D23/100))</f>
        <v>0</v>
      </c>
      <c r="G23" s="378"/>
      <c r="H23" s="294"/>
      <c r="I23" t="s" s="378">
        <f>IF(F23&lt;0.0000000000001,"",F23)</f>
      </c>
      <c r="J23" s="378"/>
      <c r="K23" s="294"/>
      <c r="L23" s="379"/>
      <c r="M23" s="380"/>
      <c r="N23" s="379"/>
      <c r="O23" s="295"/>
      <c r="P23" s="295"/>
      <c r="Q23" t="s" s="381">
        <f>IF(B23="","",IF(OR(H23='Fordítások'!$C$70,H23='Fordítások'!$B$70),"Y","N"))</f>
      </c>
      <c r="R23" t="s" s="381">
        <f>IF(NOT(ISERROR(SEARCH("400",J23,1))),"Y","N")</f>
        <v>257</v>
      </c>
      <c r="S23" t="s" s="381">
        <f>IF(NOT(ISERROR(SEARCH("412",J23,1))),"Y","N")</f>
        <v>257</v>
      </c>
      <c r="T23" t="s" s="381">
        <f>IF(NOT(ISERROR(SEARCH("412",K23,1))),"Y","N")</f>
        <v>257</v>
      </c>
      <c r="U23" s="295"/>
      <c r="V23" s="382"/>
      <c r="W23" s="383">
        <v>341</v>
      </c>
      <c r="X23" s="247"/>
      <c r="Y23" s="297">
        <f>IF(B23="",0,Y22+1)</f>
        <v>0</v>
      </c>
      <c r="Z23" s="237"/>
      <c r="AA23" t="b" s="384">
        <f>IF(H23='Auswahldaten'!$A$16,TRUE,FALSE)</f>
        <v>0</v>
      </c>
      <c r="AB23" t="b" s="377">
        <f>IF('Alapanyagok_DID'!O23="R",TRUE,FALSE)</f>
        <v>0</v>
      </c>
      <c r="AC23" t="b" s="377">
        <f>IF(AND(AA23=TRUE,AB23=TRUE),TRUE,FALSE)</f>
        <v>0</v>
      </c>
      <c r="AD23" t="b" s="377">
        <f>IF('Alapanyagok_DID'!K23='Auswahldaten'!$A$12,TRUE,FALSE)</f>
        <v>0</v>
      </c>
      <c r="AE23" t="b" s="377">
        <f>IF(AND(AA23=TRUE,AD23=TRUE),TRUE,FALSE)</f>
        <v>0</v>
      </c>
      <c r="AF23" t="b" s="377">
        <f>IF(AND(AA23=TRUE,'Alapanyagok_DID'!E23='DID List'!$A$7),TRUE,FALSE)</f>
        <v>0</v>
      </c>
      <c r="AG23" t="b" s="377">
        <f>IF(AND(O23='Auswahldaten'!$A$12,'Alapanyagok_DID'!F23='DID List'!$A$7),TRUE,FALSE)</f>
        <v>0</v>
      </c>
      <c r="AH23" t="b" s="377">
        <f>IF('Alapanyagok_DID'!F23='DID List'!$A$7,TRUE,FALSE)</f>
        <v>0</v>
      </c>
      <c r="AI23" t="b" s="377">
        <f>IF(P23='Auswahldaten'!$A$12,TRUE,FALSE)</f>
        <v>0</v>
      </c>
      <c r="AJ23" t="b" s="377">
        <f>IF(AND(ISERROR(SEARCH("H400",J23))=FALSE,H23='Auswahldaten'!$A$16)=TRUE,TRUE,FALSE)</f>
        <v>0</v>
      </c>
      <c r="AK23" t="b" s="377">
        <f>IF(AND(ISERROR(SEARCH($AK$11,J23))=FALSE,H23='Auswahldaten'!$A$16)=TRUE,TRUE,FALSE)</f>
        <v>0</v>
      </c>
      <c r="AL23" t="b" s="377">
        <f>IF(AND(ISERROR(SEARCH("H317",J23))=FALSE,H23='Auswahldaten'!$A$21)=TRUE,TRUE,FALSE)</f>
        <v>0</v>
      </c>
      <c r="AM23" t="b" s="377">
        <f>IF(AND(ISERROR(SEARCH("H334",J23))=FALSE,H23='Auswahldaten'!$A$21)=TRUE,TRUE,FALSE)</f>
        <v>0</v>
      </c>
      <c r="AN23" t="b" s="385">
        <f>IF(ISERROR(SEARCH("H351",J23))=TRUE,FALSE,TRUE)</f>
        <v>0</v>
      </c>
      <c r="AO23" s="388">
        <f>_xlfn.COUNTIFS(H13:H61,'Auswahldaten'!A20,L13:L61,'Auswahldaten'!A52)+_xlfn.COUNTIFS(H13:H61,'Auswahldaten'!A20,L13:L61,'Auswahldaten'!A53)</f>
        <v>0</v>
      </c>
      <c r="AP23" s="377">
        <f>L23</f>
        <v>0</v>
      </c>
      <c r="AQ23" t="b" s="385">
        <f>IF(AND(H23='Auswahldaten'!A$20,OR(L23='Auswahldaten'!A$52,L23='Auswahldaten'!A$53)),TRUE,FALSE)</f>
        <v>0</v>
      </c>
      <c r="AR23" s="34">
        <f>IF(K23='Auswahldaten'!$A$61,1,0)</f>
        <v>0</v>
      </c>
      <c r="AS23" s="13"/>
      <c r="AT23" s="13"/>
      <c r="AU23" s="13"/>
      <c r="AV23" s="13"/>
      <c r="AW23" s="14"/>
    </row>
    <row r="24" ht="15.75" customHeight="1">
      <c r="A24" s="371">
        <v>13</v>
      </c>
      <c r="B24" s="293"/>
      <c r="C24" s="294"/>
      <c r="D24" t="s" s="378">
        <f>IF(C24="","",VLOOKUP(C24,'Összetétel'!$B$13:$E$61,4,FALSE))</f>
      </c>
      <c r="E24" s="288"/>
      <c r="F24" s="288">
        <f>IF(D24="",0,(E24*D24/100))</f>
        <v>0</v>
      </c>
      <c r="G24" s="378"/>
      <c r="H24" s="294"/>
      <c r="I24" t="s" s="378">
        <f>IF(F24&lt;0.0000000000001,"",F24)</f>
      </c>
      <c r="J24" s="378"/>
      <c r="K24" s="294"/>
      <c r="L24" s="379"/>
      <c r="M24" s="380"/>
      <c r="N24" s="379"/>
      <c r="O24" s="295"/>
      <c r="P24" s="295"/>
      <c r="Q24" t="s" s="381">
        <f>IF(B24="","",IF(OR(H24='Fordítások'!$C$70,H24='Fordítások'!$B$70),"Y","N"))</f>
      </c>
      <c r="R24" t="s" s="381">
        <f>IF(NOT(ISERROR(SEARCH("400",J24,1))),"Y","N")</f>
        <v>257</v>
      </c>
      <c r="S24" t="s" s="381">
        <f>IF(NOT(ISERROR(SEARCH("412",J24,1))),"Y","N")</f>
        <v>257</v>
      </c>
      <c r="T24" t="s" s="381">
        <f>IF(NOT(ISERROR(SEARCH("412",K24,1))),"Y","N")</f>
        <v>257</v>
      </c>
      <c r="U24" s="295"/>
      <c r="V24" s="382"/>
      <c r="W24" s="383">
        <v>350</v>
      </c>
      <c r="X24" s="247"/>
      <c r="Y24" s="297">
        <f>IF(B24="",0,Y23+1)</f>
        <v>0</v>
      </c>
      <c r="Z24" s="237"/>
      <c r="AA24" t="b" s="384">
        <f>IF(H24='Auswahldaten'!$A$16,TRUE,FALSE)</f>
        <v>0</v>
      </c>
      <c r="AB24" t="b" s="377">
        <f>IF('Alapanyagok_DID'!O24="R",TRUE,FALSE)</f>
        <v>0</v>
      </c>
      <c r="AC24" t="b" s="377">
        <f>IF(AND(AA24=TRUE,AB24=TRUE),TRUE,FALSE)</f>
        <v>0</v>
      </c>
      <c r="AD24" t="b" s="377">
        <f>IF('Alapanyagok_DID'!K24='Auswahldaten'!$A$12,TRUE,FALSE)</f>
        <v>0</v>
      </c>
      <c r="AE24" t="b" s="377">
        <f>IF(AND(AA24=TRUE,AD24=TRUE),TRUE,FALSE)</f>
        <v>0</v>
      </c>
      <c r="AF24" t="b" s="377">
        <f>IF(AND(AA24=TRUE,'Alapanyagok_DID'!E24='DID List'!$A$7),TRUE,FALSE)</f>
        <v>0</v>
      </c>
      <c r="AG24" t="b" s="377">
        <f>IF(AND(O24='Auswahldaten'!$A$12,'Alapanyagok_DID'!F24='DID List'!$A$7),TRUE,FALSE)</f>
        <v>0</v>
      </c>
      <c r="AH24" t="b" s="377">
        <f>IF('Alapanyagok_DID'!F24='DID List'!$A$7,TRUE,FALSE)</f>
        <v>0</v>
      </c>
      <c r="AI24" t="b" s="377">
        <f>IF(P24='Auswahldaten'!$A$12,TRUE,FALSE)</f>
        <v>0</v>
      </c>
      <c r="AJ24" t="b" s="377">
        <f>IF(AND(ISERROR(SEARCH("H400",J24))=FALSE,H24='Auswahldaten'!$A$16)=TRUE,TRUE,FALSE)</f>
        <v>0</v>
      </c>
      <c r="AK24" t="b" s="377">
        <f>IF(AND(ISERROR(SEARCH($AK$11,J24))=FALSE,H24='Auswahldaten'!$A$16)=TRUE,TRUE,FALSE)</f>
        <v>0</v>
      </c>
      <c r="AL24" t="b" s="377">
        <f>IF(AND(ISERROR(SEARCH("H317",J24))=FALSE,H24='Auswahldaten'!$A$21)=TRUE,TRUE,FALSE)</f>
        <v>0</v>
      </c>
      <c r="AM24" t="b" s="377">
        <f>IF(AND(ISERROR(SEARCH("H334",J24))=FALSE,H24='Auswahldaten'!$A$21)=TRUE,TRUE,FALSE)</f>
        <v>0</v>
      </c>
      <c r="AN24" t="b" s="385">
        <f>IF(ISERROR(SEARCH("H351",J24))=TRUE,FALSE,TRUE)</f>
        <v>0</v>
      </c>
      <c r="AO24" s="142"/>
      <c r="AP24" s="377">
        <f>L24</f>
        <v>0</v>
      </c>
      <c r="AQ24" t="b" s="385">
        <f>IF(AND(H24='Auswahldaten'!A$20,OR(L24='Auswahldaten'!A$52,L24='Auswahldaten'!A$53)),TRUE,FALSE)</f>
        <v>0</v>
      </c>
      <c r="AR24" s="34">
        <f>IF(K24='Auswahldaten'!$A$61,1,0)</f>
        <v>0</v>
      </c>
      <c r="AS24" s="13"/>
      <c r="AT24" s="13"/>
      <c r="AU24" s="13"/>
      <c r="AV24" s="13"/>
      <c r="AW24" s="14"/>
    </row>
    <row r="25" ht="15.75" customHeight="1">
      <c r="A25" s="371">
        <v>14</v>
      </c>
      <c r="B25" s="293"/>
      <c r="C25" s="294"/>
      <c r="D25" t="s" s="378">
        <f>IF(C25="","",VLOOKUP(C25,'Összetétel'!$B$13:$E$61,4,FALSE))</f>
      </c>
      <c r="E25" s="288"/>
      <c r="F25" s="288">
        <f>IF(D25="",0,(E25*D25/100))</f>
        <v>0</v>
      </c>
      <c r="G25" s="378"/>
      <c r="H25" s="294"/>
      <c r="I25" t="s" s="378">
        <f>IF(F25&lt;0.0000000000001,"",F25)</f>
      </c>
      <c r="J25" s="378"/>
      <c r="K25" s="294"/>
      <c r="L25" s="379"/>
      <c r="M25" s="380"/>
      <c r="N25" s="379"/>
      <c r="O25" s="295"/>
      <c r="P25" s="295"/>
      <c r="Q25" t="s" s="381">
        <f>IF(B25="","",IF(OR(H25='Fordítások'!$C$70,H25='Fordítások'!$B$70),"Y","N"))</f>
      </c>
      <c r="R25" t="s" s="381">
        <f>IF(NOT(ISERROR(SEARCH("400",J25,1))),"Y","N")</f>
        <v>257</v>
      </c>
      <c r="S25" t="s" s="381">
        <f>IF(NOT(ISERROR(SEARCH("412",J25,1))),"Y","N")</f>
        <v>257</v>
      </c>
      <c r="T25" t="s" s="381">
        <f>IF(NOT(ISERROR(SEARCH("412",K25,1))),"Y","N")</f>
        <v>257</v>
      </c>
      <c r="U25" s="295"/>
      <c r="V25" s="382"/>
      <c r="W25" s="383">
        <v>351</v>
      </c>
      <c r="X25" s="247"/>
      <c r="Y25" s="297">
        <f>IF(B25="",0,Y24+1)</f>
        <v>0</v>
      </c>
      <c r="Z25" s="237"/>
      <c r="AA25" t="b" s="384">
        <f>IF(H25='Auswahldaten'!$A$16,TRUE,FALSE)</f>
        <v>0</v>
      </c>
      <c r="AB25" t="b" s="377">
        <f>IF('Alapanyagok_DID'!O25="R",TRUE,FALSE)</f>
        <v>0</v>
      </c>
      <c r="AC25" t="b" s="377">
        <f>IF(AND(AA25=TRUE,AB25=TRUE),TRUE,FALSE)</f>
        <v>0</v>
      </c>
      <c r="AD25" t="b" s="377">
        <f>IF('Alapanyagok_DID'!K25='Auswahldaten'!$A$12,TRUE,FALSE)</f>
        <v>0</v>
      </c>
      <c r="AE25" t="b" s="377">
        <f>IF(AND(AA25=TRUE,AD25=TRUE),TRUE,FALSE)</f>
        <v>0</v>
      </c>
      <c r="AF25" t="b" s="377">
        <f>IF(AND(AA25=TRUE,'Alapanyagok_DID'!E25='DID List'!$A$7),TRUE,FALSE)</f>
        <v>0</v>
      </c>
      <c r="AG25" t="b" s="377">
        <f>IF(AND(O25='Auswahldaten'!$A$12,'Alapanyagok_DID'!F25='DID List'!$A$7),TRUE,FALSE)</f>
        <v>0</v>
      </c>
      <c r="AH25" t="b" s="377">
        <f>IF('Alapanyagok_DID'!F25='DID List'!$A$7,TRUE,FALSE)</f>
        <v>0</v>
      </c>
      <c r="AI25" t="b" s="377">
        <f>IF(P25='Auswahldaten'!$A$12,TRUE,FALSE)</f>
        <v>0</v>
      </c>
      <c r="AJ25" t="b" s="377">
        <f>IF(AND(ISERROR(SEARCH("H400",J25))=FALSE,H25='Auswahldaten'!$A$16)=TRUE,TRUE,FALSE)</f>
        <v>0</v>
      </c>
      <c r="AK25" t="b" s="377">
        <f>IF(AND(ISERROR(SEARCH($AK$11,J25))=FALSE,H25='Auswahldaten'!$A$16)=TRUE,TRUE,FALSE)</f>
        <v>0</v>
      </c>
      <c r="AL25" t="b" s="377">
        <f>IF(AND(ISERROR(SEARCH("H317",J25))=FALSE,H25='Auswahldaten'!$A$21)=TRUE,TRUE,FALSE)</f>
        <v>0</v>
      </c>
      <c r="AM25" t="b" s="377">
        <f>IF(AND(ISERROR(SEARCH("H334",J25))=FALSE,H25='Auswahldaten'!$A$21)=TRUE,TRUE,FALSE)</f>
        <v>0</v>
      </c>
      <c r="AN25" t="b" s="385">
        <f>IF(ISERROR(SEARCH("H351",J25))=TRUE,FALSE,TRUE)</f>
        <v>0</v>
      </c>
      <c r="AO25" s="142"/>
      <c r="AP25" s="377">
        <f>L25</f>
        <v>0</v>
      </c>
      <c r="AQ25" t="b" s="385">
        <f>IF(AND(H25='Auswahldaten'!A$20,OR(L25='Auswahldaten'!A$52,L25='Auswahldaten'!A$53)),TRUE,FALSE)</f>
        <v>0</v>
      </c>
      <c r="AR25" s="34">
        <f>IF(K25='Auswahldaten'!$A$61,1,0)</f>
        <v>0</v>
      </c>
      <c r="AS25" s="13"/>
      <c r="AT25" s="13"/>
      <c r="AU25" s="13"/>
      <c r="AV25" s="13"/>
      <c r="AW25" s="14"/>
    </row>
    <row r="26" ht="15.75" customHeight="1">
      <c r="A26" s="371">
        <v>15</v>
      </c>
      <c r="B26" s="293"/>
      <c r="C26" s="294"/>
      <c r="D26" t="s" s="378">
        <f>IF(C26="","",VLOOKUP(C26,'Összetétel'!$B$13:$E$61,4,FALSE))</f>
      </c>
      <c r="E26" s="288"/>
      <c r="F26" s="288">
        <f>IF(D26="",0,(E26*D26/100))</f>
        <v>0</v>
      </c>
      <c r="G26" s="378"/>
      <c r="H26" s="294"/>
      <c r="I26" t="s" s="378">
        <f>IF(F26&lt;0.0000000000001,"",F26)</f>
      </c>
      <c r="J26" s="378"/>
      <c r="K26" s="294"/>
      <c r="L26" s="379"/>
      <c r="M26" s="380"/>
      <c r="N26" s="379"/>
      <c r="O26" s="295"/>
      <c r="P26" s="295"/>
      <c r="Q26" t="s" s="381">
        <f>IF(B26="","",IF(OR(H26='Fordítások'!$C$70,H26='Fordítások'!$B$70),"Y","N"))</f>
      </c>
      <c r="R26" t="s" s="381">
        <f>IF(NOT(ISERROR(SEARCH("400",J26,1))),"Y","N")</f>
        <v>257</v>
      </c>
      <c r="S26" t="s" s="381">
        <f>IF(NOT(ISERROR(SEARCH("412",J26,1))),"Y","N")</f>
        <v>257</v>
      </c>
      <c r="T26" t="s" s="381">
        <f>IF(NOT(ISERROR(SEARCH("412",K26,1))),"Y","N")</f>
        <v>257</v>
      </c>
      <c r="U26" s="295"/>
      <c r="V26" s="382"/>
      <c r="W26" s="383">
        <v>360</v>
      </c>
      <c r="X26" s="247"/>
      <c r="Y26" s="297">
        <f>IF(B26="",0,Y25+1)</f>
        <v>0</v>
      </c>
      <c r="Z26" s="237"/>
      <c r="AA26" t="b" s="384">
        <f>IF(H26='Auswahldaten'!$A$16,TRUE,FALSE)</f>
        <v>0</v>
      </c>
      <c r="AB26" t="b" s="377">
        <f>IF('Alapanyagok_DID'!O26="R",TRUE,FALSE)</f>
        <v>0</v>
      </c>
      <c r="AC26" t="b" s="377">
        <f>IF(AND(AA26=TRUE,AB26=TRUE),TRUE,FALSE)</f>
        <v>0</v>
      </c>
      <c r="AD26" t="b" s="377">
        <f>IF('Alapanyagok_DID'!K26='Auswahldaten'!$A$12,TRUE,FALSE)</f>
        <v>0</v>
      </c>
      <c r="AE26" t="b" s="377">
        <f>IF(AND(AA26=TRUE,AD26=TRUE),TRUE,FALSE)</f>
        <v>0</v>
      </c>
      <c r="AF26" t="b" s="377">
        <f>IF(AND(AA26=TRUE,'Alapanyagok_DID'!E26='DID List'!$A$7),TRUE,FALSE)</f>
        <v>0</v>
      </c>
      <c r="AG26" t="b" s="377">
        <f>IF(AND(O26='Auswahldaten'!$A$12,'Alapanyagok_DID'!F26='DID List'!$A$7),TRUE,FALSE)</f>
        <v>0</v>
      </c>
      <c r="AH26" t="b" s="377">
        <f>IF('Alapanyagok_DID'!F26='DID List'!$A$7,TRUE,FALSE)</f>
        <v>0</v>
      </c>
      <c r="AI26" t="b" s="377">
        <f>IF(P26='Auswahldaten'!$A$12,TRUE,FALSE)</f>
        <v>0</v>
      </c>
      <c r="AJ26" t="b" s="377">
        <f>IF(AND(ISERROR(SEARCH("H400",J26))=FALSE,H26='Auswahldaten'!$A$16)=TRUE,TRUE,FALSE)</f>
        <v>0</v>
      </c>
      <c r="AK26" t="b" s="377">
        <f>IF(AND(ISERROR(SEARCH($AK$11,J26))=FALSE,H26='Auswahldaten'!$A$16)=TRUE,TRUE,FALSE)</f>
        <v>0</v>
      </c>
      <c r="AL26" t="b" s="377">
        <f>IF(AND(ISERROR(SEARCH("H317",J26))=FALSE,H26='Auswahldaten'!$A$21)=TRUE,TRUE,FALSE)</f>
        <v>0</v>
      </c>
      <c r="AM26" t="b" s="377">
        <f>IF(AND(ISERROR(SEARCH("H334",J26))=FALSE,H26='Auswahldaten'!$A$21)=TRUE,TRUE,FALSE)</f>
        <v>0</v>
      </c>
      <c r="AN26" t="b" s="385">
        <f>IF(ISERROR(SEARCH("H351",J26))=TRUE,FALSE,TRUE)</f>
        <v>0</v>
      </c>
      <c r="AO26" s="142"/>
      <c r="AP26" s="377">
        <f>L26</f>
        <v>0</v>
      </c>
      <c r="AQ26" t="b" s="385">
        <f>IF(AND(H26='Auswahldaten'!A$20,OR(L26='Auswahldaten'!A$52,L26='Auswahldaten'!A$53)),TRUE,FALSE)</f>
        <v>0</v>
      </c>
      <c r="AR26" s="34">
        <f>IF(K26='Auswahldaten'!$A$61,1,0)</f>
        <v>0</v>
      </c>
      <c r="AS26" s="13"/>
      <c r="AT26" s="13"/>
      <c r="AU26" s="13"/>
      <c r="AV26" s="13"/>
      <c r="AW26" s="14"/>
    </row>
    <row r="27" ht="15.75" customHeight="1">
      <c r="A27" s="371">
        <v>16</v>
      </c>
      <c r="B27" s="293"/>
      <c r="C27" s="294"/>
      <c r="D27" t="s" s="378">
        <f>IF(C27="","",VLOOKUP(C27,'Összetétel'!$B$13:$E$61,4,FALSE))</f>
      </c>
      <c r="E27" s="288"/>
      <c r="F27" s="288">
        <f>IF(D27="",0,(E27*D27/100))</f>
        <v>0</v>
      </c>
      <c r="G27" s="378"/>
      <c r="H27" s="294"/>
      <c r="I27" t="s" s="378">
        <f>IF(F27&lt;0.0000000000001,"",F27)</f>
      </c>
      <c r="J27" s="378"/>
      <c r="K27" s="294"/>
      <c r="L27" s="379"/>
      <c r="M27" s="380"/>
      <c r="N27" s="379"/>
      <c r="O27" s="295"/>
      <c r="P27" s="295"/>
      <c r="Q27" t="s" s="381">
        <f>IF(B27="","",IF(OR(H27='Fordítások'!$C$70,H27='Fordítások'!$B$70),"Y","N"))</f>
      </c>
      <c r="R27" t="s" s="381">
        <f>IF(NOT(ISERROR(SEARCH("400",J27,1))),"Y","N")</f>
        <v>257</v>
      </c>
      <c r="S27" t="s" s="381">
        <f>IF(NOT(ISERROR(SEARCH("412",J27,1))),"Y","N")</f>
        <v>257</v>
      </c>
      <c r="T27" t="s" s="381">
        <f>IF(NOT(ISERROR(SEARCH("412",K27,1))),"Y","N")</f>
        <v>257</v>
      </c>
      <c r="U27" s="295"/>
      <c r="V27" s="382"/>
      <c r="W27" s="383">
        <v>361</v>
      </c>
      <c r="X27" s="247"/>
      <c r="Y27" s="297">
        <f>IF(B27="",0,Y26+1)</f>
        <v>0</v>
      </c>
      <c r="Z27" s="237"/>
      <c r="AA27" t="b" s="384">
        <f>IF(H27='Auswahldaten'!$A$16,TRUE,FALSE)</f>
        <v>0</v>
      </c>
      <c r="AB27" t="b" s="377">
        <f>IF('Alapanyagok_DID'!O27="R",TRUE,FALSE)</f>
        <v>0</v>
      </c>
      <c r="AC27" t="b" s="377">
        <f>IF(AND(AA27=TRUE,AB27=TRUE),TRUE,FALSE)</f>
        <v>0</v>
      </c>
      <c r="AD27" t="b" s="377">
        <f>IF('Alapanyagok_DID'!K27='Auswahldaten'!$A$12,TRUE,FALSE)</f>
        <v>0</v>
      </c>
      <c r="AE27" t="b" s="377">
        <f>IF(AND(AA27=TRUE,AD27=TRUE),TRUE,FALSE)</f>
        <v>0</v>
      </c>
      <c r="AF27" t="b" s="377">
        <f>IF(AND(AA27=TRUE,'Alapanyagok_DID'!E27='DID List'!$A$7),TRUE,FALSE)</f>
        <v>0</v>
      </c>
      <c r="AG27" t="b" s="377">
        <f>IF(AND(O27='Auswahldaten'!$A$12,'Alapanyagok_DID'!F27='DID List'!$A$7),TRUE,FALSE)</f>
        <v>0</v>
      </c>
      <c r="AH27" t="b" s="377">
        <f>IF('Alapanyagok_DID'!F27='DID List'!$A$7,TRUE,FALSE)</f>
        <v>0</v>
      </c>
      <c r="AI27" t="b" s="377">
        <f>IF(P27='Auswahldaten'!$A$12,TRUE,FALSE)</f>
        <v>0</v>
      </c>
      <c r="AJ27" t="b" s="377">
        <f>IF(AND(ISERROR(SEARCH("H400",J27))=FALSE,H27='Auswahldaten'!$A$16)=TRUE,TRUE,FALSE)</f>
        <v>0</v>
      </c>
      <c r="AK27" t="b" s="377">
        <f>IF(AND(ISERROR(SEARCH($AK$11,J27))=FALSE,H27='Auswahldaten'!$A$16)=TRUE,TRUE,FALSE)</f>
        <v>0</v>
      </c>
      <c r="AL27" t="b" s="377">
        <f>IF(AND(ISERROR(SEARCH("H317",J27))=FALSE,H27='Auswahldaten'!$A$21)=TRUE,TRUE,FALSE)</f>
        <v>0</v>
      </c>
      <c r="AM27" t="b" s="377">
        <f>IF(AND(ISERROR(SEARCH("H334",J27))=FALSE,H27='Auswahldaten'!$A$21)=TRUE,TRUE,FALSE)</f>
        <v>0</v>
      </c>
      <c r="AN27" t="b" s="385">
        <f>IF(ISERROR(SEARCH("H351",J27))=TRUE,FALSE,TRUE)</f>
        <v>0</v>
      </c>
      <c r="AO27" s="142"/>
      <c r="AP27" s="377">
        <f>L27</f>
        <v>0</v>
      </c>
      <c r="AQ27" t="b" s="385">
        <f>IF(AND(H27='Auswahldaten'!A$20,OR(L27='Auswahldaten'!A$52,L27='Auswahldaten'!A$53)),TRUE,FALSE)</f>
        <v>0</v>
      </c>
      <c r="AR27" s="34">
        <f>IF(K27='Auswahldaten'!$A$61,1,0)</f>
        <v>0</v>
      </c>
      <c r="AS27" s="13"/>
      <c r="AT27" s="13"/>
      <c r="AU27" s="13"/>
      <c r="AV27" s="13"/>
      <c r="AW27" s="14"/>
    </row>
    <row r="28" ht="15.75" customHeight="1">
      <c r="A28" s="371">
        <v>17</v>
      </c>
      <c r="B28" s="293"/>
      <c r="C28" s="294"/>
      <c r="D28" t="s" s="378">
        <f>IF(C28="","",VLOOKUP(C28,'Összetétel'!$B$13:$E$61,4,FALSE))</f>
      </c>
      <c r="E28" s="288"/>
      <c r="F28" s="288">
        <f>IF(D28="",0,(E28*D28/100))</f>
        <v>0</v>
      </c>
      <c r="G28" s="378"/>
      <c r="H28" s="294"/>
      <c r="I28" t="s" s="378">
        <f>IF(F28&lt;0.0000000000001,"",F28)</f>
      </c>
      <c r="J28" s="378"/>
      <c r="K28" s="294"/>
      <c r="L28" s="379"/>
      <c r="M28" s="380"/>
      <c r="N28" s="379"/>
      <c r="O28" s="295"/>
      <c r="P28" s="295"/>
      <c r="Q28" t="s" s="381">
        <f>IF(B28="","",IF(OR(H28='Fordítások'!$C$70,H28='Fordítások'!$B$70),"Y","N"))</f>
      </c>
      <c r="R28" t="s" s="381">
        <f>IF(NOT(ISERROR(SEARCH("400",J28,1))),"Y","N")</f>
        <v>257</v>
      </c>
      <c r="S28" t="s" s="381">
        <f>IF(NOT(ISERROR(SEARCH("412",J28,1))),"Y","N")</f>
        <v>257</v>
      </c>
      <c r="T28" t="s" s="381">
        <f>IF(NOT(ISERROR(SEARCH("412",K28,1))),"Y","N")</f>
        <v>257</v>
      </c>
      <c r="U28" s="295"/>
      <c r="V28" s="382"/>
      <c r="W28" s="383">
        <v>362</v>
      </c>
      <c r="X28" s="247"/>
      <c r="Y28" s="297">
        <f>IF(B28="",0,Y27+1)</f>
        <v>0</v>
      </c>
      <c r="Z28" s="237"/>
      <c r="AA28" t="b" s="384">
        <f>IF(H28='Auswahldaten'!$A$16,TRUE,FALSE)</f>
        <v>0</v>
      </c>
      <c r="AB28" t="b" s="377">
        <f>IF('Alapanyagok_DID'!O28="R",TRUE,FALSE)</f>
        <v>0</v>
      </c>
      <c r="AC28" t="b" s="377">
        <f>IF(AND(AA28=TRUE,AB28=TRUE),TRUE,FALSE)</f>
        <v>0</v>
      </c>
      <c r="AD28" t="b" s="377">
        <f>IF('Alapanyagok_DID'!K28='Auswahldaten'!$A$12,TRUE,FALSE)</f>
        <v>0</v>
      </c>
      <c r="AE28" t="b" s="377">
        <f>IF(AND(AA28=TRUE,AD28=TRUE),TRUE,FALSE)</f>
        <v>0</v>
      </c>
      <c r="AF28" t="b" s="377">
        <f>IF(AND(AA28=TRUE,'Alapanyagok_DID'!E28='DID List'!$A$7),TRUE,FALSE)</f>
        <v>0</v>
      </c>
      <c r="AG28" t="b" s="377">
        <f>IF(AND(O28='Auswahldaten'!$A$12,'Alapanyagok_DID'!F28='DID List'!$A$7),TRUE,FALSE)</f>
        <v>0</v>
      </c>
      <c r="AH28" t="b" s="377">
        <f>IF('Alapanyagok_DID'!F28='DID List'!$A$7,TRUE,FALSE)</f>
        <v>0</v>
      </c>
      <c r="AI28" t="b" s="377">
        <f>IF(P28='Auswahldaten'!$A$12,TRUE,FALSE)</f>
        <v>0</v>
      </c>
      <c r="AJ28" t="b" s="377">
        <f>IF(AND(ISERROR(SEARCH("H400",J28))=FALSE,H28='Auswahldaten'!$A$16)=TRUE,TRUE,FALSE)</f>
        <v>0</v>
      </c>
      <c r="AK28" t="b" s="377">
        <f>IF(AND(ISERROR(SEARCH($AK$11,J28))=FALSE,H28='Auswahldaten'!$A$16)=TRUE,TRUE,FALSE)</f>
        <v>0</v>
      </c>
      <c r="AL28" t="b" s="377">
        <f>IF(AND(ISERROR(SEARCH("H317",J28))=FALSE,H28='Auswahldaten'!$A$21)=TRUE,TRUE,FALSE)</f>
        <v>0</v>
      </c>
      <c r="AM28" t="b" s="377">
        <f>IF(AND(ISERROR(SEARCH("H334",J28))=FALSE,H28='Auswahldaten'!$A$21)=TRUE,TRUE,FALSE)</f>
        <v>0</v>
      </c>
      <c r="AN28" t="b" s="385">
        <f>IF(ISERROR(SEARCH("H351",J28))=TRUE,FALSE,TRUE)</f>
        <v>0</v>
      </c>
      <c r="AO28" s="142"/>
      <c r="AP28" s="377">
        <f>L28</f>
        <v>0</v>
      </c>
      <c r="AQ28" t="b" s="385">
        <f>IF(AND(H28='Auswahldaten'!A$20,OR(L28='Auswahldaten'!A$52,L28='Auswahldaten'!A$53)),TRUE,FALSE)</f>
        <v>0</v>
      </c>
      <c r="AR28" s="34">
        <f>IF(K28='Auswahldaten'!$A$61,1,0)</f>
        <v>0</v>
      </c>
      <c r="AS28" s="13"/>
      <c r="AT28" s="13"/>
      <c r="AU28" s="13"/>
      <c r="AV28" s="13"/>
      <c r="AW28" s="14"/>
    </row>
    <row r="29" ht="15.75" customHeight="1">
      <c r="A29" s="371">
        <v>18</v>
      </c>
      <c r="B29" s="293"/>
      <c r="C29" s="294"/>
      <c r="D29" t="s" s="378">
        <f>IF(C29="","",VLOOKUP(C29,'Összetétel'!$B$13:$E$61,4,FALSE))</f>
      </c>
      <c r="E29" s="288"/>
      <c r="F29" s="288">
        <f>IF(D29="",0,(E29*D29/100))</f>
        <v>0</v>
      </c>
      <c r="G29" s="378"/>
      <c r="H29" s="294"/>
      <c r="I29" t="s" s="378">
        <f>IF(F29&lt;0.0000000000001,"",F29)</f>
      </c>
      <c r="J29" s="378"/>
      <c r="K29" s="294"/>
      <c r="L29" s="379"/>
      <c r="M29" s="380"/>
      <c r="N29" s="379"/>
      <c r="O29" s="295"/>
      <c r="P29" s="295"/>
      <c r="Q29" t="s" s="381">
        <f>IF(B29="","",IF(OR(H29='Fordítások'!$C$70,H29='Fordítások'!$B$70),"Y","N"))</f>
      </c>
      <c r="R29" t="s" s="381">
        <f>IF(NOT(ISERROR(SEARCH("400",J29,1))),"Y","N")</f>
        <v>257</v>
      </c>
      <c r="S29" t="s" s="381">
        <f>IF(NOT(ISERROR(SEARCH("412",J29,1))),"Y","N")</f>
        <v>257</v>
      </c>
      <c r="T29" t="s" s="381">
        <f>IF(NOT(ISERROR(SEARCH("412",K29,1))),"Y","N")</f>
        <v>257</v>
      </c>
      <c r="U29" s="295"/>
      <c r="V29" s="382"/>
      <c r="W29" s="383">
        <v>370</v>
      </c>
      <c r="X29" s="247"/>
      <c r="Y29" s="297">
        <f>IF(B29="",0,Y28+1)</f>
        <v>0</v>
      </c>
      <c r="Z29" s="237"/>
      <c r="AA29" t="b" s="384">
        <f>IF(H29='Auswahldaten'!$A$16,TRUE,FALSE)</f>
        <v>0</v>
      </c>
      <c r="AB29" t="b" s="377">
        <f>IF('Alapanyagok_DID'!O29="R",TRUE,FALSE)</f>
        <v>0</v>
      </c>
      <c r="AC29" t="b" s="377">
        <f>IF(AND(AA29=TRUE,AB29=TRUE),TRUE,FALSE)</f>
        <v>0</v>
      </c>
      <c r="AD29" t="b" s="377">
        <f>IF('Alapanyagok_DID'!K29='Auswahldaten'!$A$12,TRUE,FALSE)</f>
        <v>0</v>
      </c>
      <c r="AE29" t="b" s="377">
        <f>IF(AND(AA29=TRUE,AD29=TRUE),TRUE,FALSE)</f>
        <v>0</v>
      </c>
      <c r="AF29" t="b" s="377">
        <f>IF(AND(AA29=TRUE,'Alapanyagok_DID'!E29='DID List'!$A$7),TRUE,FALSE)</f>
        <v>0</v>
      </c>
      <c r="AG29" t="b" s="377">
        <f>IF(AND(O29='Auswahldaten'!$A$12,'Alapanyagok_DID'!F29='DID List'!$A$7),TRUE,FALSE)</f>
        <v>0</v>
      </c>
      <c r="AH29" t="b" s="377">
        <f>IF('Alapanyagok_DID'!F29='DID List'!$A$7,TRUE,FALSE)</f>
        <v>0</v>
      </c>
      <c r="AI29" t="b" s="377">
        <f>IF(P29='Auswahldaten'!$A$12,TRUE,FALSE)</f>
        <v>0</v>
      </c>
      <c r="AJ29" t="b" s="377">
        <f>IF(AND(ISERROR(SEARCH("H400",J29))=FALSE,H29='Auswahldaten'!$A$16)=TRUE,TRUE,FALSE)</f>
        <v>0</v>
      </c>
      <c r="AK29" t="b" s="377">
        <f>IF(AND(ISERROR(SEARCH($AK$11,J29))=FALSE,H29='Auswahldaten'!$A$16)=TRUE,TRUE,FALSE)</f>
        <v>0</v>
      </c>
      <c r="AL29" t="b" s="377">
        <f>IF(AND(ISERROR(SEARCH("H317",J29))=FALSE,H29='Auswahldaten'!$A$21)=TRUE,TRUE,FALSE)</f>
        <v>0</v>
      </c>
      <c r="AM29" t="b" s="377">
        <f>IF(AND(ISERROR(SEARCH("H334",J29))=FALSE,H29='Auswahldaten'!$A$21)=TRUE,TRUE,FALSE)</f>
        <v>0</v>
      </c>
      <c r="AN29" t="b" s="385">
        <f>IF(ISERROR(SEARCH("H351",J29))=TRUE,FALSE,TRUE)</f>
        <v>0</v>
      </c>
      <c r="AO29" s="142"/>
      <c r="AP29" s="377">
        <f>L29</f>
        <v>0</v>
      </c>
      <c r="AQ29" t="b" s="385">
        <f>IF(AND(H29='Auswahldaten'!A$20,OR(L29='Auswahldaten'!A$52,L29='Auswahldaten'!A$53)),TRUE,FALSE)</f>
        <v>0</v>
      </c>
      <c r="AR29" s="34">
        <f>IF(K29='Auswahldaten'!$A$61,1,0)</f>
        <v>0</v>
      </c>
      <c r="AS29" s="13"/>
      <c r="AT29" s="13"/>
      <c r="AU29" s="13"/>
      <c r="AV29" s="13"/>
      <c r="AW29" s="14"/>
    </row>
    <row r="30" ht="15.75" customHeight="1">
      <c r="A30" s="371">
        <v>19</v>
      </c>
      <c r="B30" s="293"/>
      <c r="C30" s="294"/>
      <c r="D30" t="s" s="378">
        <f>IF(C30="","",VLOOKUP(C30,'Összetétel'!$B$13:$E$61,4,FALSE))</f>
      </c>
      <c r="E30" s="288"/>
      <c r="F30" s="288">
        <f>IF(D30="",0,(E30*D30/100))</f>
        <v>0</v>
      </c>
      <c r="G30" s="378"/>
      <c r="H30" s="294"/>
      <c r="I30" t="s" s="378">
        <f>IF(F30&lt;0.0000000000001,"",F30)</f>
      </c>
      <c r="J30" s="378"/>
      <c r="K30" s="294"/>
      <c r="L30" s="379"/>
      <c r="M30" s="380"/>
      <c r="N30" s="379"/>
      <c r="O30" s="295"/>
      <c r="P30" s="295"/>
      <c r="Q30" t="s" s="381">
        <f>IF(B30="","",IF(OR(H30='Fordítások'!$C$70,H30='Fordítások'!$B$70),"Y","N"))</f>
      </c>
      <c r="R30" t="s" s="381">
        <f>IF(NOT(ISERROR(SEARCH("400",J30,1))),"Y","N")</f>
        <v>257</v>
      </c>
      <c r="S30" t="s" s="381">
        <f>IF(NOT(ISERROR(SEARCH("412",J30,1))),"Y","N")</f>
        <v>257</v>
      </c>
      <c r="T30" t="s" s="381">
        <f>IF(NOT(ISERROR(SEARCH("412",K30,1))),"Y","N")</f>
        <v>257</v>
      </c>
      <c r="U30" s="295"/>
      <c r="V30" s="382"/>
      <c r="W30" s="383">
        <v>371</v>
      </c>
      <c r="X30" s="247"/>
      <c r="Y30" s="297">
        <f>IF(B30="",0,Y29+1)</f>
        <v>0</v>
      </c>
      <c r="Z30" s="237"/>
      <c r="AA30" t="b" s="384">
        <f>IF(H30='Auswahldaten'!$A$16,TRUE,FALSE)</f>
        <v>0</v>
      </c>
      <c r="AB30" t="b" s="377">
        <f>IF('Alapanyagok_DID'!O30="R",TRUE,FALSE)</f>
        <v>0</v>
      </c>
      <c r="AC30" t="b" s="377">
        <f>IF(AND(AA30=TRUE,AB30=TRUE),TRUE,FALSE)</f>
        <v>0</v>
      </c>
      <c r="AD30" t="b" s="377">
        <f>IF('Alapanyagok_DID'!K30='Auswahldaten'!$A$12,TRUE,FALSE)</f>
        <v>0</v>
      </c>
      <c r="AE30" t="b" s="377">
        <f>IF(AND(AA30=TRUE,AD30=TRUE),TRUE,FALSE)</f>
        <v>0</v>
      </c>
      <c r="AF30" t="b" s="377">
        <f>IF(AND(AA30=TRUE,'Alapanyagok_DID'!E30='DID List'!$A$7),TRUE,FALSE)</f>
        <v>0</v>
      </c>
      <c r="AG30" t="b" s="377">
        <f>IF(AND(O30='Auswahldaten'!$A$12,'Alapanyagok_DID'!F30='DID List'!$A$7),TRUE,FALSE)</f>
        <v>0</v>
      </c>
      <c r="AH30" t="b" s="377">
        <f>IF('Alapanyagok_DID'!F30='DID List'!$A$7,TRUE,FALSE)</f>
        <v>0</v>
      </c>
      <c r="AI30" t="b" s="377">
        <f>IF(P30='Auswahldaten'!$A$12,TRUE,FALSE)</f>
        <v>0</v>
      </c>
      <c r="AJ30" t="b" s="377">
        <f>IF(AND(ISERROR(SEARCH("H400",J30))=FALSE,H30='Auswahldaten'!$A$16)=TRUE,TRUE,FALSE)</f>
        <v>0</v>
      </c>
      <c r="AK30" t="b" s="377">
        <f>IF(AND(ISERROR(SEARCH($AK$11,J30))=FALSE,H30='Auswahldaten'!$A$16)=TRUE,TRUE,FALSE)</f>
        <v>0</v>
      </c>
      <c r="AL30" t="b" s="377">
        <f>IF(AND(ISERROR(SEARCH("H317",J30))=FALSE,H30='Auswahldaten'!$A$21)=TRUE,TRUE,FALSE)</f>
        <v>0</v>
      </c>
      <c r="AM30" t="b" s="377">
        <f>IF(AND(ISERROR(SEARCH("H334",J30))=FALSE,H30='Auswahldaten'!$A$21)=TRUE,TRUE,FALSE)</f>
        <v>0</v>
      </c>
      <c r="AN30" t="b" s="385">
        <f>IF(ISERROR(SEARCH("H351",J30))=TRUE,FALSE,TRUE)</f>
        <v>0</v>
      </c>
      <c r="AO30" s="142"/>
      <c r="AP30" s="377">
        <f>L30</f>
        <v>0</v>
      </c>
      <c r="AQ30" t="b" s="385">
        <f>IF(AND(H30='Auswahldaten'!A$20,OR(L30='Auswahldaten'!A$52,L30='Auswahldaten'!A$53)),TRUE,FALSE)</f>
        <v>0</v>
      </c>
      <c r="AR30" s="34">
        <f>IF(K30='Auswahldaten'!$A$61,1,0)</f>
        <v>0</v>
      </c>
      <c r="AS30" s="13"/>
      <c r="AT30" s="13"/>
      <c r="AU30" s="13"/>
      <c r="AV30" s="13"/>
      <c r="AW30" s="14"/>
    </row>
    <row r="31" ht="15.75" customHeight="1">
      <c r="A31" s="371">
        <v>20</v>
      </c>
      <c r="B31" s="293"/>
      <c r="C31" s="294"/>
      <c r="D31" t="s" s="378">
        <f>IF(C31="","",VLOOKUP(C31,'Összetétel'!$B$13:$E$61,4,FALSE))</f>
      </c>
      <c r="E31" s="288"/>
      <c r="F31" s="288">
        <f>IF(D31="",0,(E31*D31/100))</f>
        <v>0</v>
      </c>
      <c r="G31" s="378"/>
      <c r="H31" s="294"/>
      <c r="I31" t="s" s="378">
        <f>IF(F31&lt;0.0000000000001,"",F31)</f>
      </c>
      <c r="J31" s="378"/>
      <c r="K31" s="294"/>
      <c r="L31" s="379"/>
      <c r="M31" s="380"/>
      <c r="N31" s="379"/>
      <c r="O31" s="295"/>
      <c r="P31" s="295"/>
      <c r="Q31" t="s" s="381">
        <f>IF(B31="","",IF(OR(H31='Fordítások'!$C$70,H31='Fordítások'!$B$70),"Y","N"))</f>
      </c>
      <c r="R31" t="s" s="381">
        <f>IF(NOT(ISERROR(SEARCH("400",J31,1))),"Y","N")</f>
        <v>257</v>
      </c>
      <c r="S31" t="s" s="381">
        <f>IF(NOT(ISERROR(SEARCH("412",J31,1))),"Y","N")</f>
        <v>257</v>
      </c>
      <c r="T31" t="s" s="381">
        <f>IF(NOT(ISERROR(SEARCH("412",K31,1))),"Y","N")</f>
        <v>257</v>
      </c>
      <c r="U31" s="295"/>
      <c r="V31" s="382"/>
      <c r="W31" s="383">
        <v>372</v>
      </c>
      <c r="X31" s="247"/>
      <c r="Y31" s="297">
        <f>IF(B31="",0,Y30+1)</f>
        <v>0</v>
      </c>
      <c r="Z31" s="237"/>
      <c r="AA31" t="b" s="384">
        <f>IF(H31='Auswahldaten'!$A$16,TRUE,FALSE)</f>
        <v>0</v>
      </c>
      <c r="AB31" t="b" s="377">
        <f>IF('Alapanyagok_DID'!O31="R",TRUE,FALSE)</f>
        <v>0</v>
      </c>
      <c r="AC31" t="b" s="377">
        <f>IF(AND(AA31=TRUE,AB31=TRUE),TRUE,FALSE)</f>
        <v>0</v>
      </c>
      <c r="AD31" t="b" s="377">
        <f>IF('Alapanyagok_DID'!K31='Auswahldaten'!$A$12,TRUE,FALSE)</f>
        <v>0</v>
      </c>
      <c r="AE31" t="b" s="377">
        <f>IF(AND(AA31=TRUE,AD31=TRUE),TRUE,FALSE)</f>
        <v>0</v>
      </c>
      <c r="AF31" t="b" s="377">
        <f>IF(AND(AA31=TRUE,'Alapanyagok_DID'!E31='DID List'!$A$7),TRUE,FALSE)</f>
        <v>0</v>
      </c>
      <c r="AG31" t="b" s="377">
        <f>IF(AND(O31='Auswahldaten'!$A$12,'Alapanyagok_DID'!F31='DID List'!$A$7),TRUE,FALSE)</f>
        <v>0</v>
      </c>
      <c r="AH31" t="b" s="377">
        <f>IF('Alapanyagok_DID'!F31='DID List'!$A$7,TRUE,FALSE)</f>
        <v>0</v>
      </c>
      <c r="AI31" t="b" s="377">
        <f>IF(P31='Auswahldaten'!$A$12,TRUE,FALSE)</f>
        <v>0</v>
      </c>
      <c r="AJ31" t="b" s="377">
        <f>IF(AND(ISERROR(SEARCH("H400",J31))=FALSE,H31='Auswahldaten'!$A$16)=TRUE,TRUE,FALSE)</f>
        <v>0</v>
      </c>
      <c r="AK31" t="b" s="377">
        <f>IF(AND(ISERROR(SEARCH($AK$11,J31))=FALSE,H31='Auswahldaten'!$A$16)=TRUE,TRUE,FALSE)</f>
        <v>0</v>
      </c>
      <c r="AL31" t="b" s="377">
        <f>IF(AND(ISERROR(SEARCH("H317",J31))=FALSE,H31='Auswahldaten'!$A$21)=TRUE,TRUE,FALSE)</f>
        <v>0</v>
      </c>
      <c r="AM31" t="b" s="377">
        <f>IF(AND(ISERROR(SEARCH("H334",J31))=FALSE,H31='Auswahldaten'!$A$21)=TRUE,TRUE,FALSE)</f>
        <v>0</v>
      </c>
      <c r="AN31" t="b" s="385">
        <f>IF(ISERROR(SEARCH("H351",J31))=TRUE,FALSE,TRUE)</f>
        <v>0</v>
      </c>
      <c r="AO31" s="142"/>
      <c r="AP31" s="377">
        <f>L31</f>
        <v>0</v>
      </c>
      <c r="AQ31" t="b" s="385">
        <f>IF(AND(H31='Auswahldaten'!A$20,OR(L31='Auswahldaten'!A$52,L31='Auswahldaten'!A$53)),TRUE,FALSE)</f>
        <v>0</v>
      </c>
      <c r="AR31" s="34">
        <f>IF(K31='Auswahldaten'!$A$61,1,0)</f>
        <v>0</v>
      </c>
      <c r="AS31" s="13"/>
      <c r="AT31" s="13"/>
      <c r="AU31" s="13"/>
      <c r="AV31" s="13"/>
      <c r="AW31" s="14"/>
    </row>
    <row r="32" ht="15.75" customHeight="1">
      <c r="A32" s="371">
        <v>21</v>
      </c>
      <c r="B32" s="293"/>
      <c r="C32" s="294"/>
      <c r="D32" t="s" s="378">
        <f>IF(C32="","",VLOOKUP(C32,'Összetétel'!$B$13:$E$61,4,FALSE))</f>
      </c>
      <c r="E32" s="288"/>
      <c r="F32" s="288">
        <f>IF(D32="",0,(E32*D32/100))</f>
        <v>0</v>
      </c>
      <c r="G32" s="378"/>
      <c r="H32" s="294"/>
      <c r="I32" t="s" s="378">
        <f>IF(F32&lt;0.0000000000001,"",F32)</f>
      </c>
      <c r="J32" s="378"/>
      <c r="K32" s="294"/>
      <c r="L32" s="379"/>
      <c r="M32" s="380"/>
      <c r="N32" s="379"/>
      <c r="O32" s="295"/>
      <c r="P32" s="295"/>
      <c r="Q32" t="s" s="381">
        <f>IF(B32="","",IF(OR(H32='Fordítások'!$C$70,H32='Fordítások'!$B$70),"Y","N"))</f>
      </c>
      <c r="R32" t="s" s="381">
        <f>IF(NOT(ISERROR(SEARCH("400",J32,1))),"Y","N")</f>
        <v>257</v>
      </c>
      <c r="S32" t="s" s="381">
        <f>IF(NOT(ISERROR(SEARCH("412",J32,1))),"Y","N")</f>
        <v>257</v>
      </c>
      <c r="T32" t="s" s="381">
        <f>IF(NOT(ISERROR(SEARCH("412",K32,1))),"Y","N")</f>
        <v>257</v>
      </c>
      <c r="U32" s="295"/>
      <c r="V32" s="382"/>
      <c r="W32" s="383">
        <v>373</v>
      </c>
      <c r="X32" s="247"/>
      <c r="Y32" s="297">
        <f>IF(B32="",0,Y31+1)</f>
        <v>0</v>
      </c>
      <c r="Z32" s="237"/>
      <c r="AA32" t="b" s="384">
        <f>IF(H32='Auswahldaten'!$A$16,TRUE,FALSE)</f>
        <v>0</v>
      </c>
      <c r="AB32" t="b" s="377">
        <f>IF('Alapanyagok_DID'!O32="R",TRUE,FALSE)</f>
        <v>0</v>
      </c>
      <c r="AC32" t="b" s="377">
        <f>IF(AND(AA32=TRUE,AB32=TRUE),TRUE,FALSE)</f>
        <v>0</v>
      </c>
      <c r="AD32" t="b" s="377">
        <f>IF('Alapanyagok_DID'!K32='Auswahldaten'!$A$12,TRUE,FALSE)</f>
        <v>0</v>
      </c>
      <c r="AE32" t="b" s="377">
        <f>IF(AND(AA32=TRUE,AD32=TRUE),TRUE,FALSE)</f>
        <v>0</v>
      </c>
      <c r="AF32" t="b" s="377">
        <f>IF(AND(AA32=TRUE,'Alapanyagok_DID'!E32='DID List'!$A$7),TRUE,FALSE)</f>
        <v>0</v>
      </c>
      <c r="AG32" t="b" s="377">
        <f>IF(AND(O32='Auswahldaten'!$A$12,'Alapanyagok_DID'!F32='DID List'!$A$7),TRUE,FALSE)</f>
        <v>0</v>
      </c>
      <c r="AH32" t="b" s="377">
        <f>IF('Alapanyagok_DID'!F32='DID List'!$A$7,TRUE,FALSE)</f>
        <v>0</v>
      </c>
      <c r="AI32" t="b" s="377">
        <f>IF(P32='Auswahldaten'!$A$12,TRUE,FALSE)</f>
        <v>0</v>
      </c>
      <c r="AJ32" t="b" s="377">
        <f>IF(AND(ISERROR(SEARCH("H400",J32))=FALSE,H32='Auswahldaten'!$A$16)=TRUE,TRUE,FALSE)</f>
        <v>0</v>
      </c>
      <c r="AK32" t="b" s="377">
        <f>IF(AND(ISERROR(SEARCH($AK$11,J32))=FALSE,H32='Auswahldaten'!$A$16)=TRUE,TRUE,FALSE)</f>
        <v>0</v>
      </c>
      <c r="AL32" t="b" s="377">
        <f>IF(AND(ISERROR(SEARCH("H317",J32))=FALSE,H32='Auswahldaten'!$A$21)=TRUE,TRUE,FALSE)</f>
        <v>0</v>
      </c>
      <c r="AM32" t="b" s="377">
        <f>IF(AND(ISERROR(SEARCH("H334",J32))=FALSE,H32='Auswahldaten'!$A$21)=TRUE,TRUE,FALSE)</f>
        <v>0</v>
      </c>
      <c r="AN32" t="b" s="385">
        <f>IF(ISERROR(SEARCH("H351",J32))=TRUE,FALSE,TRUE)</f>
        <v>0</v>
      </c>
      <c r="AO32" s="142"/>
      <c r="AP32" s="377">
        <f>L32</f>
        <v>0</v>
      </c>
      <c r="AQ32" t="b" s="385">
        <f>IF(AND(H32='Auswahldaten'!A$20,OR(L32='Auswahldaten'!A$52,L32='Auswahldaten'!A$53)),TRUE,FALSE)</f>
        <v>0</v>
      </c>
      <c r="AR32" s="34">
        <f>IF(K32='Auswahldaten'!$A$61,1,0)</f>
        <v>0</v>
      </c>
      <c r="AS32" s="13"/>
      <c r="AT32" s="13"/>
      <c r="AU32" s="13"/>
      <c r="AV32" s="13"/>
      <c r="AW32" s="14"/>
    </row>
    <row r="33" ht="15.75" customHeight="1">
      <c r="A33" s="371">
        <v>22</v>
      </c>
      <c r="B33" s="293"/>
      <c r="C33" s="294"/>
      <c r="D33" t="s" s="378">
        <f>IF(C33="","",VLOOKUP(C33,'Összetétel'!$B$13:$E$61,4,FALSE))</f>
      </c>
      <c r="E33" s="288"/>
      <c r="F33" s="288">
        <f>IF(D33="",0,(E33*D33/100))</f>
        <v>0</v>
      </c>
      <c r="G33" s="378"/>
      <c r="H33" s="294"/>
      <c r="I33" t="s" s="378">
        <f>IF(F33&lt;0.0000000000001,"",F33)</f>
      </c>
      <c r="J33" s="378"/>
      <c r="K33" s="294"/>
      <c r="L33" s="379"/>
      <c r="M33" s="380"/>
      <c r="N33" s="379"/>
      <c r="O33" s="295"/>
      <c r="P33" s="295"/>
      <c r="Q33" t="s" s="381">
        <f>IF(B33="","",IF(OR(H33='Fordítások'!$C$70,H33='Fordítások'!$B$70),"Y","N"))</f>
      </c>
      <c r="R33" t="s" s="381">
        <f>IF(NOT(ISERROR(SEARCH("400",J33,1))),"Y","N")</f>
        <v>257</v>
      </c>
      <c r="S33" t="s" s="381">
        <f>IF(NOT(ISERROR(SEARCH("412",J33,1))),"Y","N")</f>
        <v>257</v>
      </c>
      <c r="T33" t="s" s="381">
        <f>IF(NOT(ISERROR(SEARCH("412",K33,1))),"Y","N")</f>
        <v>257</v>
      </c>
      <c r="U33" s="295"/>
      <c r="V33" s="382"/>
      <c r="W33" s="383">
        <v>400</v>
      </c>
      <c r="X33" s="247"/>
      <c r="Y33" s="297">
        <f>IF(B33="",0,Y32+1)</f>
        <v>0</v>
      </c>
      <c r="Z33" s="237"/>
      <c r="AA33" t="b" s="384">
        <f>IF(H33='Auswahldaten'!$A$16,TRUE,FALSE)</f>
        <v>0</v>
      </c>
      <c r="AB33" t="b" s="377">
        <f>IF('Alapanyagok_DID'!O33="R",TRUE,FALSE)</f>
        <v>0</v>
      </c>
      <c r="AC33" t="b" s="377">
        <f>IF(AND(AA33=TRUE,AB33=TRUE),TRUE,FALSE)</f>
        <v>0</v>
      </c>
      <c r="AD33" t="b" s="377">
        <f>IF('Alapanyagok_DID'!K33='Auswahldaten'!$A$12,TRUE,FALSE)</f>
        <v>0</v>
      </c>
      <c r="AE33" t="b" s="377">
        <f>IF(AND(AA33=TRUE,AD33=TRUE),TRUE,FALSE)</f>
        <v>0</v>
      </c>
      <c r="AF33" t="b" s="377">
        <f>IF(AND(AA33=TRUE,'Alapanyagok_DID'!E33='DID List'!$A$7),TRUE,FALSE)</f>
        <v>0</v>
      </c>
      <c r="AG33" t="b" s="377">
        <f>IF(AND(O33='Auswahldaten'!$A$12,'Alapanyagok_DID'!F33='DID List'!$A$7),TRUE,FALSE)</f>
        <v>0</v>
      </c>
      <c r="AH33" t="b" s="377">
        <f>IF('Alapanyagok_DID'!F33='DID List'!$A$7,TRUE,FALSE)</f>
        <v>0</v>
      </c>
      <c r="AI33" t="b" s="377">
        <f>IF(P33='Auswahldaten'!$A$12,TRUE,FALSE)</f>
        <v>0</v>
      </c>
      <c r="AJ33" t="b" s="377">
        <f>IF(AND(ISERROR(SEARCH("H400",J33))=FALSE,H33='Auswahldaten'!$A$16)=TRUE,TRUE,FALSE)</f>
        <v>0</v>
      </c>
      <c r="AK33" t="b" s="377">
        <f>IF(AND(ISERROR(SEARCH($AK$11,J33))=FALSE,H33='Auswahldaten'!$A$16)=TRUE,TRUE,FALSE)</f>
        <v>0</v>
      </c>
      <c r="AL33" t="b" s="377">
        <f>IF(AND(ISERROR(SEARCH("H317",J33))=FALSE,H33='Auswahldaten'!$A$21)=TRUE,TRUE,FALSE)</f>
        <v>0</v>
      </c>
      <c r="AM33" t="b" s="377">
        <f>IF(AND(ISERROR(SEARCH("H334",J33))=FALSE,H33='Auswahldaten'!$A$21)=TRUE,TRUE,FALSE)</f>
        <v>0</v>
      </c>
      <c r="AN33" t="b" s="385">
        <f>IF(ISERROR(SEARCH("H351",J33))=TRUE,FALSE,TRUE)</f>
        <v>0</v>
      </c>
      <c r="AO33" s="142"/>
      <c r="AP33" s="377">
        <f>L33</f>
        <v>0</v>
      </c>
      <c r="AQ33" t="b" s="385">
        <f>IF(AND(H33='Auswahldaten'!A$20,OR(L33='Auswahldaten'!A$52,L33='Auswahldaten'!A$53)),TRUE,FALSE)</f>
        <v>0</v>
      </c>
      <c r="AR33" s="34">
        <f>IF(K33='Auswahldaten'!$A$61,1,0)</f>
        <v>0</v>
      </c>
      <c r="AS33" s="13"/>
      <c r="AT33" s="13"/>
      <c r="AU33" s="13"/>
      <c r="AV33" s="13"/>
      <c r="AW33" s="14"/>
    </row>
    <row r="34" ht="15.75" customHeight="1">
      <c r="A34" s="371">
        <v>23</v>
      </c>
      <c r="B34" s="293"/>
      <c r="C34" s="294"/>
      <c r="D34" t="s" s="378">
        <f>IF(C34="","",VLOOKUP(C34,'Összetétel'!$B$13:$E$61,4,FALSE))</f>
      </c>
      <c r="E34" s="288"/>
      <c r="F34" s="288">
        <f>IF(D34="",0,(E34*D34/100))</f>
        <v>0</v>
      </c>
      <c r="G34" s="378"/>
      <c r="H34" s="294"/>
      <c r="I34" t="s" s="378">
        <f>IF(F34&lt;0.0000000000001,"",F34)</f>
      </c>
      <c r="J34" s="378"/>
      <c r="K34" s="294"/>
      <c r="L34" s="379"/>
      <c r="M34" s="380"/>
      <c r="N34" s="379"/>
      <c r="O34" s="295"/>
      <c r="P34" s="295"/>
      <c r="Q34" t="s" s="381">
        <f>IF(B34="","",IF(OR(H34='Fordítások'!$C$70,H34='Fordítások'!$B$70),"Y","N"))</f>
      </c>
      <c r="R34" t="s" s="381">
        <f>IF(NOT(ISERROR(SEARCH("400",J34,1))),"Y","N")</f>
        <v>257</v>
      </c>
      <c r="S34" t="s" s="381">
        <f>IF(NOT(ISERROR(SEARCH("412",J34,1))),"Y","N")</f>
        <v>257</v>
      </c>
      <c r="T34" t="s" s="381">
        <f>IF(NOT(ISERROR(SEARCH("412",K34,1))),"Y","N")</f>
        <v>257</v>
      </c>
      <c r="U34" s="295"/>
      <c r="V34" s="382"/>
      <c r="W34" s="383">
        <v>410</v>
      </c>
      <c r="X34" s="247"/>
      <c r="Y34" s="297">
        <f>IF(B34="",0,Y33+1)</f>
        <v>0</v>
      </c>
      <c r="Z34" s="237"/>
      <c r="AA34" t="b" s="384">
        <f>IF(H34='Auswahldaten'!$A$16,TRUE,FALSE)</f>
        <v>0</v>
      </c>
      <c r="AB34" t="b" s="377">
        <f>IF('Alapanyagok_DID'!O34="R",TRUE,FALSE)</f>
        <v>0</v>
      </c>
      <c r="AC34" t="b" s="377">
        <f>IF(AND(AA34=TRUE,AB34=TRUE),TRUE,FALSE)</f>
        <v>0</v>
      </c>
      <c r="AD34" t="b" s="377">
        <f>IF('Alapanyagok_DID'!K34='Auswahldaten'!$A$12,TRUE,FALSE)</f>
        <v>0</v>
      </c>
      <c r="AE34" t="b" s="377">
        <f>IF(AND(AA34=TRUE,AD34=TRUE),TRUE,FALSE)</f>
        <v>0</v>
      </c>
      <c r="AF34" t="b" s="377">
        <f>IF(AND(AA34=TRUE,'Alapanyagok_DID'!E34='DID List'!$A$7),TRUE,FALSE)</f>
        <v>0</v>
      </c>
      <c r="AG34" t="b" s="377">
        <f>IF(AND(O34='Auswahldaten'!$A$12,'Alapanyagok_DID'!F34='DID List'!$A$7),TRUE,FALSE)</f>
        <v>0</v>
      </c>
      <c r="AH34" t="b" s="377">
        <f>IF('Alapanyagok_DID'!F34='DID List'!$A$7,TRUE,FALSE)</f>
        <v>0</v>
      </c>
      <c r="AI34" t="b" s="377">
        <f>IF(P34='Auswahldaten'!$A$12,TRUE,FALSE)</f>
        <v>0</v>
      </c>
      <c r="AJ34" t="b" s="377">
        <f>IF(AND(ISERROR(SEARCH("H400",J34))=FALSE,H34='Auswahldaten'!$A$16)=TRUE,TRUE,FALSE)</f>
        <v>0</v>
      </c>
      <c r="AK34" t="b" s="377">
        <f>IF(AND(ISERROR(SEARCH($AK$11,J34))=FALSE,H34='Auswahldaten'!$A$16)=TRUE,TRUE,FALSE)</f>
        <v>0</v>
      </c>
      <c r="AL34" t="b" s="377">
        <f>IF(AND(ISERROR(SEARCH("H317",J34))=FALSE,H34='Auswahldaten'!$A$21)=TRUE,TRUE,FALSE)</f>
        <v>0</v>
      </c>
      <c r="AM34" t="b" s="377">
        <f>IF(AND(ISERROR(SEARCH("H334",J34))=FALSE,H34='Auswahldaten'!$A$21)=TRUE,TRUE,FALSE)</f>
        <v>0</v>
      </c>
      <c r="AN34" t="b" s="385">
        <f>IF(ISERROR(SEARCH("H351",J34))=TRUE,FALSE,TRUE)</f>
        <v>0</v>
      </c>
      <c r="AO34" s="142"/>
      <c r="AP34" s="377">
        <f>L34</f>
        <v>0</v>
      </c>
      <c r="AQ34" t="b" s="385">
        <f>IF(AND(H34='Auswahldaten'!A$20,OR(L34='Auswahldaten'!A$52,L34='Auswahldaten'!A$53)),TRUE,FALSE)</f>
        <v>0</v>
      </c>
      <c r="AR34" s="34">
        <f>IF(K34='Auswahldaten'!$A$61,1,0)</f>
        <v>0</v>
      </c>
      <c r="AS34" s="13"/>
      <c r="AT34" s="13"/>
      <c r="AU34" s="13"/>
      <c r="AV34" s="13"/>
      <c r="AW34" s="14"/>
    </row>
    <row r="35" ht="15.75" customHeight="1">
      <c r="A35" s="371">
        <v>24</v>
      </c>
      <c r="B35" s="293"/>
      <c r="C35" s="294"/>
      <c r="D35" t="s" s="378">
        <f>IF(C35="","",VLOOKUP(C35,'Összetétel'!$B$13:$E$61,4,FALSE))</f>
      </c>
      <c r="E35" s="288"/>
      <c r="F35" s="288">
        <f>IF(D35="",0,(E35*D35/100))</f>
        <v>0</v>
      </c>
      <c r="G35" s="378"/>
      <c r="H35" s="294"/>
      <c r="I35" t="s" s="378">
        <f>IF(F35&lt;0.0000000000001,"",F35)</f>
      </c>
      <c r="J35" s="378"/>
      <c r="K35" s="294"/>
      <c r="L35" s="379"/>
      <c r="M35" s="380"/>
      <c r="N35" s="379"/>
      <c r="O35" s="295"/>
      <c r="P35" s="295"/>
      <c r="Q35" t="s" s="381">
        <f>IF(B35="","",IF(OR(H35='Fordítások'!$C$70,H35='Fordítások'!$B$70),"Y","N"))</f>
      </c>
      <c r="R35" t="s" s="381">
        <f>IF(NOT(ISERROR(SEARCH("400",J35,1))),"Y","N")</f>
        <v>257</v>
      </c>
      <c r="S35" t="s" s="381">
        <f>IF(NOT(ISERROR(SEARCH("412",J35,1))),"Y","N")</f>
        <v>257</v>
      </c>
      <c r="T35" t="s" s="381">
        <f>IF(NOT(ISERROR(SEARCH("412",K35,1))),"Y","N")</f>
        <v>257</v>
      </c>
      <c r="U35" s="295"/>
      <c r="V35" s="382"/>
      <c r="W35" s="383">
        <v>411</v>
      </c>
      <c r="X35" s="247"/>
      <c r="Y35" s="297">
        <f>IF(B35="",0,Y34+1)</f>
        <v>0</v>
      </c>
      <c r="Z35" s="237"/>
      <c r="AA35" t="b" s="384">
        <f>IF(H35='Auswahldaten'!$A$16,TRUE,FALSE)</f>
        <v>0</v>
      </c>
      <c r="AB35" t="b" s="377">
        <f>IF('Alapanyagok_DID'!O35="R",TRUE,FALSE)</f>
        <v>0</v>
      </c>
      <c r="AC35" t="b" s="377">
        <f>IF(AND(AA35=TRUE,AB35=TRUE),TRUE,FALSE)</f>
        <v>0</v>
      </c>
      <c r="AD35" t="b" s="377">
        <f>IF('Alapanyagok_DID'!K35='Auswahldaten'!$A$12,TRUE,FALSE)</f>
        <v>0</v>
      </c>
      <c r="AE35" t="b" s="377">
        <f>IF(AND(AA35=TRUE,AD35=TRUE),TRUE,FALSE)</f>
        <v>0</v>
      </c>
      <c r="AF35" t="b" s="377">
        <f>IF(AND(AA35=TRUE,'Alapanyagok_DID'!E35='DID List'!$A$7),TRUE,FALSE)</f>
        <v>0</v>
      </c>
      <c r="AG35" t="b" s="377">
        <f>IF(AND(O35='Auswahldaten'!$A$12,'Alapanyagok_DID'!F35='DID List'!$A$7),TRUE,FALSE)</f>
        <v>0</v>
      </c>
      <c r="AH35" t="b" s="377">
        <f>IF('Alapanyagok_DID'!F35='DID List'!$A$7,TRUE,FALSE)</f>
        <v>0</v>
      </c>
      <c r="AI35" t="b" s="377">
        <f>IF(P35='Auswahldaten'!$A$12,TRUE,FALSE)</f>
        <v>0</v>
      </c>
      <c r="AJ35" t="b" s="377">
        <f>IF(AND(ISERROR(SEARCH("H400",J35))=FALSE,H35='Auswahldaten'!$A$16)=TRUE,TRUE,FALSE)</f>
        <v>0</v>
      </c>
      <c r="AK35" t="b" s="377">
        <f>IF(AND(ISERROR(SEARCH($AK$11,J35))=FALSE,H35='Auswahldaten'!$A$16)=TRUE,TRUE,FALSE)</f>
        <v>0</v>
      </c>
      <c r="AL35" t="b" s="377">
        <f>IF(AND(ISERROR(SEARCH("H317",J35))=FALSE,H35='Auswahldaten'!$A$21)=TRUE,TRUE,FALSE)</f>
        <v>0</v>
      </c>
      <c r="AM35" t="b" s="377">
        <f>IF(AND(ISERROR(SEARCH("H334",J35))=FALSE,H35='Auswahldaten'!$A$21)=TRUE,TRUE,FALSE)</f>
        <v>0</v>
      </c>
      <c r="AN35" t="b" s="385">
        <f>IF(ISERROR(SEARCH("H351",J35))=TRUE,FALSE,TRUE)</f>
        <v>0</v>
      </c>
      <c r="AO35" s="142"/>
      <c r="AP35" s="377">
        <f>L35</f>
        <v>0</v>
      </c>
      <c r="AQ35" t="b" s="385">
        <f>IF(AND(H35='Auswahldaten'!A$20,OR(L35='Auswahldaten'!A$52,L35='Auswahldaten'!A$53)),TRUE,FALSE)</f>
        <v>0</v>
      </c>
      <c r="AR35" s="34">
        <f>IF(K35='Auswahldaten'!$A$61,1,0)</f>
        <v>0</v>
      </c>
      <c r="AS35" s="13"/>
      <c r="AT35" s="13"/>
      <c r="AU35" s="13"/>
      <c r="AV35" s="13"/>
      <c r="AW35" s="14"/>
    </row>
    <row r="36" ht="15.75" customHeight="1">
      <c r="A36" s="371">
        <v>25</v>
      </c>
      <c r="B36" s="293"/>
      <c r="C36" s="294"/>
      <c r="D36" t="s" s="378">
        <f>IF(C36="","",VLOOKUP(C36,'Összetétel'!$B$13:$E$61,4,FALSE))</f>
      </c>
      <c r="E36" s="288"/>
      <c r="F36" s="288">
        <f>IF(D36="",0,(E36*D36/100))</f>
        <v>0</v>
      </c>
      <c r="G36" s="378"/>
      <c r="H36" s="294"/>
      <c r="I36" t="s" s="378">
        <f>IF(F36&lt;0.0000000000001,"",F36)</f>
      </c>
      <c r="J36" s="378"/>
      <c r="K36" s="294"/>
      <c r="L36" s="379"/>
      <c r="M36" s="380"/>
      <c r="N36" s="379"/>
      <c r="O36" s="295"/>
      <c r="P36" s="295"/>
      <c r="Q36" t="s" s="381">
        <f>IF(B36="","",IF(OR(H36='Fordítások'!$C$70,H36='Fordítások'!$B$70),"Y","N"))</f>
      </c>
      <c r="R36" t="s" s="381">
        <f>IF(NOT(ISERROR(SEARCH("400",J36,1))),"Y","N")</f>
        <v>257</v>
      </c>
      <c r="S36" t="s" s="381">
        <f>IF(NOT(ISERROR(SEARCH("412",J36,1))),"Y","N")</f>
        <v>257</v>
      </c>
      <c r="T36" t="s" s="381">
        <f>IF(NOT(ISERROR(SEARCH("412",K36,1))),"Y","N")</f>
        <v>257</v>
      </c>
      <c r="U36" s="295"/>
      <c r="V36" s="382"/>
      <c r="W36" s="383">
        <v>412</v>
      </c>
      <c r="X36" s="247"/>
      <c r="Y36" s="297">
        <f>IF(B36="",0,Y35+1)</f>
        <v>0</v>
      </c>
      <c r="Z36" s="237"/>
      <c r="AA36" t="b" s="384">
        <f>IF(H36='Auswahldaten'!$A$16,TRUE,FALSE)</f>
        <v>0</v>
      </c>
      <c r="AB36" t="b" s="377">
        <f>IF('Alapanyagok_DID'!O36="R",TRUE,FALSE)</f>
        <v>0</v>
      </c>
      <c r="AC36" t="b" s="377">
        <f>IF(AND(AA36=TRUE,AB36=TRUE),TRUE,FALSE)</f>
        <v>0</v>
      </c>
      <c r="AD36" t="b" s="377">
        <f>IF('Alapanyagok_DID'!K36='Auswahldaten'!$A$12,TRUE,FALSE)</f>
        <v>0</v>
      </c>
      <c r="AE36" t="b" s="377">
        <f>IF(AND(AA36=TRUE,AD36=TRUE),TRUE,FALSE)</f>
        <v>0</v>
      </c>
      <c r="AF36" t="b" s="377">
        <f>IF(AND(AA36=TRUE,'Alapanyagok_DID'!E36='DID List'!$A$7),TRUE,FALSE)</f>
        <v>0</v>
      </c>
      <c r="AG36" t="b" s="377">
        <f>IF(AND(O36='Auswahldaten'!$A$12,'Alapanyagok_DID'!F36='DID List'!$A$7),TRUE,FALSE)</f>
        <v>0</v>
      </c>
      <c r="AH36" t="b" s="377">
        <f>IF('Alapanyagok_DID'!F36='DID List'!$A$7,TRUE,FALSE)</f>
        <v>0</v>
      </c>
      <c r="AI36" t="b" s="377">
        <f>IF(P36='Auswahldaten'!$A$12,TRUE,FALSE)</f>
        <v>0</v>
      </c>
      <c r="AJ36" t="b" s="377">
        <f>IF(AND(ISERROR(SEARCH("H400",J36))=FALSE,H36='Auswahldaten'!$A$16)=TRUE,TRUE,FALSE)</f>
        <v>0</v>
      </c>
      <c r="AK36" t="b" s="377">
        <f>IF(AND(ISERROR(SEARCH($AK$11,J36))=FALSE,H36='Auswahldaten'!$A$16)=TRUE,TRUE,FALSE)</f>
        <v>0</v>
      </c>
      <c r="AL36" t="b" s="377">
        <f>IF(AND(ISERROR(SEARCH("H317",J36))=FALSE,H36='Auswahldaten'!$A$21)=TRUE,TRUE,FALSE)</f>
        <v>0</v>
      </c>
      <c r="AM36" t="b" s="377">
        <f>IF(AND(ISERROR(SEARCH("H334",J36))=FALSE,H36='Auswahldaten'!$A$21)=TRUE,TRUE,FALSE)</f>
        <v>0</v>
      </c>
      <c r="AN36" t="b" s="385">
        <f>IF(ISERROR(SEARCH("H351",J36))=TRUE,FALSE,TRUE)</f>
        <v>0</v>
      </c>
      <c r="AO36" s="142"/>
      <c r="AP36" s="377">
        <f>L36</f>
        <v>0</v>
      </c>
      <c r="AQ36" t="b" s="385">
        <f>IF(AND(H36='Auswahldaten'!A$20,OR(L36='Auswahldaten'!A$52,L36='Auswahldaten'!A$53)),TRUE,FALSE)</f>
        <v>0</v>
      </c>
      <c r="AR36" s="34">
        <f>IF(K36='Auswahldaten'!$A$61,1,0)</f>
        <v>0</v>
      </c>
      <c r="AS36" s="13"/>
      <c r="AT36" s="13"/>
      <c r="AU36" s="13"/>
      <c r="AV36" s="13"/>
      <c r="AW36" s="14"/>
    </row>
    <row r="37" ht="15.75" customHeight="1">
      <c r="A37" s="371">
        <v>26</v>
      </c>
      <c r="B37" s="293"/>
      <c r="C37" s="294"/>
      <c r="D37" t="s" s="378">
        <f>IF(C37="","",VLOOKUP(C37,'Összetétel'!$B$13:$E$61,4,FALSE))</f>
      </c>
      <c r="E37" s="288"/>
      <c r="F37" s="288">
        <f>IF(D37="",0,(E37*D37/100))</f>
        <v>0</v>
      </c>
      <c r="G37" s="378"/>
      <c r="H37" s="294"/>
      <c r="I37" t="s" s="378">
        <f>IF(F37&lt;0.0000000000001,"",F37)</f>
      </c>
      <c r="J37" s="378"/>
      <c r="K37" s="294"/>
      <c r="L37" s="379"/>
      <c r="M37" s="380"/>
      <c r="N37" s="379"/>
      <c r="O37" s="295"/>
      <c r="P37" s="295"/>
      <c r="Q37" t="s" s="381">
        <f>IF(B37="","",IF(OR(H37='Fordítások'!$C$70,H37='Fordítások'!$B$70),"Y","N"))</f>
      </c>
      <c r="R37" t="s" s="381">
        <f>IF(NOT(ISERROR(SEARCH("400",J37,1))),"Y","N")</f>
        <v>257</v>
      </c>
      <c r="S37" t="s" s="381">
        <f>IF(NOT(ISERROR(SEARCH("412",J37,1))),"Y","N")</f>
        <v>257</v>
      </c>
      <c r="T37" t="s" s="381">
        <f>IF(NOT(ISERROR(SEARCH("412",K37,1))),"Y","N")</f>
        <v>257</v>
      </c>
      <c r="U37" s="295"/>
      <c r="V37" s="382"/>
      <c r="W37" s="383">
        <v>413</v>
      </c>
      <c r="X37" s="247"/>
      <c r="Y37" s="297">
        <f>IF(B37="",0,Y36+1)</f>
        <v>0</v>
      </c>
      <c r="Z37" s="237"/>
      <c r="AA37" t="b" s="384">
        <f>IF(H37='Auswahldaten'!$A$16,TRUE,FALSE)</f>
        <v>0</v>
      </c>
      <c r="AB37" t="b" s="377">
        <f>IF('Alapanyagok_DID'!O37="R",TRUE,FALSE)</f>
        <v>0</v>
      </c>
      <c r="AC37" t="b" s="377">
        <f>IF(AND(AA37=TRUE,AB37=TRUE),TRUE,FALSE)</f>
        <v>0</v>
      </c>
      <c r="AD37" t="b" s="377">
        <f>IF('Alapanyagok_DID'!K37='Auswahldaten'!$A$12,TRUE,FALSE)</f>
        <v>0</v>
      </c>
      <c r="AE37" t="b" s="377">
        <f>IF(AND(AA37=TRUE,AD37=TRUE),TRUE,FALSE)</f>
        <v>0</v>
      </c>
      <c r="AF37" t="b" s="377">
        <f>IF(AND(AA37=TRUE,'Alapanyagok_DID'!E37='DID List'!$A$7),TRUE,FALSE)</f>
        <v>0</v>
      </c>
      <c r="AG37" t="b" s="377">
        <f>IF(AND(O37='Auswahldaten'!$A$12,'Alapanyagok_DID'!F37='DID List'!$A$7),TRUE,FALSE)</f>
        <v>0</v>
      </c>
      <c r="AH37" t="b" s="377">
        <f>IF('Alapanyagok_DID'!F37='DID List'!$A$7,TRUE,FALSE)</f>
        <v>0</v>
      </c>
      <c r="AI37" t="b" s="377">
        <f>IF(P37='Auswahldaten'!$A$12,TRUE,FALSE)</f>
        <v>0</v>
      </c>
      <c r="AJ37" t="b" s="377">
        <f>IF(AND(ISERROR(SEARCH("H400",J37))=FALSE,H37='Auswahldaten'!$A$16)=TRUE,TRUE,FALSE)</f>
        <v>0</v>
      </c>
      <c r="AK37" t="b" s="377">
        <f>IF(AND(ISERROR(SEARCH($AK$11,J37))=FALSE,H37='Auswahldaten'!$A$16)=TRUE,TRUE,FALSE)</f>
        <v>0</v>
      </c>
      <c r="AL37" t="b" s="377">
        <f>IF(AND(ISERROR(SEARCH("H317",J37))=FALSE,H37='Auswahldaten'!$A$21)=TRUE,TRUE,FALSE)</f>
        <v>0</v>
      </c>
      <c r="AM37" t="b" s="377">
        <f>IF(AND(ISERROR(SEARCH("H334",J37))=FALSE,H37='Auswahldaten'!$A$21)=TRUE,TRUE,FALSE)</f>
        <v>0</v>
      </c>
      <c r="AN37" t="b" s="385">
        <f>IF(ISERROR(SEARCH("H351",J37))=TRUE,FALSE,TRUE)</f>
        <v>0</v>
      </c>
      <c r="AO37" s="142"/>
      <c r="AP37" s="377">
        <f>L37</f>
        <v>0</v>
      </c>
      <c r="AQ37" t="b" s="385">
        <f>IF(AND(H37='Auswahldaten'!A$20,OR(L37='Auswahldaten'!A$52,L37='Auswahldaten'!A$53)),TRUE,FALSE)</f>
        <v>0</v>
      </c>
      <c r="AR37" s="34">
        <f>IF(K37='Auswahldaten'!$A$61,1,0)</f>
        <v>0</v>
      </c>
      <c r="AS37" s="13"/>
      <c r="AT37" s="13"/>
      <c r="AU37" s="13"/>
      <c r="AV37" s="13"/>
      <c r="AW37" s="14"/>
    </row>
    <row r="38" ht="15.75" customHeight="1">
      <c r="A38" s="371">
        <v>27</v>
      </c>
      <c r="B38" s="293"/>
      <c r="C38" s="294"/>
      <c r="D38" t="s" s="378">
        <f>IF(C38="","",VLOOKUP(C38,'Összetétel'!$B$13:$E$61,4,FALSE))</f>
      </c>
      <c r="E38" s="288"/>
      <c r="F38" s="288">
        <f>IF(D38="",0,(E38*D38/100))</f>
        <v>0</v>
      </c>
      <c r="G38" s="378"/>
      <c r="H38" s="294"/>
      <c r="I38" t="s" s="378">
        <f>IF(F38&lt;0.0000000000001,"",F38)</f>
      </c>
      <c r="J38" s="378"/>
      <c r="K38" s="294"/>
      <c r="L38" s="379"/>
      <c r="M38" s="380"/>
      <c r="N38" s="379"/>
      <c r="O38" s="295"/>
      <c r="P38" s="295"/>
      <c r="Q38" t="s" s="381">
        <f>IF(B38="","",IF(OR(H38='Fordítások'!$C$70,H38='Fordítások'!$B$70),"Y","N"))</f>
      </c>
      <c r="R38" t="s" s="381">
        <f>IF(NOT(ISERROR(SEARCH("400",J38,1))),"Y","N")</f>
        <v>257</v>
      </c>
      <c r="S38" t="s" s="381">
        <f>IF(NOT(ISERROR(SEARCH("412",J38,1))),"Y","N")</f>
        <v>257</v>
      </c>
      <c r="T38" t="s" s="381">
        <f>IF(NOT(ISERROR(SEARCH("412",K38,1))),"Y","N")</f>
        <v>257</v>
      </c>
      <c r="U38" s="295"/>
      <c r="V38" s="382"/>
      <c r="W38" t="s" s="389">
        <v>158</v>
      </c>
      <c r="X38" s="247"/>
      <c r="Y38" s="297">
        <f>IF(B38="",0,Y37+1)</f>
        <v>0</v>
      </c>
      <c r="Z38" s="237"/>
      <c r="AA38" t="b" s="384">
        <f>IF(H38='Auswahldaten'!$A$16,TRUE,FALSE)</f>
        <v>0</v>
      </c>
      <c r="AB38" t="b" s="377">
        <f>IF('Alapanyagok_DID'!O38="R",TRUE,FALSE)</f>
        <v>0</v>
      </c>
      <c r="AC38" t="b" s="377">
        <f>IF(AND(AA38=TRUE,AB38=TRUE),TRUE,FALSE)</f>
        <v>0</v>
      </c>
      <c r="AD38" t="b" s="377">
        <f>IF('Alapanyagok_DID'!K38='Auswahldaten'!$A$12,TRUE,FALSE)</f>
        <v>0</v>
      </c>
      <c r="AE38" t="b" s="377">
        <f>IF(AND(AA38=TRUE,AD38=TRUE),TRUE,FALSE)</f>
        <v>0</v>
      </c>
      <c r="AF38" t="b" s="377">
        <f>IF(AND(AA38=TRUE,'Alapanyagok_DID'!E38='DID List'!$A$7),TRUE,FALSE)</f>
        <v>0</v>
      </c>
      <c r="AG38" t="b" s="377">
        <f>IF(AND(O38='Auswahldaten'!$A$12,'Alapanyagok_DID'!F38='DID List'!$A$7),TRUE,FALSE)</f>
        <v>0</v>
      </c>
      <c r="AH38" t="b" s="377">
        <f>IF('Alapanyagok_DID'!F38='DID List'!$A$7,TRUE,FALSE)</f>
        <v>0</v>
      </c>
      <c r="AI38" t="b" s="377">
        <f>IF(P38='Auswahldaten'!$A$12,TRUE,FALSE)</f>
        <v>0</v>
      </c>
      <c r="AJ38" t="b" s="377">
        <f>IF(AND(ISERROR(SEARCH("H400",J38))=FALSE,H38='Auswahldaten'!$A$16)=TRUE,TRUE,FALSE)</f>
        <v>0</v>
      </c>
      <c r="AK38" t="b" s="377">
        <f>IF(AND(ISERROR(SEARCH($AK$11,J38))=FALSE,H38='Auswahldaten'!$A$16)=TRUE,TRUE,FALSE)</f>
        <v>0</v>
      </c>
      <c r="AL38" t="b" s="377">
        <f>IF(AND(ISERROR(SEARCH("H317",J38))=FALSE,H38='Auswahldaten'!$A$21)=TRUE,TRUE,FALSE)</f>
        <v>0</v>
      </c>
      <c r="AM38" t="b" s="377">
        <f>IF(AND(ISERROR(SEARCH("H334",J38))=FALSE,H38='Auswahldaten'!$A$21)=TRUE,TRUE,FALSE)</f>
        <v>0</v>
      </c>
      <c r="AN38" t="b" s="385">
        <f>IF(ISERROR(SEARCH("H351",J38))=TRUE,FALSE,TRUE)</f>
        <v>0</v>
      </c>
      <c r="AO38" s="142"/>
      <c r="AP38" s="377">
        <f>L38</f>
        <v>0</v>
      </c>
      <c r="AQ38" t="b" s="385">
        <f>IF(AND(H38='Auswahldaten'!A$20,OR(L38='Auswahldaten'!A$52,L38='Auswahldaten'!A$53)),TRUE,FALSE)</f>
        <v>0</v>
      </c>
      <c r="AR38" s="34">
        <f>IF(K38='Auswahldaten'!$A$61,1,0)</f>
        <v>0</v>
      </c>
      <c r="AS38" s="13"/>
      <c r="AT38" s="13"/>
      <c r="AU38" s="13"/>
      <c r="AV38" s="13"/>
      <c r="AW38" s="14"/>
    </row>
    <row r="39" ht="15.75" customHeight="1">
      <c r="A39" s="371">
        <v>28</v>
      </c>
      <c r="B39" s="293"/>
      <c r="C39" s="294"/>
      <c r="D39" t="s" s="378">
        <f>IF(C39="","",VLOOKUP(C39,'Összetétel'!$B$13:$E$61,4,FALSE))</f>
      </c>
      <c r="E39" s="288"/>
      <c r="F39" s="288">
        <f>IF(D39="",0,(E39*D39/100))</f>
        <v>0</v>
      </c>
      <c r="G39" s="378"/>
      <c r="H39" s="294"/>
      <c r="I39" t="s" s="378">
        <f>IF(F39&lt;0.0000000000001,"",F39)</f>
      </c>
      <c r="J39" s="378"/>
      <c r="K39" s="294"/>
      <c r="L39" s="379"/>
      <c r="M39" s="380"/>
      <c r="N39" s="379"/>
      <c r="O39" s="295"/>
      <c r="P39" s="295"/>
      <c r="Q39" t="s" s="381">
        <f>IF(B39="","",IF(OR(H39='Fordítások'!$C$70,H39='Fordítások'!$B$70),"Y","N"))</f>
      </c>
      <c r="R39" t="s" s="381">
        <f>IF(NOT(ISERROR(SEARCH("400",J39,1))),"Y","N")</f>
        <v>257</v>
      </c>
      <c r="S39" t="s" s="381">
        <f>IF(NOT(ISERROR(SEARCH("412",J39,1))),"Y","N")</f>
        <v>257</v>
      </c>
      <c r="T39" t="s" s="381">
        <f>IF(NOT(ISERROR(SEARCH("412",K39,1))),"Y","N")</f>
        <v>257</v>
      </c>
      <c r="U39" s="295"/>
      <c r="V39" s="382"/>
      <c r="W39" s="389"/>
      <c r="X39" s="247"/>
      <c r="Y39" s="297">
        <f>IF(B39="",0,Y38+1)</f>
        <v>0</v>
      </c>
      <c r="Z39" s="237"/>
      <c r="AA39" t="b" s="384">
        <f>IF(H39='Auswahldaten'!$A$16,TRUE,FALSE)</f>
        <v>0</v>
      </c>
      <c r="AB39" t="b" s="377">
        <f>IF('Alapanyagok_DID'!O39="R",TRUE,FALSE)</f>
        <v>0</v>
      </c>
      <c r="AC39" t="b" s="377">
        <f>IF(AND(AA39=TRUE,AB39=TRUE),TRUE,FALSE)</f>
        <v>0</v>
      </c>
      <c r="AD39" t="b" s="377">
        <f>IF('Alapanyagok_DID'!K39='Auswahldaten'!$A$12,TRUE,FALSE)</f>
        <v>0</v>
      </c>
      <c r="AE39" t="b" s="377">
        <f>IF(AND(AA39=TRUE,AD39=TRUE),TRUE,FALSE)</f>
        <v>0</v>
      </c>
      <c r="AF39" t="b" s="377">
        <f>IF(AND(AA39=TRUE,'Alapanyagok_DID'!E39='DID List'!$A$7),TRUE,FALSE)</f>
        <v>0</v>
      </c>
      <c r="AG39" t="b" s="377">
        <f>IF(AND(O39='Auswahldaten'!$A$12,'Alapanyagok_DID'!F39='DID List'!$A$7),TRUE,FALSE)</f>
        <v>0</v>
      </c>
      <c r="AH39" t="b" s="377">
        <f>IF('Alapanyagok_DID'!F39='DID List'!$A$7,TRUE,FALSE)</f>
        <v>0</v>
      </c>
      <c r="AI39" t="b" s="377">
        <f>IF(P39='Auswahldaten'!$A$12,TRUE,FALSE)</f>
        <v>0</v>
      </c>
      <c r="AJ39" t="b" s="377">
        <f>IF(AND(ISERROR(SEARCH("H400",J39))=FALSE,H39='Auswahldaten'!$A$16)=TRUE,TRUE,FALSE)</f>
        <v>0</v>
      </c>
      <c r="AK39" t="b" s="377">
        <f>IF(AND(ISERROR(SEARCH($AK$11,J39))=FALSE,H39='Auswahldaten'!$A$16)=TRUE,TRUE,FALSE)</f>
        <v>0</v>
      </c>
      <c r="AL39" t="b" s="377">
        <f>IF(AND(ISERROR(SEARCH("H317",J39))=FALSE,H39='Auswahldaten'!$A$21)=TRUE,TRUE,FALSE)</f>
        <v>0</v>
      </c>
      <c r="AM39" t="b" s="377">
        <f>IF(AND(ISERROR(SEARCH("H334",J39))=FALSE,H39='Auswahldaten'!$A$21)=TRUE,TRUE,FALSE)</f>
        <v>0</v>
      </c>
      <c r="AN39" t="b" s="385">
        <f>IF(ISERROR(SEARCH("H351",J39))=TRUE,FALSE,TRUE)</f>
        <v>0</v>
      </c>
      <c r="AO39" s="142"/>
      <c r="AP39" s="377">
        <f>L39</f>
        <v>0</v>
      </c>
      <c r="AQ39" t="b" s="385">
        <f>IF(AND(H39='Auswahldaten'!A$20,OR(L39='Auswahldaten'!A$52,L39='Auswahldaten'!A$53)),TRUE,FALSE)</f>
        <v>0</v>
      </c>
      <c r="AR39" s="34">
        <f>IF(K39='Auswahldaten'!$A$61,1,0)</f>
        <v>0</v>
      </c>
      <c r="AS39" s="13"/>
      <c r="AT39" s="13"/>
      <c r="AU39" s="13"/>
      <c r="AV39" s="13"/>
      <c r="AW39" s="14"/>
    </row>
    <row r="40" ht="15.75" customHeight="1">
      <c r="A40" s="371">
        <v>29</v>
      </c>
      <c r="B40" s="293"/>
      <c r="C40" s="294"/>
      <c r="D40" t="s" s="378">
        <f>IF(C40="","",VLOOKUP(C40,'Összetétel'!$B$13:$E$61,4,FALSE))</f>
      </c>
      <c r="E40" s="288"/>
      <c r="F40" s="288">
        <f>IF(D40="",0,(E40*D40/100))</f>
        <v>0</v>
      </c>
      <c r="G40" s="378"/>
      <c r="H40" s="294"/>
      <c r="I40" t="s" s="378">
        <f>IF(F40&lt;0.0000000000001,"",F40)</f>
      </c>
      <c r="J40" s="378"/>
      <c r="K40" s="294"/>
      <c r="L40" s="379"/>
      <c r="M40" s="380"/>
      <c r="N40" s="379"/>
      <c r="O40" s="295"/>
      <c r="P40" s="295"/>
      <c r="Q40" t="s" s="381">
        <f>IF(B40="","",IF(OR(H40='Fordítások'!$C$70,H40='Fordítások'!$B$70),"Y","N"))</f>
      </c>
      <c r="R40" t="s" s="381">
        <f>IF(NOT(ISERROR(SEARCH("400",J40,1))),"Y","N")</f>
        <v>257</v>
      </c>
      <c r="S40" t="s" s="381">
        <f>IF(NOT(ISERROR(SEARCH("412",J40,1))),"Y","N")</f>
        <v>257</v>
      </c>
      <c r="T40" t="s" s="381">
        <f>IF(NOT(ISERROR(SEARCH("412",K40,1))),"Y","N")</f>
        <v>257</v>
      </c>
      <c r="U40" s="295"/>
      <c r="V40" s="382"/>
      <c r="W40" s="72"/>
      <c r="X40" s="247"/>
      <c r="Y40" s="297">
        <f>IF(B40="",0,Y39+1)</f>
        <v>0</v>
      </c>
      <c r="Z40" s="237"/>
      <c r="AA40" t="b" s="384">
        <f>IF(H40='Auswahldaten'!$A$16,TRUE,FALSE)</f>
        <v>0</v>
      </c>
      <c r="AB40" t="b" s="377">
        <f>IF('Alapanyagok_DID'!O40="R",TRUE,FALSE)</f>
        <v>0</v>
      </c>
      <c r="AC40" t="b" s="377">
        <f>IF(AND(AA40=TRUE,AB40=TRUE),TRUE,FALSE)</f>
        <v>0</v>
      </c>
      <c r="AD40" t="b" s="377">
        <f>IF('Alapanyagok_DID'!K40='Auswahldaten'!$A$12,TRUE,FALSE)</f>
        <v>0</v>
      </c>
      <c r="AE40" t="b" s="377">
        <f>IF(AND(AA40=TRUE,AD40=TRUE),TRUE,FALSE)</f>
        <v>0</v>
      </c>
      <c r="AF40" t="b" s="377">
        <f>IF(AND(AA40=TRUE,'Alapanyagok_DID'!E40='DID List'!$A$7),TRUE,FALSE)</f>
        <v>0</v>
      </c>
      <c r="AG40" t="b" s="377">
        <f>IF(AND(O40='Auswahldaten'!$A$12,'Alapanyagok_DID'!F40='DID List'!$A$7),TRUE,FALSE)</f>
        <v>0</v>
      </c>
      <c r="AH40" t="b" s="377">
        <f>IF('Alapanyagok_DID'!F40='DID List'!$A$7,TRUE,FALSE)</f>
        <v>0</v>
      </c>
      <c r="AI40" t="b" s="377">
        <f>IF(P40='Auswahldaten'!$A$12,TRUE,FALSE)</f>
        <v>0</v>
      </c>
      <c r="AJ40" t="b" s="377">
        <f>IF(AND(ISERROR(SEARCH("H400",J40))=FALSE,H40='Auswahldaten'!$A$16)=TRUE,TRUE,FALSE)</f>
        <v>0</v>
      </c>
      <c r="AK40" t="b" s="377">
        <f>IF(AND(ISERROR(SEARCH($AK$11,J40))=FALSE,H40='Auswahldaten'!$A$16)=TRUE,TRUE,FALSE)</f>
        <v>0</v>
      </c>
      <c r="AL40" t="b" s="377">
        <f>IF(AND(ISERROR(SEARCH("H317",J40))=FALSE,H40='Auswahldaten'!$A$21)=TRUE,TRUE,FALSE)</f>
        <v>0</v>
      </c>
      <c r="AM40" t="b" s="377">
        <f>IF(AND(ISERROR(SEARCH("H334",J40))=FALSE,H40='Auswahldaten'!$A$21)=TRUE,TRUE,FALSE)</f>
        <v>0</v>
      </c>
      <c r="AN40" t="b" s="385">
        <f>IF(ISERROR(SEARCH("H351",J40))=TRUE,FALSE,TRUE)</f>
        <v>0</v>
      </c>
      <c r="AO40" s="142"/>
      <c r="AP40" s="377">
        <f>L40</f>
        <v>0</v>
      </c>
      <c r="AQ40" t="b" s="385">
        <f>IF(AND(H40='Auswahldaten'!A$20,OR(L40='Auswahldaten'!A$52,L40='Auswahldaten'!A$53)),TRUE,FALSE)</f>
        <v>0</v>
      </c>
      <c r="AR40" s="34">
        <f>IF(K40='Auswahldaten'!$A$61,1,0)</f>
        <v>0</v>
      </c>
      <c r="AS40" s="13"/>
      <c r="AT40" s="13"/>
      <c r="AU40" s="13"/>
      <c r="AV40" s="13"/>
      <c r="AW40" s="14"/>
    </row>
    <row r="41" ht="15.75" customHeight="1">
      <c r="A41" s="371">
        <v>30</v>
      </c>
      <c r="B41" s="293"/>
      <c r="C41" s="294"/>
      <c r="D41" t="s" s="378">
        <f>IF(C41="","",VLOOKUP(C41,'Összetétel'!$B$13:$E$61,4,FALSE))</f>
      </c>
      <c r="E41" s="288"/>
      <c r="F41" s="288">
        <f>IF(D41="",0,(E41*D41/100))</f>
        <v>0</v>
      </c>
      <c r="G41" s="378"/>
      <c r="H41" s="294"/>
      <c r="I41" t="s" s="378">
        <f>IF(F41&lt;0.0000000000001,"",F41)</f>
      </c>
      <c r="J41" s="378"/>
      <c r="K41" s="294"/>
      <c r="L41" s="379"/>
      <c r="M41" s="380"/>
      <c r="N41" s="379"/>
      <c r="O41" s="295"/>
      <c r="P41" s="295"/>
      <c r="Q41" t="s" s="381">
        <f>IF(B41="","",IF(OR(H41='Fordítások'!$C$70,H41='Fordítások'!$B$70),"Y","N"))</f>
      </c>
      <c r="R41" t="s" s="381">
        <f>IF(NOT(ISERROR(SEARCH("400",J41,1))),"Y","N")</f>
        <v>257</v>
      </c>
      <c r="S41" t="s" s="381">
        <f>IF(NOT(ISERROR(SEARCH("412",J41,1))),"Y","N")</f>
        <v>257</v>
      </c>
      <c r="T41" t="s" s="381">
        <f>IF(NOT(ISERROR(SEARCH("412",K41,1))),"Y","N")</f>
        <v>257</v>
      </c>
      <c r="U41" s="295"/>
      <c r="V41" s="382"/>
      <c r="W41" s="390"/>
      <c r="X41" s="247"/>
      <c r="Y41" s="297">
        <f>IF(B41="",0,Y40+1)</f>
        <v>0</v>
      </c>
      <c r="Z41" s="237"/>
      <c r="AA41" t="b" s="384">
        <f>IF(H41='Auswahldaten'!$A$16,TRUE,FALSE)</f>
        <v>0</v>
      </c>
      <c r="AB41" t="b" s="377">
        <f>IF('Alapanyagok_DID'!O41="R",TRUE,FALSE)</f>
        <v>0</v>
      </c>
      <c r="AC41" t="b" s="377">
        <f>IF(AND(AA41=TRUE,AB41=TRUE),TRUE,FALSE)</f>
        <v>0</v>
      </c>
      <c r="AD41" t="b" s="377">
        <f>IF('Alapanyagok_DID'!K41='Auswahldaten'!$A$12,TRUE,FALSE)</f>
        <v>0</v>
      </c>
      <c r="AE41" t="b" s="377">
        <f>IF(AND(AA41=TRUE,AD41=TRUE),TRUE,FALSE)</f>
        <v>0</v>
      </c>
      <c r="AF41" t="b" s="377">
        <f>IF(AND(AA41=TRUE,'Alapanyagok_DID'!E41='DID List'!$A$7),TRUE,FALSE)</f>
        <v>0</v>
      </c>
      <c r="AG41" t="b" s="377">
        <f>IF(AND(O41='Auswahldaten'!$A$12,'Alapanyagok_DID'!F41='DID List'!$A$7),TRUE,FALSE)</f>
        <v>0</v>
      </c>
      <c r="AH41" t="b" s="377">
        <f>IF('Alapanyagok_DID'!F41='DID List'!$A$7,TRUE,FALSE)</f>
        <v>0</v>
      </c>
      <c r="AI41" t="b" s="377">
        <f>IF(P41='Auswahldaten'!$A$12,TRUE,FALSE)</f>
        <v>0</v>
      </c>
      <c r="AJ41" t="b" s="377">
        <f>IF(AND(ISERROR(SEARCH("H400",J41))=FALSE,H41='Auswahldaten'!$A$16)=TRUE,TRUE,FALSE)</f>
        <v>0</v>
      </c>
      <c r="AK41" t="b" s="377">
        <f>IF(AND(ISERROR(SEARCH($AK$11,J41))=FALSE,H41='Auswahldaten'!$A$16)=TRUE,TRUE,FALSE)</f>
        <v>0</v>
      </c>
      <c r="AL41" t="b" s="377">
        <f>IF(AND(ISERROR(SEARCH("H317",J41))=FALSE,H41='Auswahldaten'!$A$21)=TRUE,TRUE,FALSE)</f>
        <v>0</v>
      </c>
      <c r="AM41" t="b" s="377">
        <f>IF(AND(ISERROR(SEARCH("H334",J41))=FALSE,H41='Auswahldaten'!$A$21)=TRUE,TRUE,FALSE)</f>
        <v>0</v>
      </c>
      <c r="AN41" t="b" s="385">
        <f>IF(ISERROR(SEARCH("H351",J41))=TRUE,FALSE,TRUE)</f>
        <v>0</v>
      </c>
      <c r="AO41" s="142"/>
      <c r="AP41" s="377">
        <f>L41</f>
        <v>0</v>
      </c>
      <c r="AQ41" t="b" s="385">
        <f>IF(AND(H41='Auswahldaten'!A$20,OR(L41='Auswahldaten'!A$52,L41='Auswahldaten'!A$53)),TRUE,FALSE)</f>
        <v>0</v>
      </c>
      <c r="AR41" s="34">
        <f>IF(K41='Auswahldaten'!$A$61,1,0)</f>
        <v>0</v>
      </c>
      <c r="AS41" s="13"/>
      <c r="AT41" s="13"/>
      <c r="AU41" s="13"/>
      <c r="AV41" s="13"/>
      <c r="AW41" s="14"/>
    </row>
    <row r="42" ht="15.75" customHeight="1">
      <c r="A42" s="371">
        <v>31</v>
      </c>
      <c r="B42" s="293"/>
      <c r="C42" s="294"/>
      <c r="D42" t="s" s="378">
        <f>IF(C42="","",VLOOKUP(C42,'Összetétel'!$B$13:$E$61,4,FALSE))</f>
      </c>
      <c r="E42" s="288"/>
      <c r="F42" s="288">
        <f>IF(D42="",0,(E42*D42/100))</f>
        <v>0</v>
      </c>
      <c r="G42" s="378"/>
      <c r="H42" s="294"/>
      <c r="I42" t="s" s="378">
        <f>IF(F42&lt;0.0000000000001,"",F42)</f>
      </c>
      <c r="J42" s="378"/>
      <c r="K42" s="294"/>
      <c r="L42" s="379"/>
      <c r="M42" s="380"/>
      <c r="N42" s="379"/>
      <c r="O42" s="295"/>
      <c r="P42" s="295"/>
      <c r="Q42" t="s" s="381">
        <f>IF(B42="","",IF(OR(H42='Fordítások'!$C$70,H42='Fordítások'!$B$70),"Y","N"))</f>
      </c>
      <c r="R42" t="s" s="381">
        <f>IF(NOT(ISERROR(SEARCH("400",J42,1))),"Y","N")</f>
        <v>257</v>
      </c>
      <c r="S42" t="s" s="381">
        <f>IF(NOT(ISERROR(SEARCH("412",J42,1))),"Y","N")</f>
        <v>257</v>
      </c>
      <c r="T42" t="s" s="381">
        <f>IF(NOT(ISERROR(SEARCH("412",K42,1))),"Y","N")</f>
        <v>257</v>
      </c>
      <c r="U42" s="295"/>
      <c r="V42" s="382"/>
      <c r="W42" s="390"/>
      <c r="X42" s="247"/>
      <c r="Y42" s="297">
        <f>IF(B42="",0,Y41+1)</f>
        <v>0</v>
      </c>
      <c r="Z42" s="237"/>
      <c r="AA42" t="b" s="384">
        <f>IF(H42='Auswahldaten'!$A$16,TRUE,FALSE)</f>
        <v>0</v>
      </c>
      <c r="AB42" t="b" s="377">
        <f>IF('Alapanyagok_DID'!O42="R",TRUE,FALSE)</f>
        <v>0</v>
      </c>
      <c r="AC42" t="b" s="377">
        <f>IF(AND(AA42=TRUE,AB42=TRUE),TRUE,FALSE)</f>
        <v>0</v>
      </c>
      <c r="AD42" t="b" s="377">
        <f>IF('Alapanyagok_DID'!K42='Auswahldaten'!$A$12,TRUE,FALSE)</f>
        <v>0</v>
      </c>
      <c r="AE42" t="b" s="377">
        <f>IF(AND(AA42=TRUE,AD42=TRUE),TRUE,FALSE)</f>
        <v>0</v>
      </c>
      <c r="AF42" t="b" s="377">
        <f>IF(AND(AA42=TRUE,'Alapanyagok_DID'!E42='DID List'!$A$7),TRUE,FALSE)</f>
        <v>0</v>
      </c>
      <c r="AG42" t="b" s="377">
        <f>IF(AND(O42='Auswahldaten'!$A$12,'Alapanyagok_DID'!F42='DID List'!$A$7),TRUE,FALSE)</f>
        <v>0</v>
      </c>
      <c r="AH42" t="b" s="377">
        <f>IF('Alapanyagok_DID'!F42='DID List'!$A$7,TRUE,FALSE)</f>
        <v>0</v>
      </c>
      <c r="AI42" t="b" s="377">
        <f>IF(P42='Auswahldaten'!$A$12,TRUE,FALSE)</f>
        <v>0</v>
      </c>
      <c r="AJ42" t="b" s="377">
        <f>IF(AND(ISERROR(SEARCH("H400",J42))=FALSE,H42='Auswahldaten'!$A$16)=TRUE,TRUE,FALSE)</f>
        <v>0</v>
      </c>
      <c r="AK42" t="b" s="377">
        <f>IF(AND(ISERROR(SEARCH($AK$11,J42))=FALSE,H42='Auswahldaten'!$A$16)=TRUE,TRUE,FALSE)</f>
        <v>0</v>
      </c>
      <c r="AL42" t="b" s="377">
        <f>IF(AND(ISERROR(SEARCH("H317",J42))=FALSE,H42='Auswahldaten'!$A$21)=TRUE,TRUE,FALSE)</f>
        <v>0</v>
      </c>
      <c r="AM42" t="b" s="377">
        <f>IF(AND(ISERROR(SEARCH("H334",J42))=FALSE,H42='Auswahldaten'!$A$21)=TRUE,TRUE,FALSE)</f>
        <v>0</v>
      </c>
      <c r="AN42" t="b" s="385">
        <f>IF(ISERROR(SEARCH("H351",J42))=TRUE,FALSE,TRUE)</f>
        <v>0</v>
      </c>
      <c r="AO42" s="142"/>
      <c r="AP42" s="377">
        <f>L42</f>
        <v>0</v>
      </c>
      <c r="AQ42" t="b" s="385">
        <f>IF(AND(H42='Auswahldaten'!A$20,OR(L42='Auswahldaten'!A$52,L42='Auswahldaten'!A$53)),TRUE,FALSE)</f>
        <v>0</v>
      </c>
      <c r="AR42" s="34">
        <f>IF(K42='Auswahldaten'!$A$61,1,0)</f>
        <v>0</v>
      </c>
      <c r="AS42" s="13"/>
      <c r="AT42" s="13"/>
      <c r="AU42" s="13"/>
      <c r="AV42" s="13"/>
      <c r="AW42" s="14"/>
    </row>
    <row r="43" ht="15.75" customHeight="1">
      <c r="A43" s="371">
        <v>32</v>
      </c>
      <c r="B43" s="293"/>
      <c r="C43" s="294"/>
      <c r="D43" t="s" s="378">
        <f>IF(C43="","",VLOOKUP(C43,'Összetétel'!$B$13:$E$61,4,FALSE))</f>
      </c>
      <c r="E43" s="288"/>
      <c r="F43" s="288">
        <f>IF(D43="",0,(E43*D43/100))</f>
        <v>0</v>
      </c>
      <c r="G43" s="378"/>
      <c r="H43" s="294"/>
      <c r="I43" t="s" s="378">
        <f>IF(F43&lt;0.0000000000001,"",F43)</f>
      </c>
      <c r="J43" s="378"/>
      <c r="K43" s="294"/>
      <c r="L43" s="379"/>
      <c r="M43" s="380"/>
      <c r="N43" s="379"/>
      <c r="O43" s="295"/>
      <c r="P43" s="295"/>
      <c r="Q43" t="s" s="381">
        <f>IF(B43="","",IF(OR(H43='Fordítások'!$C$70,H43='Fordítások'!$B$70),"Y","N"))</f>
      </c>
      <c r="R43" t="s" s="381">
        <f>IF(NOT(ISERROR(SEARCH("400",J43,1))),"Y","N")</f>
        <v>257</v>
      </c>
      <c r="S43" t="s" s="381">
        <f>IF(NOT(ISERROR(SEARCH("412",J43,1))),"Y","N")</f>
        <v>257</v>
      </c>
      <c r="T43" t="s" s="381">
        <f>IF(NOT(ISERROR(SEARCH("412",K43,1))),"Y","N")</f>
        <v>257</v>
      </c>
      <c r="U43" s="295"/>
      <c r="V43" s="382"/>
      <c r="W43" s="355"/>
      <c r="X43" s="247"/>
      <c r="Y43" s="297">
        <f>IF(B43="",0,Y42+1)</f>
        <v>0</v>
      </c>
      <c r="Z43" s="237"/>
      <c r="AA43" t="b" s="384">
        <f>IF(H43='Auswahldaten'!$A$16,TRUE,FALSE)</f>
        <v>0</v>
      </c>
      <c r="AB43" t="b" s="377">
        <f>IF('Alapanyagok_DID'!O43="R",TRUE,FALSE)</f>
        <v>0</v>
      </c>
      <c r="AC43" t="b" s="377">
        <f>IF(AND(AA43=TRUE,AB43=TRUE),TRUE,FALSE)</f>
        <v>0</v>
      </c>
      <c r="AD43" t="b" s="377">
        <f>IF('Alapanyagok_DID'!K43='Auswahldaten'!$A$12,TRUE,FALSE)</f>
        <v>0</v>
      </c>
      <c r="AE43" t="b" s="377">
        <f>IF(AND(AA43=TRUE,AD43=TRUE),TRUE,FALSE)</f>
        <v>0</v>
      </c>
      <c r="AF43" t="b" s="377">
        <f>IF(AND(AA43=TRUE,'Alapanyagok_DID'!E43='DID List'!$A$7),TRUE,FALSE)</f>
        <v>0</v>
      </c>
      <c r="AG43" t="b" s="377">
        <f>IF(AND(O43='Auswahldaten'!$A$12,'Alapanyagok_DID'!F43='DID List'!$A$7),TRUE,FALSE)</f>
        <v>0</v>
      </c>
      <c r="AH43" t="b" s="377">
        <f>IF('Alapanyagok_DID'!F43='DID List'!$A$7,TRUE,FALSE)</f>
        <v>0</v>
      </c>
      <c r="AI43" t="b" s="377">
        <f>IF(P43='Auswahldaten'!$A$12,TRUE,FALSE)</f>
        <v>0</v>
      </c>
      <c r="AJ43" t="b" s="377">
        <f>IF(AND(ISERROR(SEARCH("H400",J43))=FALSE,H43='Auswahldaten'!$A$16)=TRUE,TRUE,FALSE)</f>
        <v>0</v>
      </c>
      <c r="AK43" t="b" s="377">
        <f>IF(AND(ISERROR(SEARCH($AK$11,J43))=FALSE,H43='Auswahldaten'!$A$16)=TRUE,TRUE,FALSE)</f>
        <v>0</v>
      </c>
      <c r="AL43" t="b" s="377">
        <f>IF(AND(ISERROR(SEARCH("H317",J43))=FALSE,H43='Auswahldaten'!$A$21)=TRUE,TRUE,FALSE)</f>
        <v>0</v>
      </c>
      <c r="AM43" t="b" s="377">
        <f>IF(AND(ISERROR(SEARCH("H334",J43))=FALSE,H43='Auswahldaten'!$A$21)=TRUE,TRUE,FALSE)</f>
        <v>0</v>
      </c>
      <c r="AN43" t="b" s="385">
        <f>IF(ISERROR(SEARCH("H351",J43))=TRUE,FALSE,TRUE)</f>
        <v>0</v>
      </c>
      <c r="AO43" s="142"/>
      <c r="AP43" s="377">
        <f>L43</f>
        <v>0</v>
      </c>
      <c r="AQ43" t="b" s="385">
        <f>IF(AND(H43='Auswahldaten'!A$20,OR(L43='Auswahldaten'!A$52,L43='Auswahldaten'!A$53)),TRUE,FALSE)</f>
        <v>0</v>
      </c>
      <c r="AR43" s="34">
        <f>IF(K43='Auswahldaten'!$A$61,1,0)</f>
        <v>0</v>
      </c>
      <c r="AS43" s="13"/>
      <c r="AT43" s="13"/>
      <c r="AU43" s="13"/>
      <c r="AV43" s="13"/>
      <c r="AW43" s="14"/>
    </row>
    <row r="44" ht="15.75" customHeight="1">
      <c r="A44" s="371">
        <v>33</v>
      </c>
      <c r="B44" s="293"/>
      <c r="C44" s="294"/>
      <c r="D44" t="s" s="378">
        <f>IF(C44="","",VLOOKUP(C44,'Összetétel'!$B$13:$E$61,4,FALSE))</f>
      </c>
      <c r="E44" s="288"/>
      <c r="F44" s="288">
        <f>IF(D44="",0,(E44*D44/100))</f>
        <v>0</v>
      </c>
      <c r="G44" s="378"/>
      <c r="H44" s="294"/>
      <c r="I44" t="s" s="378">
        <f>IF(F44&lt;0.0000000000001,"",F44)</f>
      </c>
      <c r="J44" s="378"/>
      <c r="K44" s="294"/>
      <c r="L44" s="379"/>
      <c r="M44" s="380"/>
      <c r="N44" s="379"/>
      <c r="O44" s="295"/>
      <c r="P44" s="295"/>
      <c r="Q44" t="s" s="381">
        <f>IF(B44="","",IF(OR(H44='Fordítások'!$C$70,H44='Fordítások'!$B$70),"Y","N"))</f>
      </c>
      <c r="R44" t="s" s="381">
        <f>IF(NOT(ISERROR(SEARCH("400",J44,1))),"Y","N")</f>
        <v>257</v>
      </c>
      <c r="S44" t="s" s="381">
        <f>IF(NOT(ISERROR(SEARCH("412",J44,1))),"Y","N")</f>
        <v>257</v>
      </c>
      <c r="T44" t="s" s="381">
        <f>IF(NOT(ISERROR(SEARCH("412",K44,1))),"Y","N")</f>
        <v>257</v>
      </c>
      <c r="U44" s="295"/>
      <c r="V44" s="382"/>
      <c r="W44" s="355"/>
      <c r="X44" s="247"/>
      <c r="Y44" s="297">
        <f>IF(B44="",0,Y43+1)</f>
        <v>0</v>
      </c>
      <c r="Z44" s="237"/>
      <c r="AA44" t="b" s="384">
        <f>IF(H44='Auswahldaten'!$A$16,TRUE,FALSE)</f>
        <v>0</v>
      </c>
      <c r="AB44" t="b" s="377">
        <f>IF('Alapanyagok_DID'!O44="R",TRUE,FALSE)</f>
        <v>0</v>
      </c>
      <c r="AC44" t="b" s="377">
        <f>IF(AND(AA44=TRUE,AB44=TRUE),TRUE,FALSE)</f>
        <v>0</v>
      </c>
      <c r="AD44" t="b" s="377">
        <f>IF('Alapanyagok_DID'!K44='Auswahldaten'!$A$12,TRUE,FALSE)</f>
        <v>0</v>
      </c>
      <c r="AE44" t="b" s="377">
        <f>IF(AND(AA44=TRUE,AD44=TRUE),TRUE,FALSE)</f>
        <v>0</v>
      </c>
      <c r="AF44" t="b" s="377">
        <f>IF(AND(AA44=TRUE,'Alapanyagok_DID'!E44='DID List'!$A$7),TRUE,FALSE)</f>
        <v>0</v>
      </c>
      <c r="AG44" t="b" s="377">
        <f>IF(AND(O44='Auswahldaten'!$A$12,'Alapanyagok_DID'!F44='DID List'!$A$7),TRUE,FALSE)</f>
        <v>0</v>
      </c>
      <c r="AH44" t="b" s="377">
        <f>IF('Alapanyagok_DID'!F44='DID List'!$A$7,TRUE,FALSE)</f>
        <v>0</v>
      </c>
      <c r="AI44" t="b" s="377">
        <f>IF(P44='Auswahldaten'!$A$12,TRUE,FALSE)</f>
        <v>0</v>
      </c>
      <c r="AJ44" t="b" s="377">
        <f>IF(AND(ISERROR(SEARCH("H400",J44))=FALSE,H44='Auswahldaten'!$A$16)=TRUE,TRUE,FALSE)</f>
        <v>0</v>
      </c>
      <c r="AK44" t="b" s="377">
        <f>IF(AND(ISERROR(SEARCH($AK$11,J44))=FALSE,H44='Auswahldaten'!$A$16)=TRUE,TRUE,FALSE)</f>
        <v>0</v>
      </c>
      <c r="AL44" t="b" s="377">
        <f>IF(AND(ISERROR(SEARCH("H317",J44))=FALSE,H44='Auswahldaten'!$A$21)=TRUE,TRUE,FALSE)</f>
        <v>0</v>
      </c>
      <c r="AM44" t="b" s="377">
        <f>IF(AND(ISERROR(SEARCH("H334",J44))=FALSE,H44='Auswahldaten'!$A$21)=TRUE,TRUE,FALSE)</f>
        <v>0</v>
      </c>
      <c r="AN44" t="b" s="385">
        <f>IF(ISERROR(SEARCH("H351",J44))=TRUE,FALSE,TRUE)</f>
        <v>0</v>
      </c>
      <c r="AO44" s="142"/>
      <c r="AP44" s="377">
        <f>L44</f>
        <v>0</v>
      </c>
      <c r="AQ44" t="b" s="385">
        <f>IF(AND(H44='Auswahldaten'!A$20,OR(L44='Auswahldaten'!A$52,L44='Auswahldaten'!A$53)),TRUE,FALSE)</f>
        <v>0</v>
      </c>
      <c r="AR44" s="34">
        <f>IF(K44='Auswahldaten'!$A$61,1,0)</f>
        <v>0</v>
      </c>
      <c r="AS44" s="13"/>
      <c r="AT44" s="13"/>
      <c r="AU44" s="13"/>
      <c r="AV44" s="13"/>
      <c r="AW44" s="14"/>
    </row>
    <row r="45" ht="15.75" customHeight="1">
      <c r="A45" s="371">
        <v>34</v>
      </c>
      <c r="B45" s="293"/>
      <c r="C45" s="294"/>
      <c r="D45" t="s" s="378">
        <f>IF(C45="","",VLOOKUP(C45,'Összetétel'!$B$13:$E$61,4,FALSE))</f>
      </c>
      <c r="E45" s="288"/>
      <c r="F45" s="288">
        <f>IF(D45="",0,(E45*D45/100))</f>
        <v>0</v>
      </c>
      <c r="G45" s="378"/>
      <c r="H45" s="294"/>
      <c r="I45" t="s" s="378">
        <f>IF(F45&lt;0.0000000000001,"",F45)</f>
      </c>
      <c r="J45" s="378"/>
      <c r="K45" s="294"/>
      <c r="L45" s="379"/>
      <c r="M45" s="380"/>
      <c r="N45" s="379"/>
      <c r="O45" s="295"/>
      <c r="P45" s="295"/>
      <c r="Q45" t="s" s="381">
        <f>IF(B45="","",IF(OR(H45='Fordítások'!$C$70,H45='Fordítások'!$B$70),"Y","N"))</f>
      </c>
      <c r="R45" t="s" s="381">
        <f>IF(NOT(ISERROR(SEARCH("400",J45,1))),"Y","N")</f>
        <v>257</v>
      </c>
      <c r="S45" t="s" s="381">
        <f>IF(NOT(ISERROR(SEARCH("412",J45,1))),"Y","N")</f>
        <v>257</v>
      </c>
      <c r="T45" t="s" s="381">
        <f>IF(NOT(ISERROR(SEARCH("412",K45,1))),"Y","N")</f>
        <v>257</v>
      </c>
      <c r="U45" s="295"/>
      <c r="V45" s="382"/>
      <c r="W45" s="355"/>
      <c r="X45" s="247"/>
      <c r="Y45" s="297">
        <f>IF(B45="",0,Y44+1)</f>
        <v>0</v>
      </c>
      <c r="Z45" s="237"/>
      <c r="AA45" t="b" s="384">
        <f>IF(H45='Auswahldaten'!$A$16,TRUE,FALSE)</f>
        <v>0</v>
      </c>
      <c r="AB45" t="b" s="377">
        <f>IF('Alapanyagok_DID'!O45="R",TRUE,FALSE)</f>
        <v>0</v>
      </c>
      <c r="AC45" t="b" s="377">
        <f>IF(AND(AA45=TRUE,AB45=TRUE),TRUE,FALSE)</f>
        <v>0</v>
      </c>
      <c r="AD45" t="b" s="377">
        <f>IF('Alapanyagok_DID'!K45='Auswahldaten'!$A$12,TRUE,FALSE)</f>
        <v>0</v>
      </c>
      <c r="AE45" t="b" s="377">
        <f>IF(AND(AA45=TRUE,AD45=TRUE),TRUE,FALSE)</f>
        <v>0</v>
      </c>
      <c r="AF45" t="b" s="377">
        <f>IF(AND(AA45=TRUE,'Alapanyagok_DID'!E45='DID List'!$A$7),TRUE,FALSE)</f>
        <v>0</v>
      </c>
      <c r="AG45" t="b" s="377">
        <f>IF(AND(O45='Auswahldaten'!$A$12,'Alapanyagok_DID'!F45='DID List'!$A$7),TRUE,FALSE)</f>
        <v>0</v>
      </c>
      <c r="AH45" t="b" s="377">
        <f>IF('Alapanyagok_DID'!F45='DID List'!$A$7,TRUE,FALSE)</f>
        <v>0</v>
      </c>
      <c r="AI45" t="b" s="377">
        <f>IF(P45='Auswahldaten'!$A$12,TRUE,FALSE)</f>
        <v>0</v>
      </c>
      <c r="AJ45" t="b" s="377">
        <f>IF(AND(ISERROR(SEARCH("H400",J45))=FALSE,H45='Auswahldaten'!$A$16)=TRUE,TRUE,FALSE)</f>
        <v>0</v>
      </c>
      <c r="AK45" t="b" s="377">
        <f>IF(AND(ISERROR(SEARCH($AK$11,J45))=FALSE,H45='Auswahldaten'!$A$16)=TRUE,TRUE,FALSE)</f>
        <v>0</v>
      </c>
      <c r="AL45" t="b" s="377">
        <f>IF(AND(ISERROR(SEARCH("H317",J45))=FALSE,H45='Auswahldaten'!$A$21)=TRUE,TRUE,FALSE)</f>
        <v>0</v>
      </c>
      <c r="AM45" t="b" s="377">
        <f>IF(AND(ISERROR(SEARCH("H334",J45))=FALSE,H45='Auswahldaten'!$A$21)=TRUE,TRUE,FALSE)</f>
        <v>0</v>
      </c>
      <c r="AN45" t="b" s="385">
        <f>IF(ISERROR(SEARCH("H351",J45))=TRUE,FALSE,TRUE)</f>
        <v>0</v>
      </c>
      <c r="AO45" s="142"/>
      <c r="AP45" s="377">
        <f>L45</f>
        <v>0</v>
      </c>
      <c r="AQ45" t="b" s="385">
        <f>IF(AND(H45='Auswahldaten'!A$20,OR(L45='Auswahldaten'!A$52,L45='Auswahldaten'!A$53)),TRUE,FALSE)</f>
        <v>0</v>
      </c>
      <c r="AR45" s="34">
        <f>IF(K45='Auswahldaten'!$A$61,1,0)</f>
        <v>0</v>
      </c>
      <c r="AS45" s="13"/>
      <c r="AT45" s="13"/>
      <c r="AU45" s="13"/>
      <c r="AV45" s="13"/>
      <c r="AW45" s="14"/>
    </row>
    <row r="46" ht="15.75" customHeight="1">
      <c r="A46" s="371">
        <v>35</v>
      </c>
      <c r="B46" s="293"/>
      <c r="C46" s="294"/>
      <c r="D46" t="s" s="378">
        <f>IF(C46="","",VLOOKUP(C46,'Összetétel'!$B$13:$E$61,4,FALSE))</f>
      </c>
      <c r="E46" s="288"/>
      <c r="F46" s="288">
        <f>IF(D46="",0,(E46*D46/100))</f>
        <v>0</v>
      </c>
      <c r="G46" s="378"/>
      <c r="H46" s="294"/>
      <c r="I46" t="s" s="378">
        <f>IF(F46&lt;0.0000000000001,"",F46)</f>
      </c>
      <c r="J46" s="378"/>
      <c r="K46" s="294"/>
      <c r="L46" s="379"/>
      <c r="M46" s="380"/>
      <c r="N46" s="379"/>
      <c r="O46" s="295"/>
      <c r="P46" s="295"/>
      <c r="Q46" t="s" s="381">
        <f>IF(B46="","",IF(OR(H46='Fordítások'!$C$70,H46='Fordítások'!$B$70),"Y","N"))</f>
      </c>
      <c r="R46" t="s" s="381">
        <f>IF(NOT(ISERROR(SEARCH("400",J46,1))),"Y","N")</f>
        <v>257</v>
      </c>
      <c r="S46" t="s" s="381">
        <f>IF(NOT(ISERROR(SEARCH("412",J46,1))),"Y","N")</f>
        <v>257</v>
      </c>
      <c r="T46" t="s" s="381">
        <f>IF(NOT(ISERROR(SEARCH("412",K46,1))),"Y","N")</f>
        <v>257</v>
      </c>
      <c r="U46" s="295"/>
      <c r="V46" s="382"/>
      <c r="W46" s="355"/>
      <c r="X46" s="247"/>
      <c r="Y46" s="297">
        <f>IF(B46="",0,Y45+1)</f>
        <v>0</v>
      </c>
      <c r="Z46" s="237"/>
      <c r="AA46" t="b" s="384">
        <f>IF(H46='Auswahldaten'!$A$16,TRUE,FALSE)</f>
        <v>0</v>
      </c>
      <c r="AB46" t="b" s="377">
        <f>IF('Alapanyagok_DID'!O46="R",TRUE,FALSE)</f>
        <v>0</v>
      </c>
      <c r="AC46" t="b" s="377">
        <f>IF(AND(AA46=TRUE,AB46=TRUE),TRUE,FALSE)</f>
        <v>0</v>
      </c>
      <c r="AD46" t="b" s="377">
        <f>IF('Alapanyagok_DID'!K46='Auswahldaten'!$A$12,TRUE,FALSE)</f>
        <v>0</v>
      </c>
      <c r="AE46" t="b" s="377">
        <f>IF(AND(AA46=TRUE,AD46=TRUE),TRUE,FALSE)</f>
        <v>0</v>
      </c>
      <c r="AF46" t="b" s="377">
        <f>IF(AND(AA46=TRUE,'Alapanyagok_DID'!E46='DID List'!$A$7),TRUE,FALSE)</f>
        <v>0</v>
      </c>
      <c r="AG46" t="b" s="377">
        <f>IF(AND(O46='Auswahldaten'!$A$12,'Alapanyagok_DID'!F46='DID List'!$A$7),TRUE,FALSE)</f>
        <v>0</v>
      </c>
      <c r="AH46" t="b" s="377">
        <f>IF('Alapanyagok_DID'!F46='DID List'!$A$7,TRUE,FALSE)</f>
        <v>0</v>
      </c>
      <c r="AI46" t="b" s="377">
        <f>IF(P46='Auswahldaten'!$A$12,TRUE,FALSE)</f>
        <v>0</v>
      </c>
      <c r="AJ46" t="b" s="377">
        <f>IF(AND(ISERROR(SEARCH("H400",J46))=FALSE,H46='Auswahldaten'!$A$16)=TRUE,TRUE,FALSE)</f>
        <v>0</v>
      </c>
      <c r="AK46" t="b" s="377">
        <f>IF(AND(ISERROR(SEARCH($AK$11,J46))=FALSE,H46='Auswahldaten'!$A$16)=TRUE,TRUE,FALSE)</f>
        <v>0</v>
      </c>
      <c r="AL46" t="b" s="377">
        <f>IF(AND(ISERROR(SEARCH("H317",J46))=FALSE,H46='Auswahldaten'!$A$21)=TRUE,TRUE,FALSE)</f>
        <v>0</v>
      </c>
      <c r="AM46" t="b" s="377">
        <f>IF(AND(ISERROR(SEARCH("H334",J46))=FALSE,H46='Auswahldaten'!$A$21)=TRUE,TRUE,FALSE)</f>
        <v>0</v>
      </c>
      <c r="AN46" t="b" s="385">
        <f>IF(ISERROR(SEARCH("H351",J46))=TRUE,FALSE,TRUE)</f>
        <v>0</v>
      </c>
      <c r="AO46" s="142"/>
      <c r="AP46" s="377">
        <f>L46</f>
        <v>0</v>
      </c>
      <c r="AQ46" t="b" s="385">
        <f>IF(AND(H46='Auswahldaten'!A$20,OR(L46='Auswahldaten'!A$52,L46='Auswahldaten'!A$53)),TRUE,FALSE)</f>
        <v>0</v>
      </c>
      <c r="AR46" s="34">
        <f>IF(K46='Auswahldaten'!$A$61,1,0)</f>
        <v>0</v>
      </c>
      <c r="AS46" s="13"/>
      <c r="AT46" s="13"/>
      <c r="AU46" s="13"/>
      <c r="AV46" s="13"/>
      <c r="AW46" s="14"/>
    </row>
    <row r="47" ht="15.75" customHeight="1">
      <c r="A47" s="371">
        <v>36</v>
      </c>
      <c r="B47" s="293"/>
      <c r="C47" s="294"/>
      <c r="D47" t="s" s="378">
        <f>IF(C47="","",VLOOKUP(C47,'Összetétel'!$B$13:$E$61,4,FALSE))</f>
      </c>
      <c r="E47" s="288"/>
      <c r="F47" s="288">
        <f>IF(D47="",0,(E47*D47/100))</f>
        <v>0</v>
      </c>
      <c r="G47" s="378"/>
      <c r="H47" s="294"/>
      <c r="I47" t="s" s="378">
        <f>IF(F47&lt;0.0000000000001,"",F47)</f>
      </c>
      <c r="J47" s="378"/>
      <c r="K47" s="294"/>
      <c r="L47" s="379"/>
      <c r="M47" s="380"/>
      <c r="N47" s="379"/>
      <c r="O47" s="295"/>
      <c r="P47" s="295"/>
      <c r="Q47" t="s" s="381">
        <f>IF(B47="","",IF(OR(H47='Fordítások'!$C$70,H47='Fordítások'!$B$70),"Y","N"))</f>
      </c>
      <c r="R47" t="s" s="381">
        <f>IF(NOT(ISERROR(SEARCH("400",J47,1))),"Y","N")</f>
        <v>257</v>
      </c>
      <c r="S47" t="s" s="381">
        <f>IF(NOT(ISERROR(SEARCH("412",J47,1))),"Y","N")</f>
        <v>257</v>
      </c>
      <c r="T47" t="s" s="381">
        <f>IF(NOT(ISERROR(SEARCH("412",K47,1))),"Y","N")</f>
        <v>257</v>
      </c>
      <c r="U47" s="295"/>
      <c r="V47" s="382"/>
      <c r="W47" s="355"/>
      <c r="X47" s="247"/>
      <c r="Y47" s="297">
        <f>IF(B47="",0,Y46+1)</f>
        <v>0</v>
      </c>
      <c r="Z47" s="237"/>
      <c r="AA47" t="b" s="384">
        <f>IF(H47='Auswahldaten'!$A$16,TRUE,FALSE)</f>
        <v>0</v>
      </c>
      <c r="AB47" t="b" s="377">
        <f>IF('Alapanyagok_DID'!O47="R",TRUE,FALSE)</f>
        <v>0</v>
      </c>
      <c r="AC47" t="b" s="377">
        <f>IF(AND(AA47=TRUE,AB47=TRUE),TRUE,FALSE)</f>
        <v>0</v>
      </c>
      <c r="AD47" t="b" s="377">
        <f>IF('Alapanyagok_DID'!K47='Auswahldaten'!$A$12,TRUE,FALSE)</f>
        <v>0</v>
      </c>
      <c r="AE47" t="b" s="377">
        <f>IF(AND(AA47=TRUE,AD47=TRUE),TRUE,FALSE)</f>
        <v>0</v>
      </c>
      <c r="AF47" t="b" s="377">
        <f>IF(AND(AA47=TRUE,'Alapanyagok_DID'!E47='DID List'!$A$7),TRUE,FALSE)</f>
        <v>0</v>
      </c>
      <c r="AG47" t="b" s="377">
        <f>IF(AND(O47='Auswahldaten'!$A$12,'Alapanyagok_DID'!F47='DID List'!$A$7),TRUE,FALSE)</f>
        <v>0</v>
      </c>
      <c r="AH47" t="b" s="377">
        <f>IF('Alapanyagok_DID'!F47='DID List'!$A$7,TRUE,FALSE)</f>
        <v>0</v>
      </c>
      <c r="AI47" t="b" s="377">
        <f>IF(P47='Auswahldaten'!$A$12,TRUE,FALSE)</f>
        <v>0</v>
      </c>
      <c r="AJ47" t="b" s="377">
        <f>IF(AND(ISERROR(SEARCH("H400",J47))=FALSE,H47='Auswahldaten'!$A$16)=TRUE,TRUE,FALSE)</f>
        <v>0</v>
      </c>
      <c r="AK47" t="b" s="377">
        <f>IF(AND(ISERROR(SEARCH($AK$11,J47))=FALSE,H47='Auswahldaten'!$A$16)=TRUE,TRUE,FALSE)</f>
        <v>0</v>
      </c>
      <c r="AL47" t="b" s="377">
        <f>IF(AND(ISERROR(SEARCH("H317",J47))=FALSE,H47='Auswahldaten'!$A$21)=TRUE,TRUE,FALSE)</f>
        <v>0</v>
      </c>
      <c r="AM47" t="b" s="377">
        <f>IF(AND(ISERROR(SEARCH("H334",J47))=FALSE,H47='Auswahldaten'!$A$21)=TRUE,TRUE,FALSE)</f>
        <v>0</v>
      </c>
      <c r="AN47" t="b" s="385">
        <f>IF(ISERROR(SEARCH("H351",J47))=TRUE,FALSE,TRUE)</f>
        <v>0</v>
      </c>
      <c r="AO47" s="142"/>
      <c r="AP47" s="377">
        <f>L47</f>
        <v>0</v>
      </c>
      <c r="AQ47" t="b" s="385">
        <f>IF(AND(H47='Auswahldaten'!A$20,OR(L47='Auswahldaten'!A$52,L47='Auswahldaten'!A$53)),TRUE,FALSE)</f>
        <v>0</v>
      </c>
      <c r="AR47" s="34">
        <f>IF(K47='Auswahldaten'!$A$61,1,0)</f>
        <v>0</v>
      </c>
      <c r="AS47" s="13"/>
      <c r="AT47" s="13"/>
      <c r="AU47" s="13"/>
      <c r="AV47" s="13"/>
      <c r="AW47" s="14"/>
    </row>
    <row r="48" ht="15.75" customHeight="1">
      <c r="A48" s="371">
        <v>37</v>
      </c>
      <c r="B48" s="293"/>
      <c r="C48" s="294"/>
      <c r="D48" t="s" s="378">
        <f>IF(C48="","",VLOOKUP(C48,'Összetétel'!$B$13:$E$61,4,FALSE))</f>
      </c>
      <c r="E48" s="288"/>
      <c r="F48" s="288">
        <f>IF(D48="",0,(E48*D48/100))</f>
        <v>0</v>
      </c>
      <c r="G48" s="378"/>
      <c r="H48" s="294"/>
      <c r="I48" t="s" s="378">
        <f>IF(F48&lt;0.0000000000001,"",F48)</f>
      </c>
      <c r="J48" s="378"/>
      <c r="K48" s="294"/>
      <c r="L48" s="379"/>
      <c r="M48" s="380"/>
      <c r="N48" s="379"/>
      <c r="O48" s="295"/>
      <c r="P48" s="295"/>
      <c r="Q48" t="s" s="381">
        <f>IF(B48="","",IF(OR(H48='Fordítások'!$C$70,H48='Fordítások'!$B$70),"Y","N"))</f>
      </c>
      <c r="R48" t="s" s="381">
        <f>IF(NOT(ISERROR(SEARCH("400",J48,1))),"Y","N")</f>
        <v>257</v>
      </c>
      <c r="S48" t="s" s="381">
        <f>IF(NOT(ISERROR(SEARCH("412",J48,1))),"Y","N")</f>
        <v>257</v>
      </c>
      <c r="T48" t="s" s="381">
        <f>IF(NOT(ISERROR(SEARCH("412",K48,1))),"Y","N")</f>
        <v>257</v>
      </c>
      <c r="U48" s="295"/>
      <c r="V48" s="382"/>
      <c r="W48" s="355"/>
      <c r="X48" s="247"/>
      <c r="Y48" s="297">
        <f>IF(B48="",0,Y47+1)</f>
        <v>0</v>
      </c>
      <c r="Z48" s="237"/>
      <c r="AA48" t="b" s="384">
        <f>IF(H48='Auswahldaten'!$A$16,TRUE,FALSE)</f>
        <v>0</v>
      </c>
      <c r="AB48" t="b" s="377">
        <f>IF('Alapanyagok_DID'!O48="R",TRUE,FALSE)</f>
        <v>0</v>
      </c>
      <c r="AC48" t="b" s="377">
        <f>IF(AND(AA48=TRUE,AB48=TRUE),TRUE,FALSE)</f>
        <v>0</v>
      </c>
      <c r="AD48" t="b" s="377">
        <f>IF('Alapanyagok_DID'!K48='Auswahldaten'!$A$12,TRUE,FALSE)</f>
        <v>0</v>
      </c>
      <c r="AE48" t="b" s="377">
        <f>IF(AND(AA48=TRUE,AD48=TRUE),TRUE,FALSE)</f>
        <v>0</v>
      </c>
      <c r="AF48" t="b" s="377">
        <f>IF(AND(AA48=TRUE,'Alapanyagok_DID'!E48='DID List'!$A$7),TRUE,FALSE)</f>
        <v>0</v>
      </c>
      <c r="AG48" t="b" s="377">
        <f>IF(AND(O48='Auswahldaten'!$A$12,'Alapanyagok_DID'!F48='DID List'!$A$7),TRUE,FALSE)</f>
        <v>0</v>
      </c>
      <c r="AH48" t="b" s="377">
        <f>IF('Alapanyagok_DID'!F48='DID List'!$A$7,TRUE,FALSE)</f>
        <v>0</v>
      </c>
      <c r="AI48" t="b" s="377">
        <f>IF(P48='Auswahldaten'!$A$12,TRUE,FALSE)</f>
        <v>0</v>
      </c>
      <c r="AJ48" t="b" s="377">
        <f>IF(AND(ISERROR(SEARCH("H400",J48))=FALSE,H48='Auswahldaten'!$A$16)=TRUE,TRUE,FALSE)</f>
        <v>0</v>
      </c>
      <c r="AK48" t="b" s="377">
        <f>IF(AND(ISERROR(SEARCH($AK$11,J48))=FALSE,H48='Auswahldaten'!$A$16)=TRUE,TRUE,FALSE)</f>
        <v>0</v>
      </c>
      <c r="AL48" t="b" s="377">
        <f>IF(AND(ISERROR(SEARCH("H317",J48))=FALSE,H48='Auswahldaten'!$A$21)=TRUE,TRUE,FALSE)</f>
        <v>0</v>
      </c>
      <c r="AM48" t="b" s="377">
        <f>IF(AND(ISERROR(SEARCH("H334",J48))=FALSE,H48='Auswahldaten'!$A$21)=TRUE,TRUE,FALSE)</f>
        <v>0</v>
      </c>
      <c r="AN48" t="b" s="385">
        <f>IF(ISERROR(SEARCH("H351",J48))=TRUE,FALSE,TRUE)</f>
        <v>0</v>
      </c>
      <c r="AO48" s="142"/>
      <c r="AP48" s="377">
        <f>L48</f>
        <v>0</v>
      </c>
      <c r="AQ48" t="b" s="385">
        <f>IF(AND(H48='Auswahldaten'!A$20,OR(L48='Auswahldaten'!A$52,L48='Auswahldaten'!A$53)),TRUE,FALSE)</f>
        <v>0</v>
      </c>
      <c r="AR48" s="34">
        <f>IF(K48='Auswahldaten'!$A$61,1,0)</f>
        <v>0</v>
      </c>
      <c r="AS48" s="13"/>
      <c r="AT48" s="13"/>
      <c r="AU48" s="13"/>
      <c r="AV48" s="13"/>
      <c r="AW48" s="14"/>
    </row>
    <row r="49" ht="15.75" customHeight="1">
      <c r="A49" s="371">
        <v>38</v>
      </c>
      <c r="B49" s="293"/>
      <c r="C49" s="294"/>
      <c r="D49" t="s" s="378">
        <f>IF(C49="","",VLOOKUP(C49,'Összetétel'!$B$13:$E$61,4,FALSE))</f>
      </c>
      <c r="E49" s="288"/>
      <c r="F49" s="288">
        <f>IF(D49="",0,(E49*D49/100))</f>
        <v>0</v>
      </c>
      <c r="G49" s="378"/>
      <c r="H49" s="294"/>
      <c r="I49" t="s" s="378">
        <f>IF(F49&lt;0.0000000000001,"",F49)</f>
      </c>
      <c r="J49" s="378"/>
      <c r="K49" s="294"/>
      <c r="L49" s="379"/>
      <c r="M49" s="380"/>
      <c r="N49" s="379"/>
      <c r="O49" s="295"/>
      <c r="P49" s="295"/>
      <c r="Q49" t="s" s="381">
        <f>IF(B49="","",IF(OR(H49='Fordítások'!$C$70,H49='Fordítások'!$B$70),"Y","N"))</f>
      </c>
      <c r="R49" t="s" s="381">
        <f>IF(NOT(ISERROR(SEARCH("400",J49,1))),"Y","N")</f>
        <v>257</v>
      </c>
      <c r="S49" t="s" s="381">
        <f>IF(NOT(ISERROR(SEARCH("412",J49,1))),"Y","N")</f>
        <v>257</v>
      </c>
      <c r="T49" t="s" s="381">
        <f>IF(NOT(ISERROR(SEARCH("412",K49,1))),"Y","N")</f>
        <v>257</v>
      </c>
      <c r="U49" s="295"/>
      <c r="V49" s="382"/>
      <c r="W49" s="355"/>
      <c r="X49" s="247"/>
      <c r="Y49" s="297">
        <f>IF(B49="",0,Y48+1)</f>
        <v>0</v>
      </c>
      <c r="Z49" s="237"/>
      <c r="AA49" t="b" s="384">
        <f>IF(H49='Auswahldaten'!$A$16,TRUE,FALSE)</f>
        <v>0</v>
      </c>
      <c r="AB49" t="b" s="377">
        <f>IF('Alapanyagok_DID'!O49="R",TRUE,FALSE)</f>
        <v>0</v>
      </c>
      <c r="AC49" t="b" s="377">
        <f>IF(AND(AA49=TRUE,AB49=TRUE),TRUE,FALSE)</f>
        <v>0</v>
      </c>
      <c r="AD49" t="b" s="377">
        <f>IF('Alapanyagok_DID'!K49='Auswahldaten'!$A$12,TRUE,FALSE)</f>
        <v>0</v>
      </c>
      <c r="AE49" t="b" s="377">
        <f>IF(AND(AA49=TRUE,AD49=TRUE),TRUE,FALSE)</f>
        <v>0</v>
      </c>
      <c r="AF49" t="b" s="377">
        <f>IF(AND(AA49=TRUE,'Alapanyagok_DID'!E49='DID List'!$A$7),TRUE,FALSE)</f>
        <v>0</v>
      </c>
      <c r="AG49" t="b" s="377">
        <f>IF(AND(O49='Auswahldaten'!$A$12,'Alapanyagok_DID'!F49='DID List'!$A$7),TRUE,FALSE)</f>
        <v>0</v>
      </c>
      <c r="AH49" t="b" s="377">
        <f>IF('Alapanyagok_DID'!F49='DID List'!$A$7,TRUE,FALSE)</f>
        <v>0</v>
      </c>
      <c r="AI49" t="b" s="377">
        <f>IF(P49='Auswahldaten'!$A$12,TRUE,FALSE)</f>
        <v>0</v>
      </c>
      <c r="AJ49" t="b" s="377">
        <f>IF(AND(ISERROR(SEARCH("H400",J49))=FALSE,H49='Auswahldaten'!$A$16)=TRUE,TRUE,FALSE)</f>
        <v>0</v>
      </c>
      <c r="AK49" t="b" s="377">
        <f>IF(AND(ISERROR(SEARCH($AK$11,J49))=FALSE,H49='Auswahldaten'!$A$16)=TRUE,TRUE,FALSE)</f>
        <v>0</v>
      </c>
      <c r="AL49" t="b" s="377">
        <f>IF(AND(ISERROR(SEARCH("H317",J49))=FALSE,H49='Auswahldaten'!$A$21)=TRUE,TRUE,FALSE)</f>
        <v>0</v>
      </c>
      <c r="AM49" t="b" s="377">
        <f>IF(AND(ISERROR(SEARCH("H334",J49))=FALSE,H49='Auswahldaten'!$A$21)=TRUE,TRUE,FALSE)</f>
        <v>0</v>
      </c>
      <c r="AN49" t="b" s="385">
        <f>IF(ISERROR(SEARCH("H351",J49))=TRUE,FALSE,TRUE)</f>
        <v>0</v>
      </c>
      <c r="AO49" s="142"/>
      <c r="AP49" s="377">
        <f>L49</f>
        <v>0</v>
      </c>
      <c r="AQ49" t="b" s="385">
        <f>IF(AND(H49='Auswahldaten'!A$20,OR(L49='Auswahldaten'!A$52,L49='Auswahldaten'!A$53)),TRUE,FALSE)</f>
        <v>0</v>
      </c>
      <c r="AR49" s="34">
        <f>IF(K49='Auswahldaten'!$A$61,1,0)</f>
        <v>0</v>
      </c>
      <c r="AS49" s="13"/>
      <c r="AT49" s="13"/>
      <c r="AU49" s="13"/>
      <c r="AV49" s="13"/>
      <c r="AW49" s="14"/>
    </row>
    <row r="50" ht="15.75" customHeight="1">
      <c r="A50" s="371">
        <v>39</v>
      </c>
      <c r="B50" s="293"/>
      <c r="C50" s="294"/>
      <c r="D50" t="s" s="378">
        <f>IF(C50="","",VLOOKUP(C50,'Összetétel'!$B$13:$E$61,4,FALSE))</f>
      </c>
      <c r="E50" s="288"/>
      <c r="F50" s="288">
        <f>IF(D50="",0,(E50*D50/100))</f>
        <v>0</v>
      </c>
      <c r="G50" s="378"/>
      <c r="H50" s="294"/>
      <c r="I50" t="s" s="378">
        <f>IF(F50&lt;0.0000000000001,"",F50)</f>
      </c>
      <c r="J50" s="378"/>
      <c r="K50" s="294"/>
      <c r="L50" s="379"/>
      <c r="M50" s="380"/>
      <c r="N50" s="379"/>
      <c r="O50" s="295"/>
      <c r="P50" s="295"/>
      <c r="Q50" t="s" s="381">
        <f>IF(B50="","",IF(OR(H50='Fordítások'!$C$70,H50='Fordítások'!$B$70),"Y","N"))</f>
      </c>
      <c r="R50" t="s" s="381">
        <f>IF(NOT(ISERROR(SEARCH("400",J50,1))),"Y","N")</f>
        <v>257</v>
      </c>
      <c r="S50" t="s" s="381">
        <f>IF(NOT(ISERROR(SEARCH("412",J50,1))),"Y","N")</f>
        <v>257</v>
      </c>
      <c r="T50" t="s" s="381">
        <f>IF(NOT(ISERROR(SEARCH("412",K50,1))),"Y","N")</f>
        <v>257</v>
      </c>
      <c r="U50" s="295"/>
      <c r="V50" s="382"/>
      <c r="W50" s="355"/>
      <c r="X50" s="247"/>
      <c r="Y50" s="297">
        <f>IF(B50="",0,Y49+1)</f>
        <v>0</v>
      </c>
      <c r="Z50" s="237"/>
      <c r="AA50" t="b" s="384">
        <f>IF(H50='Auswahldaten'!$A$16,TRUE,FALSE)</f>
        <v>0</v>
      </c>
      <c r="AB50" t="b" s="377">
        <f>IF('Alapanyagok_DID'!O50="R",TRUE,FALSE)</f>
        <v>0</v>
      </c>
      <c r="AC50" t="b" s="377">
        <f>IF(AND(AA50=TRUE,AB50=TRUE),TRUE,FALSE)</f>
        <v>0</v>
      </c>
      <c r="AD50" t="b" s="377">
        <f>IF('Alapanyagok_DID'!K50='Auswahldaten'!$A$12,TRUE,FALSE)</f>
        <v>0</v>
      </c>
      <c r="AE50" t="b" s="377">
        <f>IF(AND(AA50=TRUE,AD50=TRUE),TRUE,FALSE)</f>
        <v>0</v>
      </c>
      <c r="AF50" t="b" s="377">
        <f>IF(AND(AA50=TRUE,'Alapanyagok_DID'!E50='DID List'!$A$7),TRUE,FALSE)</f>
        <v>0</v>
      </c>
      <c r="AG50" t="b" s="377">
        <f>IF(AND(O50='Auswahldaten'!$A$12,'Alapanyagok_DID'!F50='DID List'!$A$7),TRUE,FALSE)</f>
        <v>0</v>
      </c>
      <c r="AH50" t="b" s="377">
        <f>IF('Alapanyagok_DID'!F50='DID List'!$A$7,TRUE,FALSE)</f>
        <v>0</v>
      </c>
      <c r="AI50" t="b" s="377">
        <f>IF(P50='Auswahldaten'!$A$12,TRUE,FALSE)</f>
        <v>0</v>
      </c>
      <c r="AJ50" t="b" s="377">
        <f>IF(AND(ISERROR(SEARCH("H400",J50))=FALSE,H50='Auswahldaten'!$A$16)=TRUE,TRUE,FALSE)</f>
        <v>0</v>
      </c>
      <c r="AK50" t="b" s="377">
        <f>IF(AND(ISERROR(SEARCH($AK$11,J50))=FALSE,H50='Auswahldaten'!$A$16)=TRUE,TRUE,FALSE)</f>
        <v>0</v>
      </c>
      <c r="AL50" t="b" s="377">
        <f>IF(AND(ISERROR(SEARCH("H317",J50))=FALSE,H50='Auswahldaten'!$A$21)=TRUE,TRUE,FALSE)</f>
        <v>0</v>
      </c>
      <c r="AM50" t="b" s="377">
        <f>IF(AND(ISERROR(SEARCH("H334",J50))=FALSE,H50='Auswahldaten'!$A$21)=TRUE,TRUE,FALSE)</f>
        <v>0</v>
      </c>
      <c r="AN50" t="b" s="385">
        <f>IF(ISERROR(SEARCH("H351",J50))=TRUE,FALSE,TRUE)</f>
        <v>0</v>
      </c>
      <c r="AO50" s="142"/>
      <c r="AP50" s="377">
        <f>L50</f>
        <v>0</v>
      </c>
      <c r="AQ50" t="b" s="385">
        <f>IF(AND(H50='Auswahldaten'!A$20,OR(L50='Auswahldaten'!A$52,L50='Auswahldaten'!A$53)),TRUE,FALSE)</f>
        <v>0</v>
      </c>
      <c r="AR50" s="34">
        <f>IF(K50='Auswahldaten'!$A$61,1,0)</f>
        <v>0</v>
      </c>
      <c r="AS50" s="13"/>
      <c r="AT50" s="13"/>
      <c r="AU50" s="13"/>
      <c r="AV50" s="13"/>
      <c r="AW50" s="14"/>
    </row>
    <row r="51" ht="15.75" customHeight="1">
      <c r="A51" s="371">
        <v>40</v>
      </c>
      <c r="B51" s="293"/>
      <c r="C51" s="294"/>
      <c r="D51" t="s" s="378">
        <f>IF(C51="","",VLOOKUP(C51,'Összetétel'!$B$13:$E$61,4,FALSE))</f>
      </c>
      <c r="E51" s="288"/>
      <c r="F51" s="288">
        <f>IF(D51="",0,(E51*D51/100))</f>
        <v>0</v>
      </c>
      <c r="G51" s="378"/>
      <c r="H51" s="294"/>
      <c r="I51" t="s" s="378">
        <f>IF(F51&lt;0.0000000000001,"",F51)</f>
      </c>
      <c r="J51" s="378"/>
      <c r="K51" s="294"/>
      <c r="L51" s="379"/>
      <c r="M51" s="380"/>
      <c r="N51" s="379"/>
      <c r="O51" s="295"/>
      <c r="P51" s="295"/>
      <c r="Q51" t="s" s="381">
        <f>IF(B51="","",IF(OR(H51='Fordítások'!$C$70,H51='Fordítások'!$B$70),"Y","N"))</f>
      </c>
      <c r="R51" t="s" s="381">
        <f>IF(NOT(ISERROR(SEARCH("400",J51,1))),"Y","N")</f>
        <v>257</v>
      </c>
      <c r="S51" t="s" s="381">
        <f>IF(NOT(ISERROR(SEARCH("412",J51,1))),"Y","N")</f>
        <v>257</v>
      </c>
      <c r="T51" t="s" s="381">
        <f>IF(NOT(ISERROR(SEARCH("412",K51,1))),"Y","N")</f>
        <v>257</v>
      </c>
      <c r="U51" s="295"/>
      <c r="V51" s="382"/>
      <c r="W51" s="355"/>
      <c r="X51" s="247"/>
      <c r="Y51" s="297">
        <f>IF(B51="",0,Y50+1)</f>
        <v>0</v>
      </c>
      <c r="Z51" s="237"/>
      <c r="AA51" t="b" s="384">
        <f>IF(H51='Auswahldaten'!$A$16,TRUE,FALSE)</f>
        <v>0</v>
      </c>
      <c r="AB51" t="b" s="377">
        <f>IF('Alapanyagok_DID'!O51="R",TRUE,FALSE)</f>
        <v>0</v>
      </c>
      <c r="AC51" t="b" s="377">
        <f>IF(AND(AA51=TRUE,AB51=TRUE),TRUE,FALSE)</f>
        <v>0</v>
      </c>
      <c r="AD51" t="b" s="377">
        <f>IF('Alapanyagok_DID'!K51='Auswahldaten'!$A$12,TRUE,FALSE)</f>
        <v>0</v>
      </c>
      <c r="AE51" t="b" s="377">
        <f>IF(AND(AA51=TRUE,AD51=TRUE),TRUE,FALSE)</f>
        <v>0</v>
      </c>
      <c r="AF51" t="b" s="377">
        <f>IF(AND(AA51=TRUE,'Alapanyagok_DID'!E51='DID List'!$A$7),TRUE,FALSE)</f>
        <v>0</v>
      </c>
      <c r="AG51" t="b" s="377">
        <f>IF(AND(O51='Auswahldaten'!$A$12,'Alapanyagok_DID'!F51='DID List'!$A$7),TRUE,FALSE)</f>
        <v>0</v>
      </c>
      <c r="AH51" t="b" s="377">
        <f>IF('Alapanyagok_DID'!F51='DID List'!$A$7,TRUE,FALSE)</f>
        <v>0</v>
      </c>
      <c r="AI51" t="b" s="377">
        <f>IF(P51='Auswahldaten'!$A$12,TRUE,FALSE)</f>
        <v>0</v>
      </c>
      <c r="AJ51" t="b" s="377">
        <f>IF(AND(ISERROR(SEARCH("H400",J51))=FALSE,H51='Auswahldaten'!$A$16)=TRUE,TRUE,FALSE)</f>
        <v>0</v>
      </c>
      <c r="AK51" t="b" s="377">
        <f>IF(AND(ISERROR(SEARCH($AK$11,J51))=FALSE,H51='Auswahldaten'!$A$16)=TRUE,TRUE,FALSE)</f>
        <v>0</v>
      </c>
      <c r="AL51" t="b" s="377">
        <f>IF(AND(ISERROR(SEARCH("H317",J51))=FALSE,H51='Auswahldaten'!$A$21)=TRUE,TRUE,FALSE)</f>
        <v>0</v>
      </c>
      <c r="AM51" t="b" s="377">
        <f>IF(AND(ISERROR(SEARCH("H334",J51))=FALSE,H51='Auswahldaten'!$A$21)=TRUE,TRUE,FALSE)</f>
        <v>0</v>
      </c>
      <c r="AN51" t="b" s="385">
        <f>IF(ISERROR(SEARCH("H351",J51))=TRUE,FALSE,TRUE)</f>
        <v>0</v>
      </c>
      <c r="AO51" s="142"/>
      <c r="AP51" s="377">
        <f>L51</f>
        <v>0</v>
      </c>
      <c r="AQ51" t="b" s="385">
        <f>IF(AND(H51='Auswahldaten'!A$20,OR(L51='Auswahldaten'!A$52,L51='Auswahldaten'!A$53)),TRUE,FALSE)</f>
        <v>0</v>
      </c>
      <c r="AR51" s="34">
        <f>IF(K51='Auswahldaten'!$A$61,1,0)</f>
        <v>0</v>
      </c>
      <c r="AS51" s="13"/>
      <c r="AT51" s="13"/>
      <c r="AU51" s="13"/>
      <c r="AV51" s="13"/>
      <c r="AW51" s="14"/>
    </row>
    <row r="52" ht="15.75" customHeight="1">
      <c r="A52" s="371">
        <v>41</v>
      </c>
      <c r="B52" s="293"/>
      <c r="C52" s="294"/>
      <c r="D52" t="s" s="378">
        <f>IF(C52="","",VLOOKUP(C52,'Összetétel'!$B$13:$E$61,4,FALSE))</f>
      </c>
      <c r="E52" s="288"/>
      <c r="F52" s="288">
        <f>IF(D52="",0,(E52*D52/100))</f>
        <v>0</v>
      </c>
      <c r="G52" s="378"/>
      <c r="H52" s="294"/>
      <c r="I52" t="s" s="378">
        <f>IF(F52&lt;0.0000000000001,"",F52)</f>
      </c>
      <c r="J52" s="378"/>
      <c r="K52" s="294"/>
      <c r="L52" s="379"/>
      <c r="M52" s="380"/>
      <c r="N52" s="379"/>
      <c r="O52" s="295"/>
      <c r="P52" s="295"/>
      <c r="Q52" t="s" s="381">
        <f>IF(B52="","",IF(OR(H52='Fordítások'!$C$70,H52='Fordítások'!$B$70),"Y","N"))</f>
      </c>
      <c r="R52" t="s" s="381">
        <f>IF(NOT(ISERROR(SEARCH("400",J52,1))),"Y","N")</f>
        <v>257</v>
      </c>
      <c r="S52" t="s" s="381">
        <f>IF(NOT(ISERROR(SEARCH("412",J52,1))),"Y","N")</f>
        <v>257</v>
      </c>
      <c r="T52" t="s" s="381">
        <f>IF(NOT(ISERROR(SEARCH("412",K52,1))),"Y","N")</f>
        <v>257</v>
      </c>
      <c r="U52" s="295"/>
      <c r="V52" s="382"/>
      <c r="W52" s="355"/>
      <c r="X52" s="247"/>
      <c r="Y52" s="297">
        <f>IF(B52="",0,Y51+1)</f>
        <v>0</v>
      </c>
      <c r="Z52" s="237"/>
      <c r="AA52" t="b" s="384">
        <f>IF(H52='Auswahldaten'!$A$16,TRUE,FALSE)</f>
        <v>0</v>
      </c>
      <c r="AB52" t="b" s="377">
        <f>IF('Alapanyagok_DID'!O52="R",TRUE,FALSE)</f>
        <v>0</v>
      </c>
      <c r="AC52" t="b" s="377">
        <f>IF(AND(AA52=TRUE,AB52=TRUE),TRUE,FALSE)</f>
        <v>0</v>
      </c>
      <c r="AD52" t="b" s="377">
        <f>IF('Alapanyagok_DID'!K52='Auswahldaten'!$A$12,TRUE,FALSE)</f>
        <v>0</v>
      </c>
      <c r="AE52" t="b" s="377">
        <f>IF(AND(AA52=TRUE,AD52=TRUE),TRUE,FALSE)</f>
        <v>0</v>
      </c>
      <c r="AF52" t="b" s="377">
        <f>IF(AND(AA52=TRUE,'Alapanyagok_DID'!E52='DID List'!$A$7),TRUE,FALSE)</f>
        <v>0</v>
      </c>
      <c r="AG52" t="b" s="377">
        <f>IF(AND(O52='Auswahldaten'!$A$12,'Alapanyagok_DID'!F52='DID List'!$A$7),TRUE,FALSE)</f>
        <v>0</v>
      </c>
      <c r="AH52" t="b" s="377">
        <f>IF('Alapanyagok_DID'!F52='DID List'!$A$7,TRUE,FALSE)</f>
        <v>0</v>
      </c>
      <c r="AI52" t="b" s="377">
        <f>IF(P52='Auswahldaten'!$A$12,TRUE,FALSE)</f>
        <v>0</v>
      </c>
      <c r="AJ52" t="b" s="377">
        <f>IF(AND(ISERROR(SEARCH("H400",J52))=FALSE,H52='Auswahldaten'!$A$16)=TRUE,TRUE,FALSE)</f>
        <v>0</v>
      </c>
      <c r="AK52" t="b" s="377">
        <f>IF(AND(ISERROR(SEARCH($AK$11,J52))=FALSE,H52='Auswahldaten'!$A$16)=TRUE,TRUE,FALSE)</f>
        <v>0</v>
      </c>
      <c r="AL52" t="b" s="377">
        <f>IF(AND(ISERROR(SEARCH("H317",J52))=FALSE,H52='Auswahldaten'!$A$21)=TRUE,TRUE,FALSE)</f>
        <v>0</v>
      </c>
      <c r="AM52" t="b" s="377">
        <f>IF(AND(ISERROR(SEARCH("H334",J52))=FALSE,H52='Auswahldaten'!$A$21)=TRUE,TRUE,FALSE)</f>
        <v>0</v>
      </c>
      <c r="AN52" t="b" s="385">
        <f>IF(ISERROR(SEARCH("H351",J52))=TRUE,FALSE,TRUE)</f>
        <v>0</v>
      </c>
      <c r="AO52" s="142"/>
      <c r="AP52" s="377">
        <f>L52</f>
        <v>0</v>
      </c>
      <c r="AQ52" t="b" s="385">
        <f>IF(AND(H52='Auswahldaten'!A$20,OR(L52='Auswahldaten'!A$52,L52='Auswahldaten'!A$53)),TRUE,FALSE)</f>
        <v>0</v>
      </c>
      <c r="AR52" s="34">
        <f>IF(K52='Auswahldaten'!$A$61,1,0)</f>
        <v>0</v>
      </c>
      <c r="AS52" s="13"/>
      <c r="AT52" s="13"/>
      <c r="AU52" s="13"/>
      <c r="AV52" s="13"/>
      <c r="AW52" s="14"/>
    </row>
    <row r="53" ht="15.75" customHeight="1">
      <c r="A53" s="371">
        <v>42</v>
      </c>
      <c r="B53" s="293"/>
      <c r="C53" s="294"/>
      <c r="D53" t="s" s="378">
        <f>IF(C53="","",VLOOKUP(C53,'Összetétel'!$B$13:$E$61,4,FALSE))</f>
      </c>
      <c r="E53" s="288"/>
      <c r="F53" s="288">
        <f>IF(D53="",0,(E53*D53/100))</f>
        <v>0</v>
      </c>
      <c r="G53" s="378"/>
      <c r="H53" s="294"/>
      <c r="I53" t="s" s="378">
        <f>IF(F53&lt;0.0000000000001,"",F53)</f>
      </c>
      <c r="J53" s="378"/>
      <c r="K53" s="294"/>
      <c r="L53" s="379"/>
      <c r="M53" s="380"/>
      <c r="N53" s="379"/>
      <c r="O53" s="295"/>
      <c r="P53" s="295"/>
      <c r="Q53" t="s" s="381">
        <f>IF(B53="","",IF(OR(H53='Fordítások'!$C$70,H53='Fordítások'!$B$70),"Y","N"))</f>
      </c>
      <c r="R53" t="s" s="381">
        <f>IF(NOT(ISERROR(SEARCH("400",J53,1))),"Y","N")</f>
        <v>257</v>
      </c>
      <c r="S53" t="s" s="381">
        <f>IF(NOT(ISERROR(SEARCH("412",J53,1))),"Y","N")</f>
        <v>257</v>
      </c>
      <c r="T53" t="s" s="381">
        <f>IF(NOT(ISERROR(SEARCH("412",K53,1))),"Y","N")</f>
        <v>257</v>
      </c>
      <c r="U53" s="295"/>
      <c r="V53" s="382"/>
      <c r="W53" s="355"/>
      <c r="X53" s="247"/>
      <c r="Y53" s="297">
        <f>IF(B53="",0,Y52+1)</f>
        <v>0</v>
      </c>
      <c r="Z53" s="237"/>
      <c r="AA53" t="b" s="384">
        <f>IF(H53='Auswahldaten'!$A$16,TRUE,FALSE)</f>
        <v>0</v>
      </c>
      <c r="AB53" t="b" s="377">
        <f>IF('Alapanyagok_DID'!O53="R",TRUE,FALSE)</f>
        <v>0</v>
      </c>
      <c r="AC53" t="b" s="377">
        <f>IF(AND(AA53=TRUE,AB53=TRUE),TRUE,FALSE)</f>
        <v>0</v>
      </c>
      <c r="AD53" t="b" s="377">
        <f>IF('Alapanyagok_DID'!K53='Auswahldaten'!$A$12,TRUE,FALSE)</f>
        <v>0</v>
      </c>
      <c r="AE53" t="b" s="377">
        <f>IF(AND(AA53=TRUE,AD53=TRUE),TRUE,FALSE)</f>
        <v>0</v>
      </c>
      <c r="AF53" t="b" s="377">
        <f>IF(AND(AA53=TRUE,'Alapanyagok_DID'!E53='DID List'!$A$7),TRUE,FALSE)</f>
        <v>0</v>
      </c>
      <c r="AG53" t="b" s="377">
        <f>IF(AND(O53='Auswahldaten'!$A$12,'Alapanyagok_DID'!F53='DID List'!$A$7),TRUE,FALSE)</f>
        <v>0</v>
      </c>
      <c r="AH53" t="b" s="377">
        <f>IF('Alapanyagok_DID'!F53='DID List'!$A$7,TRUE,FALSE)</f>
        <v>0</v>
      </c>
      <c r="AI53" t="b" s="377">
        <f>IF(P53='Auswahldaten'!$A$12,TRUE,FALSE)</f>
        <v>0</v>
      </c>
      <c r="AJ53" t="b" s="377">
        <f>IF(AND(ISERROR(SEARCH("H400",J53))=FALSE,H53='Auswahldaten'!$A$16)=TRUE,TRUE,FALSE)</f>
        <v>0</v>
      </c>
      <c r="AK53" t="b" s="377">
        <f>IF(AND(ISERROR(SEARCH($AK$11,J53))=FALSE,H53='Auswahldaten'!$A$16)=TRUE,TRUE,FALSE)</f>
        <v>0</v>
      </c>
      <c r="AL53" t="b" s="377">
        <f>IF(AND(ISERROR(SEARCH("H317",J53))=FALSE,H53='Auswahldaten'!$A$21)=TRUE,TRUE,FALSE)</f>
        <v>0</v>
      </c>
      <c r="AM53" t="b" s="377">
        <f>IF(AND(ISERROR(SEARCH("H334",J53))=FALSE,H53='Auswahldaten'!$A$21)=TRUE,TRUE,FALSE)</f>
        <v>0</v>
      </c>
      <c r="AN53" t="b" s="385">
        <f>IF(ISERROR(SEARCH("H351",J53))=TRUE,FALSE,TRUE)</f>
        <v>0</v>
      </c>
      <c r="AO53" s="142"/>
      <c r="AP53" s="377">
        <f>L53</f>
        <v>0</v>
      </c>
      <c r="AQ53" t="b" s="385">
        <f>IF(AND(H53='Auswahldaten'!A$20,OR(L53='Auswahldaten'!A$52,L53='Auswahldaten'!A$53)),TRUE,FALSE)</f>
        <v>0</v>
      </c>
      <c r="AR53" s="34">
        <f>IF(K53='Auswahldaten'!$A$61,1,0)</f>
        <v>0</v>
      </c>
      <c r="AS53" s="13"/>
      <c r="AT53" s="13"/>
      <c r="AU53" s="13"/>
      <c r="AV53" s="13"/>
      <c r="AW53" s="14"/>
    </row>
    <row r="54" ht="15.75" customHeight="1">
      <c r="A54" s="371">
        <v>43</v>
      </c>
      <c r="B54" s="293"/>
      <c r="C54" s="294"/>
      <c r="D54" t="s" s="378">
        <f>IF(C54="","",VLOOKUP(C54,'Összetétel'!$B$13:$E$61,4,FALSE))</f>
      </c>
      <c r="E54" s="288"/>
      <c r="F54" s="288">
        <f>IF(D54="",0,(E54*D54/100))</f>
        <v>0</v>
      </c>
      <c r="G54" s="378"/>
      <c r="H54" s="294"/>
      <c r="I54" t="s" s="378">
        <f>IF(F54&lt;0.0000000000001,"",F54)</f>
      </c>
      <c r="J54" s="378"/>
      <c r="K54" s="294"/>
      <c r="L54" s="379"/>
      <c r="M54" s="380"/>
      <c r="N54" s="379"/>
      <c r="O54" s="295"/>
      <c r="P54" s="295"/>
      <c r="Q54" t="s" s="381">
        <f>IF(B54="","",IF(OR(H54='Fordítások'!$C$70,H54='Fordítások'!$B$70),"Y","N"))</f>
      </c>
      <c r="R54" t="s" s="381">
        <f>IF(NOT(ISERROR(SEARCH("400",J54,1))),"Y","N")</f>
        <v>257</v>
      </c>
      <c r="S54" t="s" s="381">
        <f>IF(NOT(ISERROR(SEARCH("412",J54,1))),"Y","N")</f>
        <v>257</v>
      </c>
      <c r="T54" t="s" s="381">
        <f>IF(NOT(ISERROR(SEARCH("412",K54,1))),"Y","N")</f>
        <v>257</v>
      </c>
      <c r="U54" s="295"/>
      <c r="V54" s="382"/>
      <c r="W54" s="355"/>
      <c r="X54" s="247"/>
      <c r="Y54" s="297">
        <f>IF(B54="",0,Y53+1)</f>
        <v>0</v>
      </c>
      <c r="Z54" s="237"/>
      <c r="AA54" t="b" s="384">
        <f>IF(H54='Auswahldaten'!$A$16,TRUE,FALSE)</f>
        <v>0</v>
      </c>
      <c r="AB54" t="b" s="377">
        <f>IF('Alapanyagok_DID'!O54="R",TRUE,FALSE)</f>
        <v>0</v>
      </c>
      <c r="AC54" t="b" s="377">
        <f>IF(AND(AA54=TRUE,AB54=TRUE),TRUE,FALSE)</f>
        <v>0</v>
      </c>
      <c r="AD54" t="b" s="377">
        <f>IF('Alapanyagok_DID'!K54='Auswahldaten'!$A$12,TRUE,FALSE)</f>
        <v>0</v>
      </c>
      <c r="AE54" t="b" s="377">
        <f>IF(AND(AA54=TRUE,AD54=TRUE),TRUE,FALSE)</f>
        <v>0</v>
      </c>
      <c r="AF54" t="b" s="377">
        <f>IF(AND(AA54=TRUE,'Alapanyagok_DID'!E54='DID List'!$A$7),TRUE,FALSE)</f>
        <v>0</v>
      </c>
      <c r="AG54" t="b" s="377">
        <f>IF(AND(O54='Auswahldaten'!$A$12,'Alapanyagok_DID'!F54='DID List'!$A$7),TRUE,FALSE)</f>
        <v>0</v>
      </c>
      <c r="AH54" t="b" s="377">
        <f>IF('Alapanyagok_DID'!F54='DID List'!$A$7,TRUE,FALSE)</f>
        <v>0</v>
      </c>
      <c r="AI54" t="b" s="377">
        <f>IF(P54='Auswahldaten'!$A$12,TRUE,FALSE)</f>
        <v>0</v>
      </c>
      <c r="AJ54" t="b" s="377">
        <f>IF(AND(ISERROR(SEARCH("H400",J54))=FALSE,H54='Auswahldaten'!$A$16)=TRUE,TRUE,FALSE)</f>
        <v>0</v>
      </c>
      <c r="AK54" t="b" s="377">
        <f>IF(AND(ISERROR(SEARCH($AK$11,J54))=FALSE,H54='Auswahldaten'!$A$16)=TRUE,TRUE,FALSE)</f>
        <v>0</v>
      </c>
      <c r="AL54" t="b" s="377">
        <f>IF(AND(ISERROR(SEARCH("H317",J54))=FALSE,H54='Auswahldaten'!$A$21)=TRUE,TRUE,FALSE)</f>
        <v>0</v>
      </c>
      <c r="AM54" t="b" s="377">
        <f>IF(AND(ISERROR(SEARCH("H334",J54))=FALSE,H54='Auswahldaten'!$A$21)=TRUE,TRUE,FALSE)</f>
        <v>0</v>
      </c>
      <c r="AN54" t="b" s="385">
        <f>IF(ISERROR(SEARCH("H351",J54))=TRUE,FALSE,TRUE)</f>
        <v>0</v>
      </c>
      <c r="AO54" s="142"/>
      <c r="AP54" s="377">
        <f>L54</f>
        <v>0</v>
      </c>
      <c r="AQ54" t="b" s="385">
        <f>IF(AND(H54='Auswahldaten'!A$20,OR(L54='Auswahldaten'!A$52,L54='Auswahldaten'!A$53)),TRUE,FALSE)</f>
        <v>0</v>
      </c>
      <c r="AR54" s="34">
        <f>IF(K54='Auswahldaten'!$A$61,1,0)</f>
        <v>0</v>
      </c>
      <c r="AS54" s="13"/>
      <c r="AT54" s="13"/>
      <c r="AU54" s="13"/>
      <c r="AV54" s="13"/>
      <c r="AW54" s="14"/>
    </row>
    <row r="55" ht="15.75" customHeight="1">
      <c r="A55" s="371">
        <v>44</v>
      </c>
      <c r="B55" s="293"/>
      <c r="C55" s="294"/>
      <c r="D55" t="s" s="378">
        <f>IF(C55="","",VLOOKUP(C55,'Összetétel'!$B$13:$E$61,4,FALSE))</f>
      </c>
      <c r="E55" s="288"/>
      <c r="F55" s="288">
        <f>IF(D55="",0,(E55*D55/100))</f>
        <v>0</v>
      </c>
      <c r="G55" s="378"/>
      <c r="H55" s="294"/>
      <c r="I55" t="s" s="378">
        <f>IF(F55&lt;0.0000000000001,"",F55)</f>
      </c>
      <c r="J55" s="378"/>
      <c r="K55" s="294"/>
      <c r="L55" s="379"/>
      <c r="M55" s="380"/>
      <c r="N55" s="379"/>
      <c r="O55" s="295"/>
      <c r="P55" s="295"/>
      <c r="Q55" t="s" s="381">
        <f>IF(B55="","",IF(OR(H55='Fordítások'!$C$70,H55='Fordítások'!$B$70),"Y","N"))</f>
      </c>
      <c r="R55" t="s" s="381">
        <f>IF(NOT(ISERROR(SEARCH("400",J55,1))),"Y","N")</f>
        <v>257</v>
      </c>
      <c r="S55" t="s" s="381">
        <f>IF(NOT(ISERROR(SEARCH("412",J55,1))),"Y","N")</f>
        <v>257</v>
      </c>
      <c r="T55" t="s" s="381">
        <f>IF(NOT(ISERROR(SEARCH("412",K55,1))),"Y","N")</f>
        <v>257</v>
      </c>
      <c r="U55" s="295"/>
      <c r="V55" s="382"/>
      <c r="W55" s="355"/>
      <c r="X55" s="247"/>
      <c r="Y55" s="297">
        <f>IF(B55="",0,Y54+1)</f>
        <v>0</v>
      </c>
      <c r="Z55" s="237"/>
      <c r="AA55" t="b" s="384">
        <f>IF(H55='Auswahldaten'!$A$16,TRUE,FALSE)</f>
        <v>0</v>
      </c>
      <c r="AB55" t="b" s="377">
        <f>IF('Alapanyagok_DID'!O55="R",TRUE,FALSE)</f>
        <v>0</v>
      </c>
      <c r="AC55" t="b" s="377">
        <f>IF(AND(AA55=TRUE,AB55=TRUE),TRUE,FALSE)</f>
        <v>0</v>
      </c>
      <c r="AD55" t="b" s="377">
        <f>IF('Alapanyagok_DID'!K55='Auswahldaten'!$A$12,TRUE,FALSE)</f>
        <v>0</v>
      </c>
      <c r="AE55" t="b" s="377">
        <f>IF(AND(AA55=TRUE,AD55=TRUE),TRUE,FALSE)</f>
        <v>0</v>
      </c>
      <c r="AF55" t="b" s="377">
        <f>IF(AND(AA55=TRUE,'Alapanyagok_DID'!E55='DID List'!$A$7),TRUE,FALSE)</f>
        <v>0</v>
      </c>
      <c r="AG55" t="b" s="377">
        <f>IF(AND(O55='Auswahldaten'!$A$12,'Alapanyagok_DID'!F55='DID List'!$A$7),TRUE,FALSE)</f>
        <v>0</v>
      </c>
      <c r="AH55" t="b" s="377">
        <f>IF('Alapanyagok_DID'!F55='DID List'!$A$7,TRUE,FALSE)</f>
        <v>0</v>
      </c>
      <c r="AI55" t="b" s="377">
        <f>IF(P55='Auswahldaten'!$A$12,TRUE,FALSE)</f>
        <v>0</v>
      </c>
      <c r="AJ55" t="b" s="377">
        <f>IF(AND(ISERROR(SEARCH("H400",J55))=FALSE,H55='Auswahldaten'!$A$16)=TRUE,TRUE,FALSE)</f>
        <v>0</v>
      </c>
      <c r="AK55" t="b" s="377">
        <f>IF(AND(ISERROR(SEARCH($AK$11,J55))=FALSE,H55='Auswahldaten'!$A$16)=TRUE,TRUE,FALSE)</f>
        <v>0</v>
      </c>
      <c r="AL55" t="b" s="377">
        <f>IF(AND(ISERROR(SEARCH("H317",J55))=FALSE,H55='Auswahldaten'!$A$21)=TRUE,TRUE,FALSE)</f>
        <v>0</v>
      </c>
      <c r="AM55" t="b" s="377">
        <f>IF(AND(ISERROR(SEARCH("H334",J55))=FALSE,H55='Auswahldaten'!$A$21)=TRUE,TRUE,FALSE)</f>
        <v>0</v>
      </c>
      <c r="AN55" t="b" s="385">
        <f>IF(ISERROR(SEARCH("H351",J55))=TRUE,FALSE,TRUE)</f>
        <v>0</v>
      </c>
      <c r="AO55" s="142"/>
      <c r="AP55" s="377">
        <f>L55</f>
        <v>0</v>
      </c>
      <c r="AQ55" t="b" s="385">
        <f>IF(AND(H55='Auswahldaten'!A$20,OR(L55='Auswahldaten'!A$52,L55='Auswahldaten'!A$53)),TRUE,FALSE)</f>
        <v>0</v>
      </c>
      <c r="AR55" s="34">
        <f>IF(K55='Auswahldaten'!$A$61,1,0)</f>
        <v>0</v>
      </c>
      <c r="AS55" s="13"/>
      <c r="AT55" s="13"/>
      <c r="AU55" s="13"/>
      <c r="AV55" s="13"/>
      <c r="AW55" s="14"/>
    </row>
    <row r="56" ht="15.75" customHeight="1">
      <c r="A56" s="371">
        <v>45</v>
      </c>
      <c r="B56" s="293"/>
      <c r="C56" s="294"/>
      <c r="D56" t="s" s="378">
        <f>IF(C56="","",VLOOKUP(C56,'Összetétel'!$B$13:$E$61,4,FALSE))</f>
      </c>
      <c r="E56" s="288"/>
      <c r="F56" s="288">
        <f>IF(D56="",0,(E56*D56/100))</f>
        <v>0</v>
      </c>
      <c r="G56" s="378"/>
      <c r="H56" s="294"/>
      <c r="I56" t="s" s="378">
        <f>IF(F56&lt;0.0000000000001,"",F56)</f>
      </c>
      <c r="J56" s="378"/>
      <c r="K56" s="294"/>
      <c r="L56" s="379"/>
      <c r="M56" s="380"/>
      <c r="N56" s="379"/>
      <c r="O56" s="295"/>
      <c r="P56" s="295"/>
      <c r="Q56" t="s" s="381">
        <f>IF(B56="","",IF(OR(H56='Fordítások'!$C$70,H56='Fordítások'!$B$70),"Y","N"))</f>
      </c>
      <c r="R56" t="s" s="381">
        <f>IF(NOT(ISERROR(SEARCH("400",J56,1))),"Y","N")</f>
        <v>257</v>
      </c>
      <c r="S56" t="s" s="381">
        <f>IF(NOT(ISERROR(SEARCH("412",J56,1))),"Y","N")</f>
        <v>257</v>
      </c>
      <c r="T56" t="s" s="381">
        <f>IF(NOT(ISERROR(SEARCH("412",K56,1))),"Y","N")</f>
        <v>257</v>
      </c>
      <c r="U56" s="295"/>
      <c r="V56" s="382"/>
      <c r="W56" s="355"/>
      <c r="X56" s="247"/>
      <c r="Y56" s="297">
        <f>IF(B56="",0,Y55+1)</f>
        <v>0</v>
      </c>
      <c r="Z56" s="237"/>
      <c r="AA56" t="b" s="384">
        <f>IF(H56='Auswahldaten'!$A$16,TRUE,FALSE)</f>
        <v>0</v>
      </c>
      <c r="AB56" t="b" s="377">
        <f>IF('Alapanyagok_DID'!O56="R",TRUE,FALSE)</f>
        <v>0</v>
      </c>
      <c r="AC56" t="b" s="377">
        <f>IF(AND(AA56=TRUE,AB56=TRUE),TRUE,FALSE)</f>
        <v>0</v>
      </c>
      <c r="AD56" t="b" s="377">
        <f>IF('Alapanyagok_DID'!K56='Auswahldaten'!$A$12,TRUE,FALSE)</f>
        <v>0</v>
      </c>
      <c r="AE56" t="b" s="377">
        <f>IF(AND(AA56=TRUE,AD56=TRUE),TRUE,FALSE)</f>
        <v>0</v>
      </c>
      <c r="AF56" t="b" s="377">
        <f>IF(AND(AA56=TRUE,'Alapanyagok_DID'!E56='DID List'!$A$7),TRUE,FALSE)</f>
        <v>0</v>
      </c>
      <c r="AG56" t="b" s="377">
        <f>IF(AND(O56='Auswahldaten'!$A$12,'Alapanyagok_DID'!F56='DID List'!$A$7),TRUE,FALSE)</f>
        <v>0</v>
      </c>
      <c r="AH56" t="b" s="377">
        <f>IF('Alapanyagok_DID'!F56='DID List'!$A$7,TRUE,FALSE)</f>
        <v>0</v>
      </c>
      <c r="AI56" t="b" s="377">
        <f>IF(P56='Auswahldaten'!$A$12,TRUE,FALSE)</f>
        <v>0</v>
      </c>
      <c r="AJ56" t="b" s="377">
        <f>IF(AND(ISERROR(SEARCH("H400",J56))=FALSE,H56='Auswahldaten'!$A$16)=TRUE,TRUE,FALSE)</f>
        <v>0</v>
      </c>
      <c r="AK56" t="b" s="377">
        <f>IF(AND(ISERROR(SEARCH($AK$11,J56))=FALSE,H56='Auswahldaten'!$A$16)=TRUE,TRUE,FALSE)</f>
        <v>0</v>
      </c>
      <c r="AL56" t="b" s="377">
        <f>IF(AND(ISERROR(SEARCH("H317",J56))=FALSE,H56='Auswahldaten'!$A$21)=TRUE,TRUE,FALSE)</f>
        <v>0</v>
      </c>
      <c r="AM56" t="b" s="377">
        <f>IF(AND(ISERROR(SEARCH("H334",J56))=FALSE,H56='Auswahldaten'!$A$21)=TRUE,TRUE,FALSE)</f>
        <v>0</v>
      </c>
      <c r="AN56" t="b" s="385">
        <f>IF(ISERROR(SEARCH("H351",J56))=TRUE,FALSE,TRUE)</f>
        <v>0</v>
      </c>
      <c r="AO56" s="142"/>
      <c r="AP56" s="377">
        <f>L56</f>
        <v>0</v>
      </c>
      <c r="AQ56" t="b" s="385">
        <f>IF(AND(H56='Auswahldaten'!A$20,OR(L56='Auswahldaten'!A$52,L56='Auswahldaten'!A$53)),TRUE,FALSE)</f>
        <v>0</v>
      </c>
      <c r="AR56" s="34">
        <f>IF(K56='Auswahldaten'!$A$61,1,0)</f>
        <v>0</v>
      </c>
      <c r="AS56" s="13"/>
      <c r="AT56" s="13"/>
      <c r="AU56" s="13"/>
      <c r="AV56" s="13"/>
      <c r="AW56" s="14"/>
    </row>
    <row r="57" ht="15.75" customHeight="1">
      <c r="A57" s="371">
        <v>46</v>
      </c>
      <c r="B57" s="293"/>
      <c r="C57" s="294"/>
      <c r="D57" t="s" s="378">
        <f>IF(C57="","",VLOOKUP(C57,'Összetétel'!$B$13:$E$61,4,FALSE))</f>
      </c>
      <c r="E57" s="288"/>
      <c r="F57" s="288">
        <f>IF(D57="",0,(E57*D57/100))</f>
        <v>0</v>
      </c>
      <c r="G57" s="378"/>
      <c r="H57" s="294"/>
      <c r="I57" t="s" s="378">
        <f>IF(F57&lt;0.0000000000001,"",F57)</f>
      </c>
      <c r="J57" s="378"/>
      <c r="K57" s="294"/>
      <c r="L57" s="379"/>
      <c r="M57" s="380"/>
      <c r="N57" s="379"/>
      <c r="O57" s="295"/>
      <c r="P57" s="295"/>
      <c r="Q57" t="s" s="381">
        <f>IF(B57="","",IF(OR(H57='Fordítások'!$C$70,H57='Fordítások'!$B$70),"Y","N"))</f>
      </c>
      <c r="R57" t="s" s="381">
        <f>IF(NOT(ISERROR(SEARCH("400",J57,1))),"Y","N")</f>
        <v>257</v>
      </c>
      <c r="S57" t="s" s="381">
        <f>IF(NOT(ISERROR(SEARCH("412",J57,1))),"Y","N")</f>
        <v>257</v>
      </c>
      <c r="T57" t="s" s="381">
        <f>IF(NOT(ISERROR(SEARCH("412",K57,1))),"Y","N")</f>
        <v>257</v>
      </c>
      <c r="U57" s="295"/>
      <c r="V57" s="382"/>
      <c r="W57" s="355"/>
      <c r="X57" s="247"/>
      <c r="Y57" s="297">
        <f>IF(B57="",0,Y56+1)</f>
        <v>0</v>
      </c>
      <c r="Z57" s="237"/>
      <c r="AA57" t="b" s="384">
        <f>IF(H57='Auswahldaten'!$A$16,TRUE,FALSE)</f>
        <v>0</v>
      </c>
      <c r="AB57" t="b" s="377">
        <f>IF('Alapanyagok_DID'!O57="R",TRUE,FALSE)</f>
        <v>0</v>
      </c>
      <c r="AC57" t="b" s="377">
        <f>IF(AND(AA57=TRUE,AB57=TRUE),TRUE,FALSE)</f>
        <v>0</v>
      </c>
      <c r="AD57" t="b" s="377">
        <f>IF('Alapanyagok_DID'!K57='Auswahldaten'!$A$12,TRUE,FALSE)</f>
        <v>0</v>
      </c>
      <c r="AE57" t="b" s="377">
        <f>IF(AND(AA57=TRUE,AD57=TRUE),TRUE,FALSE)</f>
        <v>0</v>
      </c>
      <c r="AF57" t="b" s="377">
        <f>IF(AND(AA57=TRUE,'Alapanyagok_DID'!E57='DID List'!$A$7),TRUE,FALSE)</f>
        <v>0</v>
      </c>
      <c r="AG57" t="b" s="377">
        <f>IF(AND(O57='Auswahldaten'!$A$12,'Alapanyagok_DID'!F57='DID List'!$A$7),TRUE,FALSE)</f>
        <v>0</v>
      </c>
      <c r="AH57" t="b" s="377">
        <f>IF('Alapanyagok_DID'!F57='DID List'!$A$7,TRUE,FALSE)</f>
        <v>0</v>
      </c>
      <c r="AI57" t="b" s="377">
        <f>IF(P57='Auswahldaten'!$A$12,TRUE,FALSE)</f>
        <v>0</v>
      </c>
      <c r="AJ57" t="b" s="377">
        <f>IF(AND(ISERROR(SEARCH("H400",J57))=FALSE,H57='Auswahldaten'!$A$16)=TRUE,TRUE,FALSE)</f>
        <v>0</v>
      </c>
      <c r="AK57" t="b" s="377">
        <f>IF(AND(ISERROR(SEARCH($AK$11,J57))=FALSE,H57='Auswahldaten'!$A$16)=TRUE,TRUE,FALSE)</f>
        <v>0</v>
      </c>
      <c r="AL57" t="b" s="377">
        <f>IF(AND(ISERROR(SEARCH("H317",J57))=FALSE,H57='Auswahldaten'!$A$21)=TRUE,TRUE,FALSE)</f>
        <v>0</v>
      </c>
      <c r="AM57" t="b" s="377">
        <f>IF(AND(ISERROR(SEARCH("H334",J57))=FALSE,H57='Auswahldaten'!$A$21)=TRUE,TRUE,FALSE)</f>
        <v>0</v>
      </c>
      <c r="AN57" t="b" s="385">
        <f>IF(ISERROR(SEARCH("H351",J57))=TRUE,FALSE,TRUE)</f>
        <v>0</v>
      </c>
      <c r="AO57" s="142"/>
      <c r="AP57" s="377">
        <f>L57</f>
        <v>0</v>
      </c>
      <c r="AQ57" t="b" s="385">
        <f>IF(AND(H57='Auswahldaten'!A$20,OR(L57='Auswahldaten'!A$52,L57='Auswahldaten'!A$53)),TRUE,FALSE)</f>
        <v>0</v>
      </c>
      <c r="AR57" s="34">
        <f>IF(K57='Auswahldaten'!$A$61,1,0)</f>
        <v>0</v>
      </c>
      <c r="AS57" s="13"/>
      <c r="AT57" s="13"/>
      <c r="AU57" s="13"/>
      <c r="AV57" s="13"/>
      <c r="AW57" s="14"/>
    </row>
    <row r="58" ht="15.75" customHeight="1">
      <c r="A58" s="371">
        <v>47</v>
      </c>
      <c r="B58" s="293"/>
      <c r="C58" s="294"/>
      <c r="D58" t="s" s="378">
        <f>IF(C58="","",VLOOKUP(C58,'Összetétel'!$B$13:$E$61,4,FALSE))</f>
      </c>
      <c r="E58" s="288"/>
      <c r="F58" s="288">
        <f>IF(D58="",0,(E58*D58/100))</f>
        <v>0</v>
      </c>
      <c r="G58" s="378"/>
      <c r="H58" s="294"/>
      <c r="I58" t="s" s="378">
        <f>IF(F58&lt;0.0000000000001,"",F58)</f>
      </c>
      <c r="J58" s="378"/>
      <c r="K58" s="294"/>
      <c r="L58" s="379"/>
      <c r="M58" s="380"/>
      <c r="N58" s="379"/>
      <c r="O58" s="295"/>
      <c r="P58" s="295"/>
      <c r="Q58" t="s" s="381">
        <f>IF(B58="","",IF(OR(H58='Fordítások'!$C$70,H58='Fordítások'!$B$70),"Y","N"))</f>
      </c>
      <c r="R58" t="s" s="381">
        <f>IF(NOT(ISERROR(SEARCH("400",J58,1))),"Y","N")</f>
        <v>257</v>
      </c>
      <c r="S58" t="s" s="381">
        <f>IF(NOT(ISERROR(SEARCH("412",J58,1))),"Y","N")</f>
        <v>257</v>
      </c>
      <c r="T58" t="s" s="381">
        <f>IF(NOT(ISERROR(SEARCH("412",K58,1))),"Y","N")</f>
        <v>257</v>
      </c>
      <c r="U58" s="295"/>
      <c r="V58" s="382"/>
      <c r="W58" s="355"/>
      <c r="X58" s="247"/>
      <c r="Y58" s="297">
        <f>IF(B58="",0,Y57+1)</f>
        <v>0</v>
      </c>
      <c r="Z58" s="237"/>
      <c r="AA58" t="b" s="384">
        <f>IF(H58='Auswahldaten'!$A$16,TRUE,FALSE)</f>
        <v>0</v>
      </c>
      <c r="AB58" t="b" s="377">
        <f>IF('Alapanyagok_DID'!O58="R",TRUE,FALSE)</f>
        <v>0</v>
      </c>
      <c r="AC58" t="b" s="377">
        <f>IF(AND(AA58=TRUE,AB58=TRUE),TRUE,FALSE)</f>
        <v>0</v>
      </c>
      <c r="AD58" t="b" s="377">
        <f>IF('Alapanyagok_DID'!K58='Auswahldaten'!$A$12,TRUE,FALSE)</f>
        <v>0</v>
      </c>
      <c r="AE58" t="b" s="377">
        <f>IF(AND(AA58=TRUE,AD58=TRUE),TRUE,FALSE)</f>
        <v>0</v>
      </c>
      <c r="AF58" t="b" s="377">
        <f>IF(AND(AA58=TRUE,'Alapanyagok_DID'!E58='DID List'!$A$7),TRUE,FALSE)</f>
        <v>0</v>
      </c>
      <c r="AG58" t="b" s="377">
        <f>IF(AND(O58='Auswahldaten'!$A$12,'Alapanyagok_DID'!F58='DID List'!$A$7),TRUE,FALSE)</f>
        <v>0</v>
      </c>
      <c r="AH58" t="b" s="377">
        <f>IF('Alapanyagok_DID'!F58='DID List'!$A$7,TRUE,FALSE)</f>
        <v>0</v>
      </c>
      <c r="AI58" t="b" s="377">
        <f>IF(P58='Auswahldaten'!$A$12,TRUE,FALSE)</f>
        <v>0</v>
      </c>
      <c r="AJ58" t="b" s="377">
        <f>IF(AND(ISERROR(SEARCH("H400",J58))=FALSE,H58='Auswahldaten'!$A$16)=TRUE,TRUE,FALSE)</f>
        <v>0</v>
      </c>
      <c r="AK58" t="b" s="377">
        <f>IF(AND(ISERROR(SEARCH($AK$11,J58))=FALSE,H58='Auswahldaten'!$A$16)=TRUE,TRUE,FALSE)</f>
        <v>0</v>
      </c>
      <c r="AL58" t="b" s="377">
        <f>IF(AND(ISERROR(SEARCH("H317",J58))=FALSE,H58='Auswahldaten'!$A$21)=TRUE,TRUE,FALSE)</f>
        <v>0</v>
      </c>
      <c r="AM58" t="b" s="377">
        <f>IF(AND(ISERROR(SEARCH("H334",J58))=FALSE,H58='Auswahldaten'!$A$21)=TRUE,TRUE,FALSE)</f>
        <v>0</v>
      </c>
      <c r="AN58" t="b" s="385">
        <f>IF(ISERROR(SEARCH("H351",J58))=TRUE,FALSE,TRUE)</f>
        <v>0</v>
      </c>
      <c r="AO58" s="142"/>
      <c r="AP58" s="377">
        <f>L58</f>
        <v>0</v>
      </c>
      <c r="AQ58" t="b" s="385">
        <f>IF(AND(H58='Auswahldaten'!A$20,OR(L58='Auswahldaten'!A$52,L58='Auswahldaten'!A$53)),TRUE,FALSE)</f>
        <v>0</v>
      </c>
      <c r="AR58" s="34">
        <f>IF(K58='Auswahldaten'!$A$61,1,0)</f>
        <v>0</v>
      </c>
      <c r="AS58" s="13"/>
      <c r="AT58" s="13"/>
      <c r="AU58" s="13"/>
      <c r="AV58" s="13"/>
      <c r="AW58" s="14"/>
    </row>
    <row r="59" ht="15.75" customHeight="1">
      <c r="A59" s="371">
        <v>48</v>
      </c>
      <c r="B59" s="293"/>
      <c r="C59" s="294"/>
      <c r="D59" t="s" s="378">
        <f>IF(C59="","",VLOOKUP(C59,'Összetétel'!$B$13:$E$61,4,FALSE))</f>
      </c>
      <c r="E59" s="288"/>
      <c r="F59" s="288">
        <f>IF(D59="",0,(E59*D59/100))</f>
        <v>0</v>
      </c>
      <c r="G59" s="378"/>
      <c r="H59" s="294"/>
      <c r="I59" t="s" s="378">
        <f>IF(F59&lt;0.0000000000001,"",F59)</f>
      </c>
      <c r="J59" s="378"/>
      <c r="K59" s="294"/>
      <c r="L59" s="379"/>
      <c r="M59" s="380"/>
      <c r="N59" s="379"/>
      <c r="O59" s="295"/>
      <c r="P59" s="295"/>
      <c r="Q59" t="s" s="381">
        <f>IF(B59="","",IF(OR(H59='Fordítások'!$C$70,H59='Fordítások'!$B$70),"Y","N"))</f>
      </c>
      <c r="R59" t="s" s="381">
        <f>IF(NOT(ISERROR(SEARCH("400",J59,1))),"Y","N")</f>
        <v>257</v>
      </c>
      <c r="S59" t="s" s="381">
        <f>IF(NOT(ISERROR(SEARCH("412",J59,1))),"Y","N")</f>
        <v>257</v>
      </c>
      <c r="T59" t="s" s="381">
        <f>IF(NOT(ISERROR(SEARCH("412",K59,1))),"Y","N")</f>
        <v>257</v>
      </c>
      <c r="U59" s="295"/>
      <c r="V59" s="382"/>
      <c r="W59" s="355"/>
      <c r="X59" s="247"/>
      <c r="Y59" s="297">
        <f>IF(B59="",0,Y58+1)</f>
        <v>0</v>
      </c>
      <c r="Z59" s="237"/>
      <c r="AA59" t="b" s="384">
        <f>IF(H59='Auswahldaten'!$A$16,TRUE,FALSE)</f>
        <v>0</v>
      </c>
      <c r="AB59" t="b" s="377">
        <f>IF('Alapanyagok_DID'!O59="R",TRUE,FALSE)</f>
        <v>0</v>
      </c>
      <c r="AC59" t="b" s="377">
        <f>IF(AND(AA59=TRUE,AB59=TRUE),TRUE,FALSE)</f>
        <v>0</v>
      </c>
      <c r="AD59" t="b" s="377">
        <f>IF('Alapanyagok_DID'!K59='Auswahldaten'!$A$12,TRUE,FALSE)</f>
        <v>0</v>
      </c>
      <c r="AE59" t="b" s="377">
        <f>IF(AND(AA59=TRUE,AD59=TRUE),TRUE,FALSE)</f>
        <v>0</v>
      </c>
      <c r="AF59" t="b" s="377">
        <f>IF(AND(AA59=TRUE,'Alapanyagok_DID'!E59='DID List'!$A$7),TRUE,FALSE)</f>
        <v>0</v>
      </c>
      <c r="AG59" t="b" s="377">
        <f>IF(AND(O59='Auswahldaten'!$A$12,'Alapanyagok_DID'!F59='DID List'!$A$7),TRUE,FALSE)</f>
        <v>0</v>
      </c>
      <c r="AH59" t="b" s="377">
        <f>IF('Alapanyagok_DID'!F59='DID List'!$A$7,TRUE,FALSE)</f>
        <v>0</v>
      </c>
      <c r="AI59" t="b" s="377">
        <f>IF(P59='Auswahldaten'!$A$12,TRUE,FALSE)</f>
        <v>0</v>
      </c>
      <c r="AJ59" t="b" s="377">
        <f>IF(AND(ISERROR(SEARCH("H400",J59))=FALSE,H59='Auswahldaten'!$A$16)=TRUE,TRUE,FALSE)</f>
        <v>0</v>
      </c>
      <c r="AK59" t="b" s="377">
        <f>IF(AND(ISERROR(SEARCH($AK$11,J59))=FALSE,H59='Auswahldaten'!$A$16)=TRUE,TRUE,FALSE)</f>
        <v>0</v>
      </c>
      <c r="AL59" t="b" s="377">
        <f>IF(AND(ISERROR(SEARCH("H317",J59))=FALSE,H59='Auswahldaten'!$A$21)=TRUE,TRUE,FALSE)</f>
        <v>0</v>
      </c>
      <c r="AM59" t="b" s="377">
        <f>IF(AND(ISERROR(SEARCH("H334",J59))=FALSE,H59='Auswahldaten'!$A$21)=TRUE,TRUE,FALSE)</f>
        <v>0</v>
      </c>
      <c r="AN59" t="b" s="385">
        <f>IF(ISERROR(SEARCH("H351",J59))=TRUE,FALSE,TRUE)</f>
        <v>0</v>
      </c>
      <c r="AO59" s="142"/>
      <c r="AP59" s="377">
        <f>L59</f>
        <v>0</v>
      </c>
      <c r="AQ59" t="b" s="385">
        <f>IF(AND(H59='Auswahldaten'!A$20,OR(L59='Auswahldaten'!A$52,L59='Auswahldaten'!A$53)),TRUE,FALSE)</f>
        <v>0</v>
      </c>
      <c r="AR59" s="34">
        <f>IF(K59='Auswahldaten'!$A$61,1,0)</f>
        <v>0</v>
      </c>
      <c r="AS59" s="13"/>
      <c r="AT59" s="13"/>
      <c r="AU59" s="13"/>
      <c r="AV59" s="13"/>
      <c r="AW59" s="14"/>
    </row>
    <row r="60" ht="15.75" customHeight="1">
      <c r="A60" s="371">
        <v>49</v>
      </c>
      <c r="B60" s="293"/>
      <c r="C60" s="294"/>
      <c r="D60" t="s" s="378">
        <f>IF(C60="","",VLOOKUP(C60,'Összetétel'!$B$13:$E$61,4,FALSE))</f>
      </c>
      <c r="E60" s="288"/>
      <c r="F60" s="288">
        <f>IF(D60="",0,(E60*D60/100))</f>
        <v>0</v>
      </c>
      <c r="G60" s="378"/>
      <c r="H60" s="294"/>
      <c r="I60" t="s" s="378">
        <f>IF(F60&lt;0.0000000000001,"",F60)</f>
      </c>
      <c r="J60" s="378"/>
      <c r="K60" s="294"/>
      <c r="L60" s="379"/>
      <c r="M60" s="380"/>
      <c r="N60" s="379"/>
      <c r="O60" s="295"/>
      <c r="P60" s="295"/>
      <c r="Q60" t="s" s="381">
        <f>IF(B60="","",IF(OR(H60='Fordítások'!$C$70,H60='Fordítások'!$B$70),"Y","N"))</f>
      </c>
      <c r="R60" t="s" s="381">
        <f>IF(NOT(ISERROR(SEARCH("400",J60,1))),"Y","N")</f>
        <v>257</v>
      </c>
      <c r="S60" t="s" s="381">
        <f>IF(NOT(ISERROR(SEARCH("412",J60,1))),"Y","N")</f>
        <v>257</v>
      </c>
      <c r="T60" t="s" s="381">
        <f>IF(NOT(ISERROR(SEARCH("412",K60,1))),"Y","N")</f>
        <v>257</v>
      </c>
      <c r="U60" s="295"/>
      <c r="V60" s="382"/>
      <c r="W60" s="355"/>
      <c r="X60" s="247"/>
      <c r="Y60" s="297">
        <f>IF(B60="",0,Y59+1)</f>
        <v>0</v>
      </c>
      <c r="Z60" s="237"/>
      <c r="AA60" t="b" s="384">
        <f>IF(H60='Auswahldaten'!$A$16,TRUE,FALSE)</f>
        <v>0</v>
      </c>
      <c r="AB60" t="b" s="377">
        <f>IF('Alapanyagok_DID'!O60="R",TRUE,FALSE)</f>
        <v>0</v>
      </c>
      <c r="AC60" t="b" s="377">
        <f>IF(AND(AA60=TRUE,AB60=TRUE),TRUE,FALSE)</f>
        <v>0</v>
      </c>
      <c r="AD60" t="b" s="377">
        <f>IF('Alapanyagok_DID'!K60='Auswahldaten'!$A$12,TRUE,FALSE)</f>
        <v>0</v>
      </c>
      <c r="AE60" t="b" s="377">
        <f>IF(AND(AA60=TRUE,AD60=TRUE),TRUE,FALSE)</f>
        <v>0</v>
      </c>
      <c r="AF60" t="b" s="377">
        <f>IF(AND(AA60=TRUE,'Alapanyagok_DID'!E60='DID List'!$A$7),TRUE,FALSE)</f>
        <v>0</v>
      </c>
      <c r="AG60" t="b" s="377">
        <f>IF(AND(O60='Auswahldaten'!$A$12,'Alapanyagok_DID'!F60='DID List'!$A$7),TRUE,FALSE)</f>
        <v>0</v>
      </c>
      <c r="AH60" t="b" s="377">
        <f>IF('Alapanyagok_DID'!F60='DID List'!$A$7,TRUE,FALSE)</f>
        <v>0</v>
      </c>
      <c r="AI60" t="b" s="377">
        <f>IF(P60='Auswahldaten'!$A$12,TRUE,FALSE)</f>
        <v>0</v>
      </c>
      <c r="AJ60" t="b" s="377">
        <f>IF(AND(ISERROR(SEARCH("H400",J60))=FALSE,H60='Auswahldaten'!$A$16)=TRUE,TRUE,FALSE)</f>
        <v>0</v>
      </c>
      <c r="AK60" t="b" s="377">
        <f>IF(AND(ISERROR(SEARCH($AK$11,J60))=FALSE,H60='Auswahldaten'!$A$16)=TRUE,TRUE,FALSE)</f>
        <v>0</v>
      </c>
      <c r="AL60" t="b" s="377">
        <f>IF(AND(ISERROR(SEARCH("H317",J60))=FALSE,H60='Auswahldaten'!$A$21)=TRUE,TRUE,FALSE)</f>
        <v>0</v>
      </c>
      <c r="AM60" t="b" s="377">
        <f>IF(AND(ISERROR(SEARCH("H334",J60))=FALSE,H60='Auswahldaten'!$A$21)=TRUE,TRUE,FALSE)</f>
        <v>0</v>
      </c>
      <c r="AN60" t="b" s="385">
        <f>IF(ISERROR(SEARCH("H351",J60))=TRUE,FALSE,TRUE)</f>
        <v>0</v>
      </c>
      <c r="AO60" s="142"/>
      <c r="AP60" s="377">
        <f>L60</f>
        <v>0</v>
      </c>
      <c r="AQ60" t="b" s="385">
        <f>IF(AND(H60='Auswahldaten'!A$20,OR(L60='Auswahldaten'!A$52,L60='Auswahldaten'!A$53)),TRUE,FALSE)</f>
        <v>0</v>
      </c>
      <c r="AR60" s="34">
        <f>IF(K60='Auswahldaten'!$A$61,1,0)</f>
        <v>0</v>
      </c>
      <c r="AS60" s="13"/>
      <c r="AT60" s="13"/>
      <c r="AU60" s="13"/>
      <c r="AV60" s="13"/>
      <c r="AW60" s="14"/>
    </row>
    <row r="61" ht="15.75" customHeight="1">
      <c r="A61" s="371">
        <v>50</v>
      </c>
      <c r="B61" s="293"/>
      <c r="C61" s="294"/>
      <c r="D61" t="s" s="378">
        <f>IF(C61="","",VLOOKUP(C61,'Összetétel'!$B$13:$E$61,4,FALSE))</f>
      </c>
      <c r="E61" s="288"/>
      <c r="F61" s="288">
        <f>IF(D61="",0,(E61*D61/100))</f>
        <v>0</v>
      </c>
      <c r="G61" s="378"/>
      <c r="H61" s="294"/>
      <c r="I61" t="s" s="378">
        <f>IF(F61&lt;0.0000000000001,"",F61)</f>
      </c>
      <c r="J61" s="378"/>
      <c r="K61" s="294"/>
      <c r="L61" s="379"/>
      <c r="M61" s="380"/>
      <c r="N61" s="379"/>
      <c r="O61" s="295"/>
      <c r="P61" s="295"/>
      <c r="Q61" t="s" s="381">
        <f>IF(B61="","",IF(OR(H61='Fordítások'!$C$70,H61='Fordítások'!$B$70),"Y","N"))</f>
      </c>
      <c r="R61" t="s" s="381">
        <f>IF(NOT(ISERROR(SEARCH("400",J61,1))),"Y","N")</f>
        <v>257</v>
      </c>
      <c r="S61" t="s" s="381">
        <f>IF(NOT(ISERROR(SEARCH("412",J61,1))),"Y","N")</f>
        <v>257</v>
      </c>
      <c r="T61" t="s" s="381">
        <f>IF(NOT(ISERROR(SEARCH("412",K61,1))),"Y","N")</f>
        <v>257</v>
      </c>
      <c r="U61" s="295"/>
      <c r="V61" s="382"/>
      <c r="W61" s="355"/>
      <c r="X61" s="247"/>
      <c r="Y61" s="297">
        <f>IF(B61="",0,Y60+1)</f>
        <v>0</v>
      </c>
      <c r="Z61" s="237"/>
      <c r="AA61" t="b" s="384">
        <f>IF(H61='Auswahldaten'!$A$16,TRUE,FALSE)</f>
        <v>0</v>
      </c>
      <c r="AB61" t="b" s="377">
        <f>IF('Alapanyagok_DID'!O61="R",TRUE,FALSE)</f>
        <v>0</v>
      </c>
      <c r="AC61" t="b" s="377">
        <f>IF(AND(AA61=TRUE,AB61=TRUE),TRUE,FALSE)</f>
        <v>0</v>
      </c>
      <c r="AD61" t="b" s="377">
        <f>IF('Alapanyagok_DID'!K61='Auswahldaten'!$A$12,TRUE,FALSE)</f>
        <v>0</v>
      </c>
      <c r="AE61" t="b" s="377">
        <f>IF(AND(AA61=TRUE,AD61=TRUE),TRUE,FALSE)</f>
        <v>0</v>
      </c>
      <c r="AF61" t="b" s="377">
        <f>IF(AND(AA61=TRUE,'Alapanyagok_DID'!E61='DID List'!$A$7),TRUE,FALSE)</f>
        <v>0</v>
      </c>
      <c r="AG61" t="b" s="377">
        <f>IF(AND(O61='Auswahldaten'!$A$12,'Alapanyagok_DID'!F61='DID List'!$A$7),TRUE,FALSE)</f>
        <v>0</v>
      </c>
      <c r="AH61" t="b" s="377">
        <f>IF('Alapanyagok_DID'!F61='DID List'!$A$7,TRUE,FALSE)</f>
        <v>0</v>
      </c>
      <c r="AI61" t="b" s="377">
        <f>IF(P61='Auswahldaten'!$A$12,TRUE,FALSE)</f>
        <v>0</v>
      </c>
      <c r="AJ61" t="b" s="377">
        <f>IF(AND(ISERROR(SEARCH("H400",J61))=FALSE,H61='Auswahldaten'!$A$16)=TRUE,TRUE,FALSE)</f>
        <v>0</v>
      </c>
      <c r="AK61" t="b" s="377">
        <f>IF(AND(ISERROR(SEARCH($AK$11,J61))=FALSE,H61='Auswahldaten'!$A$16)=TRUE,TRUE,FALSE)</f>
        <v>0</v>
      </c>
      <c r="AL61" t="b" s="377">
        <f>IF(AND(ISERROR(SEARCH("H317",J61))=FALSE,H61='Auswahldaten'!$A$21)=TRUE,TRUE,FALSE)</f>
        <v>0</v>
      </c>
      <c r="AM61" t="b" s="377">
        <f>IF(AND(ISERROR(SEARCH("H334",J61))=FALSE,H61='Auswahldaten'!$A$21)=TRUE,TRUE,FALSE)</f>
        <v>0</v>
      </c>
      <c r="AN61" t="b" s="385">
        <f>IF(ISERROR(SEARCH("H351",J61))=TRUE,FALSE,TRUE)</f>
        <v>0</v>
      </c>
      <c r="AO61" s="142"/>
      <c r="AP61" s="377">
        <f>L61</f>
        <v>0</v>
      </c>
      <c r="AQ61" t="b" s="385">
        <f>IF(AND(H61='Auswahldaten'!A$20,OR(L61='Auswahldaten'!A$52,L61='Auswahldaten'!A$53)),TRUE,FALSE)</f>
        <v>0</v>
      </c>
      <c r="AR61" s="34">
        <f>IF(K61='Auswahldaten'!$A$61,1,0)</f>
        <v>0</v>
      </c>
      <c r="AS61" s="13"/>
      <c r="AT61" s="13"/>
      <c r="AU61" s="13"/>
      <c r="AV61" s="13"/>
      <c r="AW61" s="14"/>
    </row>
    <row r="62" ht="16.5" customHeight="1">
      <c r="A62" s="391"/>
      <c r="B62" t="s" s="392">
        <f>'Összetétel'!B62</f>
        <v>260</v>
      </c>
      <c r="C62" s="393"/>
      <c r="D62" s="393"/>
      <c r="E62" s="393"/>
      <c r="F62" s="393"/>
      <c r="G62" s="394"/>
      <c r="H62" s="395"/>
      <c r="I62" s="396">
        <f>SUM(I12:I61)</f>
        <v>0</v>
      </c>
      <c r="J62" s="397"/>
      <c r="K62" s="397"/>
      <c r="L62" s="398"/>
      <c r="M62" s="398"/>
      <c r="N62" s="398"/>
      <c r="O62" s="399"/>
      <c r="P62" s="399"/>
      <c r="Q62" s="399"/>
      <c r="R62" s="399"/>
      <c r="S62" s="399"/>
      <c r="T62" s="399"/>
      <c r="U62" s="399"/>
      <c r="V62" s="399"/>
      <c r="W62" s="176"/>
      <c r="X62" s="247"/>
      <c r="Y62" t="s" s="365">
        <v>261</v>
      </c>
      <c r="Z62" s="237"/>
      <c r="AA62" s="145"/>
      <c r="AB62" s="142"/>
      <c r="AC62" s="142"/>
      <c r="AD62" s="142"/>
      <c r="AE62" s="142"/>
      <c r="AF62" s="142"/>
      <c r="AG62" s="142"/>
      <c r="AH62" s="142"/>
      <c r="AI62" s="142"/>
      <c r="AJ62" s="142"/>
      <c r="AK62" s="142"/>
      <c r="AL62" s="142"/>
      <c r="AM62" s="142"/>
      <c r="AN62" s="146"/>
      <c r="AO62" s="142"/>
      <c r="AP62" s="142"/>
      <c r="AQ62" s="146"/>
      <c r="AR62" s="13"/>
      <c r="AS62" s="13"/>
      <c r="AT62" s="13"/>
      <c r="AU62" s="13"/>
      <c r="AV62" s="13"/>
      <c r="AW62" s="14"/>
    </row>
    <row r="63" ht="16.5" customHeight="1">
      <c r="A63" s="28"/>
      <c r="B63" s="337"/>
      <c r="C63" s="13"/>
      <c r="D63" s="13"/>
      <c r="E63" s="13"/>
      <c r="F63" s="13"/>
      <c r="G63" s="400"/>
      <c r="H63" s="262"/>
      <c r="I63" t="s" s="307">
        <f>IF('Adatlap'!$L$1='Fordítások'!C3,'Fordítások'!C25,'Fordítások'!B25)</f>
        <v>196</v>
      </c>
      <c r="J63" s="401"/>
      <c r="K63" s="401"/>
      <c r="L63" s="13"/>
      <c r="M63" s="13"/>
      <c r="N63" s="13"/>
      <c r="O63" s="13"/>
      <c r="P63" s="13"/>
      <c r="Q63" s="13"/>
      <c r="R63" s="13"/>
      <c r="S63" s="13"/>
      <c r="T63" s="13"/>
      <c r="U63" s="13"/>
      <c r="V63" s="13"/>
      <c r="W63" s="176"/>
      <c r="X63" s="247"/>
      <c r="Y63" s="297">
        <f>MAX(Y13:Y61)</f>
        <v>0</v>
      </c>
      <c r="Z63" s="237"/>
      <c r="AA63" s="384">
        <f>_xlfn.COUNTIFS(AA13:AA61,TRUE)</f>
        <v>0</v>
      </c>
      <c r="AB63" s="377">
        <f>_xlfn.COUNTIFS(AB13:AB61,TRUE)</f>
        <v>0</v>
      </c>
      <c r="AC63" s="377">
        <f>_xlfn.COUNTIFS(AC13:AC61,TRUE)</f>
        <v>0</v>
      </c>
      <c r="AD63" s="377">
        <f>_xlfn.COUNTIFS(AD13:AD61,TRUE)</f>
        <v>0</v>
      </c>
      <c r="AE63" s="377">
        <f>_xlfn.COUNTIFS(AE13:AE61,TRUE)</f>
        <v>0</v>
      </c>
      <c r="AF63" s="377">
        <f>_xlfn.COUNTIFS(AF13:AF61,TRUE)</f>
        <v>0</v>
      </c>
      <c r="AG63" s="377">
        <f>_xlfn.COUNTIFS(AG13:AG61,TRUE)</f>
        <v>0</v>
      </c>
      <c r="AH63" s="377">
        <f>_xlfn.COUNTIFS(AH13:AH61,TRUE)</f>
        <v>0</v>
      </c>
      <c r="AI63" t="s" s="386">
        <f>IF(_xlfn.COUNTIFS(AI13:AI61,TRUE)&gt;0,'Auswahldaten'!A12,'Auswahldaten'!A13)</f>
        <v>59</v>
      </c>
      <c r="AJ63" s="377">
        <f>_xlfn.COUNTIFS(AJ13:AJ61,TRUE)</f>
        <v>0</v>
      </c>
      <c r="AK63" s="377">
        <f>_xlfn.COUNTIFS(AK13:AK61,TRUE)</f>
        <v>0</v>
      </c>
      <c r="AL63" s="377">
        <f>_xlfn.COUNTIFS(AL13:AL61,TRUE)</f>
        <v>0</v>
      </c>
      <c r="AM63" s="377">
        <f>_xlfn.COUNTIFS(AM13:AM61,TRUE)</f>
        <v>0</v>
      </c>
      <c r="AN63" s="385">
        <f>_xlfn.COUNTIFS(AN13:AN61,TRUE)</f>
        <v>0</v>
      </c>
      <c r="AO63" s="142"/>
      <c r="AP63" s="142"/>
      <c r="AQ63" s="146"/>
      <c r="AR63" s="34">
        <f>SUM(AR13:AR61)</f>
        <v>0</v>
      </c>
      <c r="AS63" s="13"/>
      <c r="AT63" s="13"/>
      <c r="AU63" s="13"/>
      <c r="AV63" s="13"/>
      <c r="AW63" s="14"/>
    </row>
    <row r="64" ht="15.75" customHeight="1">
      <c r="A64" s="28"/>
      <c r="B64" s="262"/>
      <c r="C64" s="13"/>
      <c r="D64" s="13"/>
      <c r="E64" s="13"/>
      <c r="F64" s="13"/>
      <c r="G64" s="262"/>
      <c r="H64" s="262"/>
      <c r="I64" s="262"/>
      <c r="J64" s="262"/>
      <c r="K64" s="262"/>
      <c r="L64" s="13"/>
      <c r="M64" s="13"/>
      <c r="N64" s="13"/>
      <c r="O64" s="13"/>
      <c r="P64" s="13"/>
      <c r="Q64" s="13"/>
      <c r="R64" s="13"/>
      <c r="S64" s="13"/>
      <c r="T64" s="13"/>
      <c r="U64" s="13"/>
      <c r="V64" s="13"/>
      <c r="W64" s="176"/>
      <c r="X64" s="247"/>
      <c r="Y64" s="236"/>
      <c r="Z64" s="237"/>
      <c r="AA64" s="145"/>
      <c r="AB64" s="142"/>
      <c r="AC64" s="142"/>
      <c r="AD64" s="142"/>
      <c r="AE64" s="142"/>
      <c r="AF64" s="142"/>
      <c r="AG64" s="142"/>
      <c r="AH64" s="142"/>
      <c r="AI64" s="377">
        <f>_xlfn.COUNTIFS(AI13:AI61,TRUE)</f>
        <v>0</v>
      </c>
      <c r="AJ64" s="142"/>
      <c r="AK64" s="142"/>
      <c r="AL64" s="142"/>
      <c r="AM64" s="142"/>
      <c r="AN64" s="146"/>
      <c r="AO64" s="142"/>
      <c r="AP64" s="142"/>
      <c r="AQ64" s="146"/>
      <c r="AR64" s="13"/>
      <c r="AS64" s="13"/>
      <c r="AT64" s="13"/>
      <c r="AU64" s="13"/>
      <c r="AV64" s="13"/>
      <c r="AW64" s="14"/>
    </row>
    <row r="65" ht="30" customHeight="1">
      <c r="A65" s="28"/>
      <c r="B65" t="s" s="211">
        <f>'Összetétel'!B65:H65</f>
        <v>262</v>
      </c>
      <c r="C65" s="402"/>
      <c r="D65" s="402"/>
      <c r="E65" s="402"/>
      <c r="F65" s="402"/>
      <c r="G65" s="402"/>
      <c r="H65" s="402"/>
      <c r="I65" s="402"/>
      <c r="J65" s="402"/>
      <c r="K65" s="402"/>
      <c r="L65" s="402"/>
      <c r="M65" s="13"/>
      <c r="N65" s="13"/>
      <c r="O65" s="13"/>
      <c r="P65" s="13"/>
      <c r="Q65" s="13"/>
      <c r="R65" s="13"/>
      <c r="S65" s="13"/>
      <c r="T65" s="13"/>
      <c r="U65" s="13"/>
      <c r="V65" s="13"/>
      <c r="W65" s="176"/>
      <c r="X65" s="247"/>
      <c r="Y65" s="236"/>
      <c r="Z65" s="237"/>
      <c r="AA65" s="145"/>
      <c r="AB65" s="142"/>
      <c r="AC65" s="142"/>
      <c r="AD65" s="142"/>
      <c r="AE65" s="142"/>
      <c r="AF65" s="142"/>
      <c r="AG65" s="142"/>
      <c r="AH65" s="142"/>
      <c r="AI65" s="142"/>
      <c r="AJ65" s="142"/>
      <c r="AK65" s="142"/>
      <c r="AL65" s="142"/>
      <c r="AM65" s="142"/>
      <c r="AN65" s="146"/>
      <c r="AO65" s="142"/>
      <c r="AP65" s="142"/>
      <c r="AQ65" s="146"/>
      <c r="AR65" s="13"/>
      <c r="AS65" s="13"/>
      <c r="AT65" s="13"/>
      <c r="AU65" s="13"/>
      <c r="AV65" s="13"/>
      <c r="AW65" s="14"/>
    </row>
    <row r="66" ht="25.5" customHeight="1">
      <c r="A66" s="28"/>
      <c r="B66" t="s" s="403">
        <f>IF('Adatlap'!$L$1='Fordítások'!C3,'Fordítások'!C29,'Fordítások'!B29)</f>
        <v>263</v>
      </c>
      <c r="C66" s="404"/>
      <c r="D66" s="404"/>
      <c r="E66" s="404"/>
      <c r="F66" s="404"/>
      <c r="G66" s="404"/>
      <c r="H66" s="404"/>
      <c r="I66" s="404"/>
      <c r="J66" s="404"/>
      <c r="K66" s="404"/>
      <c r="L66" s="404"/>
      <c r="M66" s="404"/>
      <c r="N66" s="404"/>
      <c r="O66" s="404"/>
      <c r="P66" s="404"/>
      <c r="Q66" s="404"/>
      <c r="R66" s="404"/>
      <c r="S66" s="404"/>
      <c r="T66" s="404"/>
      <c r="U66" s="404"/>
      <c r="V66" s="404"/>
      <c r="W66" s="176"/>
      <c r="X66" s="247"/>
      <c r="Y66" s="236"/>
      <c r="Z66" s="237"/>
      <c r="AA66" s="145"/>
      <c r="AB66" s="142"/>
      <c r="AC66" s="142"/>
      <c r="AD66" s="142"/>
      <c r="AE66" s="142"/>
      <c r="AF66" s="142"/>
      <c r="AG66" s="142"/>
      <c r="AH66" s="142"/>
      <c r="AI66" s="142"/>
      <c r="AJ66" s="142"/>
      <c r="AK66" s="142"/>
      <c r="AL66" s="142"/>
      <c r="AM66" s="142"/>
      <c r="AN66" s="146"/>
      <c r="AO66" s="142"/>
      <c r="AP66" s="142"/>
      <c r="AQ66" s="146"/>
      <c r="AR66" s="13"/>
      <c r="AS66" s="13"/>
      <c r="AT66" s="13"/>
      <c r="AU66" s="13"/>
      <c r="AV66" s="13"/>
      <c r="AW66" s="14"/>
    </row>
    <row r="67" ht="15.75" customHeight="1">
      <c r="A67" s="28"/>
      <c r="B67" s="405"/>
      <c r="C67" s="39"/>
      <c r="D67" s="13"/>
      <c r="E67" s="39"/>
      <c r="F67" s="13"/>
      <c r="G67" s="405"/>
      <c r="H67" s="405"/>
      <c r="I67" s="405"/>
      <c r="J67" s="405"/>
      <c r="K67" s="405"/>
      <c r="L67" s="39"/>
      <c r="M67" s="39"/>
      <c r="N67" s="39"/>
      <c r="O67" s="39"/>
      <c r="P67" s="39"/>
      <c r="Q67" s="13"/>
      <c r="R67" s="13"/>
      <c r="S67" s="13"/>
      <c r="T67" s="13"/>
      <c r="U67" s="39"/>
      <c r="V67" s="39"/>
      <c r="W67" s="176"/>
      <c r="X67" s="247"/>
      <c r="Y67" s="236"/>
      <c r="Z67" s="237"/>
      <c r="AA67" s="145"/>
      <c r="AB67" s="142"/>
      <c r="AC67" s="142"/>
      <c r="AD67" s="142"/>
      <c r="AE67" s="142"/>
      <c r="AF67" s="142"/>
      <c r="AG67" s="142"/>
      <c r="AH67" s="142"/>
      <c r="AI67" s="142"/>
      <c r="AJ67" s="142"/>
      <c r="AK67" s="142"/>
      <c r="AL67" s="142"/>
      <c r="AM67" s="142"/>
      <c r="AN67" s="146"/>
      <c r="AO67" s="142"/>
      <c r="AP67" s="142"/>
      <c r="AQ67" s="146"/>
      <c r="AR67" s="13"/>
      <c r="AS67" s="13"/>
      <c r="AT67" s="13"/>
      <c r="AU67" s="13"/>
      <c r="AV67" s="13"/>
      <c r="AW67" s="14"/>
    </row>
    <row r="68" ht="46.5" customHeight="1">
      <c r="A68" s="406"/>
      <c r="B68" t="s" s="313">
        <f>'Összetétel'!B67:H67</f>
        <v>264</v>
      </c>
      <c r="C68" s="407"/>
      <c r="D68" s="408"/>
      <c r="E68" s="409"/>
      <c r="F68" s="408"/>
      <c r="G68" s="410"/>
      <c r="H68" s="411"/>
      <c r="I68" s="411"/>
      <c r="J68" s="411"/>
      <c r="K68" s="411"/>
      <c r="L68" s="411"/>
      <c r="M68" s="411"/>
      <c r="N68" s="411"/>
      <c r="O68" s="411"/>
      <c r="P68" s="407"/>
      <c r="Q68" s="412"/>
      <c r="R68" s="413"/>
      <c r="S68" s="413"/>
      <c r="T68" s="414"/>
      <c r="U68" s="410"/>
      <c r="V68" s="407"/>
      <c r="W68" s="355"/>
      <c r="X68" s="247"/>
      <c r="Y68" s="236"/>
      <c r="Z68" s="237"/>
      <c r="AA68" s="145"/>
      <c r="AB68" s="142"/>
      <c r="AC68" s="142"/>
      <c r="AD68" s="142"/>
      <c r="AE68" s="142"/>
      <c r="AF68" s="142"/>
      <c r="AG68" s="142"/>
      <c r="AH68" s="142"/>
      <c r="AI68" s="142"/>
      <c r="AJ68" s="142"/>
      <c r="AK68" s="142"/>
      <c r="AL68" s="142"/>
      <c r="AM68" s="142"/>
      <c r="AN68" s="146"/>
      <c r="AO68" s="142"/>
      <c r="AP68" s="142"/>
      <c r="AQ68" s="146"/>
      <c r="AR68" s="13"/>
      <c r="AS68" s="13"/>
      <c r="AT68" s="13"/>
      <c r="AU68" s="13"/>
      <c r="AV68" s="13"/>
      <c r="AW68" s="14"/>
    </row>
    <row r="69" ht="15.75" customHeight="1">
      <c r="A69" s="28"/>
      <c r="B69" s="256"/>
      <c r="C69" s="69"/>
      <c r="D69" s="13"/>
      <c r="E69" s="69"/>
      <c r="F69" s="13"/>
      <c r="G69" s="256"/>
      <c r="H69" s="256"/>
      <c r="I69" s="256"/>
      <c r="J69" s="256"/>
      <c r="K69" s="256"/>
      <c r="L69" s="69"/>
      <c r="M69" s="69"/>
      <c r="N69" s="69"/>
      <c r="O69" s="69"/>
      <c r="P69" s="69"/>
      <c r="Q69" s="13"/>
      <c r="R69" s="13"/>
      <c r="S69" s="13"/>
      <c r="T69" s="13"/>
      <c r="U69" s="69"/>
      <c r="V69" s="69"/>
      <c r="W69" s="176"/>
      <c r="X69" s="247"/>
      <c r="Y69" s="236"/>
      <c r="Z69" s="237"/>
      <c r="AA69" s="145"/>
      <c r="AB69" s="142"/>
      <c r="AC69" s="142"/>
      <c r="AD69" s="142"/>
      <c r="AE69" s="142"/>
      <c r="AF69" s="142"/>
      <c r="AG69" s="142"/>
      <c r="AH69" s="142"/>
      <c r="AI69" s="142"/>
      <c r="AJ69" s="142"/>
      <c r="AK69" s="142"/>
      <c r="AL69" s="142"/>
      <c r="AM69" s="142"/>
      <c r="AN69" s="146"/>
      <c r="AO69" s="142"/>
      <c r="AP69" s="142"/>
      <c r="AQ69" s="146"/>
      <c r="AR69" s="13"/>
      <c r="AS69" s="13"/>
      <c r="AT69" s="13"/>
      <c r="AU69" s="13"/>
      <c r="AV69" s="13"/>
      <c r="AW69" s="14"/>
    </row>
    <row r="70" ht="15.75" customHeight="1">
      <c r="A70" s="28"/>
      <c r="B70" s="262"/>
      <c r="C70" s="13"/>
      <c r="D70" s="13"/>
      <c r="E70" s="13"/>
      <c r="F70" s="13"/>
      <c r="G70" s="262"/>
      <c r="H70" s="262"/>
      <c r="I70" s="262"/>
      <c r="J70" s="262"/>
      <c r="K70" s="262"/>
      <c r="L70" s="13"/>
      <c r="M70" s="13"/>
      <c r="N70" s="13"/>
      <c r="O70" s="13"/>
      <c r="P70" s="13"/>
      <c r="Q70" s="13"/>
      <c r="R70" s="13"/>
      <c r="S70" s="13"/>
      <c r="T70" s="13"/>
      <c r="U70" s="13"/>
      <c r="V70" s="13"/>
      <c r="W70" s="176"/>
      <c r="X70" s="247"/>
      <c r="Y70" s="236"/>
      <c r="Z70" s="237"/>
      <c r="AA70" s="145"/>
      <c r="AB70" s="142"/>
      <c r="AC70" s="142"/>
      <c r="AD70" s="142"/>
      <c r="AE70" s="142"/>
      <c r="AF70" s="142"/>
      <c r="AG70" s="142"/>
      <c r="AH70" s="142"/>
      <c r="AI70" s="142"/>
      <c r="AJ70" s="142"/>
      <c r="AK70" s="142"/>
      <c r="AL70" s="142"/>
      <c r="AM70" s="142"/>
      <c r="AN70" s="146"/>
      <c r="AO70" s="142"/>
      <c r="AP70" s="142"/>
      <c r="AQ70" s="146"/>
      <c r="AR70" s="13"/>
      <c r="AS70" s="13"/>
      <c r="AT70" s="13"/>
      <c r="AU70" s="13"/>
      <c r="AV70" s="13"/>
      <c r="AW70" s="14"/>
    </row>
    <row r="71" ht="15.75" customHeight="1">
      <c r="A71" s="28"/>
      <c r="B71" s="262"/>
      <c r="C71" s="13"/>
      <c r="D71" s="13"/>
      <c r="E71" s="13"/>
      <c r="F71" s="13"/>
      <c r="G71" s="262"/>
      <c r="H71" s="262"/>
      <c r="I71" s="262"/>
      <c r="J71" s="262"/>
      <c r="K71" s="262"/>
      <c r="L71" s="13"/>
      <c r="M71" s="13"/>
      <c r="N71" s="13"/>
      <c r="O71" s="13"/>
      <c r="P71" s="13"/>
      <c r="Q71" s="13"/>
      <c r="R71" s="13"/>
      <c r="S71" s="13"/>
      <c r="T71" s="13"/>
      <c r="U71" s="13"/>
      <c r="V71" s="13"/>
      <c r="W71" s="176"/>
      <c r="X71" s="247"/>
      <c r="Y71" s="236"/>
      <c r="Z71" s="237"/>
      <c r="AA71" s="145"/>
      <c r="AB71" s="142"/>
      <c r="AC71" s="142"/>
      <c r="AD71" s="142"/>
      <c r="AE71" s="142"/>
      <c r="AF71" s="142"/>
      <c r="AG71" s="142"/>
      <c r="AH71" s="142"/>
      <c r="AI71" s="142"/>
      <c r="AJ71" s="142"/>
      <c r="AK71" s="142"/>
      <c r="AL71" s="142"/>
      <c r="AM71" s="142"/>
      <c r="AN71" s="146"/>
      <c r="AO71" s="142"/>
      <c r="AP71" s="142"/>
      <c r="AQ71" s="146"/>
      <c r="AR71" s="13"/>
      <c r="AS71" s="13"/>
      <c r="AT71" s="13"/>
      <c r="AU71" s="13"/>
      <c r="AV71" s="13"/>
      <c r="AW71" s="14"/>
    </row>
    <row r="72" ht="15.75" customHeight="1">
      <c r="A72" s="28"/>
      <c r="B72" s="262"/>
      <c r="C72" s="13"/>
      <c r="D72" s="13"/>
      <c r="E72" s="13"/>
      <c r="F72" s="13"/>
      <c r="G72" s="262"/>
      <c r="H72" s="262"/>
      <c r="I72" s="262"/>
      <c r="J72" s="262"/>
      <c r="K72" s="262"/>
      <c r="L72" s="13"/>
      <c r="M72" s="13"/>
      <c r="N72" s="13"/>
      <c r="O72" s="13"/>
      <c r="P72" s="13"/>
      <c r="Q72" s="13"/>
      <c r="R72" s="13"/>
      <c r="S72" s="13"/>
      <c r="T72" s="13"/>
      <c r="U72" s="13"/>
      <c r="V72" s="13"/>
      <c r="W72" s="176"/>
      <c r="X72" s="247"/>
      <c r="Y72" s="236"/>
      <c r="Z72" s="237"/>
      <c r="AA72" s="145"/>
      <c r="AB72" s="142"/>
      <c r="AC72" s="142"/>
      <c r="AD72" s="142"/>
      <c r="AE72" s="142"/>
      <c r="AF72" s="142"/>
      <c r="AG72" s="142"/>
      <c r="AH72" s="142"/>
      <c r="AI72" s="142"/>
      <c r="AJ72" s="142"/>
      <c r="AK72" s="142"/>
      <c r="AL72" s="142"/>
      <c r="AM72" s="142"/>
      <c r="AN72" s="146"/>
      <c r="AO72" s="142"/>
      <c r="AP72" s="142"/>
      <c r="AQ72" s="146"/>
      <c r="AR72" s="13"/>
      <c r="AS72" s="13"/>
      <c r="AT72" s="13"/>
      <c r="AU72" s="13"/>
      <c r="AV72" s="13"/>
      <c r="AW72" s="14"/>
    </row>
    <row r="73" ht="15.75" customHeight="1">
      <c r="A73" s="28"/>
      <c r="B73" s="262"/>
      <c r="C73" s="13"/>
      <c r="D73" s="13"/>
      <c r="E73" s="13"/>
      <c r="F73" s="13"/>
      <c r="G73" s="262"/>
      <c r="H73" s="262"/>
      <c r="I73" s="262"/>
      <c r="J73" s="262"/>
      <c r="K73" s="262"/>
      <c r="L73" s="13"/>
      <c r="M73" s="13"/>
      <c r="N73" s="13"/>
      <c r="O73" s="13"/>
      <c r="P73" s="13"/>
      <c r="Q73" s="13"/>
      <c r="R73" s="13"/>
      <c r="S73" s="13"/>
      <c r="T73" s="13"/>
      <c r="U73" s="13"/>
      <c r="V73" s="13"/>
      <c r="W73" s="176"/>
      <c r="X73" s="247"/>
      <c r="Y73" s="236"/>
      <c r="Z73" s="237"/>
      <c r="AA73" s="145"/>
      <c r="AB73" s="142"/>
      <c r="AC73" s="142"/>
      <c r="AD73" s="142"/>
      <c r="AE73" s="142"/>
      <c r="AF73" s="142"/>
      <c r="AG73" s="142"/>
      <c r="AH73" s="142"/>
      <c r="AI73" s="142"/>
      <c r="AJ73" s="142"/>
      <c r="AK73" s="142"/>
      <c r="AL73" s="142"/>
      <c r="AM73" s="142"/>
      <c r="AN73" s="146"/>
      <c r="AO73" s="142"/>
      <c r="AP73" s="142"/>
      <c r="AQ73" s="146"/>
      <c r="AR73" s="13"/>
      <c r="AS73" s="13"/>
      <c r="AT73" s="13"/>
      <c r="AU73" s="13"/>
      <c r="AV73" s="13"/>
      <c r="AW73" s="14"/>
    </row>
    <row r="74" ht="15.75" customHeight="1">
      <c r="A74" s="28"/>
      <c r="B74" s="262"/>
      <c r="C74" s="13"/>
      <c r="D74" s="13"/>
      <c r="E74" s="13"/>
      <c r="F74" s="13"/>
      <c r="G74" s="262"/>
      <c r="H74" s="262"/>
      <c r="I74" s="262"/>
      <c r="J74" s="262"/>
      <c r="K74" s="262"/>
      <c r="L74" s="13"/>
      <c r="M74" s="13"/>
      <c r="N74" s="13"/>
      <c r="O74" s="13"/>
      <c r="P74" s="13"/>
      <c r="Q74" s="13"/>
      <c r="R74" s="13"/>
      <c r="S74" s="13"/>
      <c r="T74" s="13"/>
      <c r="U74" s="13"/>
      <c r="V74" s="13"/>
      <c r="W74" s="176"/>
      <c r="X74" s="247"/>
      <c r="Y74" s="236"/>
      <c r="Z74" s="237"/>
      <c r="AA74" s="145"/>
      <c r="AB74" s="142"/>
      <c r="AC74" s="142"/>
      <c r="AD74" s="142"/>
      <c r="AE74" s="142"/>
      <c r="AF74" s="142"/>
      <c r="AG74" s="142"/>
      <c r="AH74" s="142"/>
      <c r="AI74" s="142"/>
      <c r="AJ74" s="142"/>
      <c r="AK74" s="142"/>
      <c r="AL74" s="142"/>
      <c r="AM74" s="142"/>
      <c r="AN74" s="146"/>
      <c r="AO74" s="142"/>
      <c r="AP74" s="142"/>
      <c r="AQ74" s="146"/>
      <c r="AR74" s="13"/>
      <c r="AS74" s="13"/>
      <c r="AT74" s="13"/>
      <c r="AU74" s="13"/>
      <c r="AV74" s="13"/>
      <c r="AW74" s="14"/>
    </row>
    <row r="75" ht="15.75" customHeight="1">
      <c r="A75" s="28"/>
      <c r="B75" s="262"/>
      <c r="C75" s="13"/>
      <c r="D75" s="13"/>
      <c r="E75" s="13"/>
      <c r="F75" s="13"/>
      <c r="G75" s="262"/>
      <c r="H75" s="262"/>
      <c r="I75" s="262"/>
      <c r="J75" s="262"/>
      <c r="K75" s="262"/>
      <c r="L75" s="13"/>
      <c r="M75" s="13"/>
      <c r="N75" s="13"/>
      <c r="O75" s="13"/>
      <c r="P75" s="13"/>
      <c r="Q75" s="13"/>
      <c r="R75" s="13"/>
      <c r="S75" s="13"/>
      <c r="T75" s="13"/>
      <c r="U75" s="13"/>
      <c r="V75" s="13"/>
      <c r="W75" s="176"/>
      <c r="X75" s="247"/>
      <c r="Y75" s="236"/>
      <c r="Z75" s="237"/>
      <c r="AA75" s="145"/>
      <c r="AB75" s="142"/>
      <c r="AC75" s="142"/>
      <c r="AD75" s="142"/>
      <c r="AE75" s="142"/>
      <c r="AF75" s="142"/>
      <c r="AG75" s="142"/>
      <c r="AH75" s="142"/>
      <c r="AI75" s="142"/>
      <c r="AJ75" s="142"/>
      <c r="AK75" s="142"/>
      <c r="AL75" s="142"/>
      <c r="AM75" s="142"/>
      <c r="AN75" s="146"/>
      <c r="AO75" s="142"/>
      <c r="AP75" s="142"/>
      <c r="AQ75" s="146"/>
      <c r="AR75" s="13"/>
      <c r="AS75" s="13"/>
      <c r="AT75" s="13"/>
      <c r="AU75" s="13"/>
      <c r="AV75" s="13"/>
      <c r="AW75" s="14"/>
    </row>
    <row r="76" ht="15.75" customHeight="1">
      <c r="A76" s="28"/>
      <c r="B76" s="262"/>
      <c r="C76" s="13"/>
      <c r="D76" s="13"/>
      <c r="E76" s="13"/>
      <c r="F76" s="13"/>
      <c r="G76" s="262"/>
      <c r="H76" s="262"/>
      <c r="I76" s="262"/>
      <c r="J76" s="262"/>
      <c r="K76" s="262"/>
      <c r="L76" s="13"/>
      <c r="M76" s="13"/>
      <c r="N76" s="13"/>
      <c r="O76" s="13"/>
      <c r="P76" s="13"/>
      <c r="Q76" s="13"/>
      <c r="R76" s="13"/>
      <c r="S76" s="13"/>
      <c r="T76" s="13"/>
      <c r="U76" s="13"/>
      <c r="V76" s="13"/>
      <c r="W76" s="176"/>
      <c r="X76" s="247"/>
      <c r="Y76" s="236"/>
      <c r="Z76" s="237"/>
      <c r="AA76" s="145"/>
      <c r="AB76" s="142"/>
      <c r="AC76" s="142"/>
      <c r="AD76" s="142"/>
      <c r="AE76" s="142"/>
      <c r="AF76" s="142"/>
      <c r="AG76" s="142"/>
      <c r="AH76" s="142"/>
      <c r="AI76" s="142"/>
      <c r="AJ76" s="142"/>
      <c r="AK76" s="142"/>
      <c r="AL76" s="142"/>
      <c r="AM76" s="142"/>
      <c r="AN76" s="146"/>
      <c r="AO76" s="142"/>
      <c r="AP76" s="142"/>
      <c r="AQ76" s="146"/>
      <c r="AR76" s="13"/>
      <c r="AS76" s="13"/>
      <c r="AT76" s="13"/>
      <c r="AU76" s="13"/>
      <c r="AV76" s="13"/>
      <c r="AW76" s="14"/>
    </row>
    <row r="77" ht="15.75" customHeight="1">
      <c r="A77" s="28"/>
      <c r="B77" s="262"/>
      <c r="C77" s="13"/>
      <c r="D77" s="13"/>
      <c r="E77" s="13"/>
      <c r="F77" s="13"/>
      <c r="G77" s="262"/>
      <c r="H77" s="262"/>
      <c r="I77" s="262"/>
      <c r="J77" s="262"/>
      <c r="K77" s="262"/>
      <c r="L77" s="13"/>
      <c r="M77" s="13"/>
      <c r="N77" s="13"/>
      <c r="O77" s="13"/>
      <c r="P77" s="13"/>
      <c r="Q77" s="13"/>
      <c r="R77" s="13"/>
      <c r="S77" s="13"/>
      <c r="T77" s="13"/>
      <c r="U77" s="13"/>
      <c r="V77" s="13"/>
      <c r="W77" s="176"/>
      <c r="X77" s="247"/>
      <c r="Y77" s="236"/>
      <c r="Z77" s="237"/>
      <c r="AA77" s="145"/>
      <c r="AB77" s="142"/>
      <c r="AC77" s="142"/>
      <c r="AD77" s="142"/>
      <c r="AE77" s="142"/>
      <c r="AF77" s="142"/>
      <c r="AG77" s="142"/>
      <c r="AH77" s="142"/>
      <c r="AI77" s="142"/>
      <c r="AJ77" s="142"/>
      <c r="AK77" s="142"/>
      <c r="AL77" s="142"/>
      <c r="AM77" s="142"/>
      <c r="AN77" s="146"/>
      <c r="AO77" s="142"/>
      <c r="AP77" s="142"/>
      <c r="AQ77" s="146"/>
      <c r="AR77" s="13"/>
      <c r="AS77" s="13"/>
      <c r="AT77" s="13"/>
      <c r="AU77" s="13"/>
      <c r="AV77" s="13"/>
      <c r="AW77" s="14"/>
    </row>
    <row r="78" ht="15.75" customHeight="1">
      <c r="A78" s="227"/>
      <c r="B78" s="317"/>
      <c r="C78" s="227"/>
      <c r="D78" s="227"/>
      <c r="E78" s="227"/>
      <c r="F78" s="227"/>
      <c r="G78" s="317"/>
      <c r="H78" s="317"/>
      <c r="I78" s="317"/>
      <c r="J78" s="317"/>
      <c r="K78" s="317"/>
      <c r="L78" s="227"/>
      <c r="M78" s="227"/>
      <c r="N78" s="227"/>
      <c r="O78" s="227"/>
      <c r="P78" s="227"/>
      <c r="Q78" s="227"/>
      <c r="R78" s="227"/>
      <c r="S78" s="227"/>
      <c r="T78" s="227"/>
      <c r="U78" s="227"/>
      <c r="V78" s="130"/>
      <c r="W78" s="176"/>
      <c r="X78" s="247"/>
      <c r="Y78" s="236"/>
      <c r="Z78" s="237"/>
      <c r="AA78" s="145"/>
      <c r="AB78" s="142"/>
      <c r="AC78" s="142"/>
      <c r="AD78" s="142"/>
      <c r="AE78" s="142"/>
      <c r="AF78" s="142"/>
      <c r="AG78" s="142"/>
      <c r="AH78" s="142"/>
      <c r="AI78" s="142"/>
      <c r="AJ78" s="142"/>
      <c r="AK78" s="142"/>
      <c r="AL78" s="142"/>
      <c r="AM78" s="142"/>
      <c r="AN78" s="146"/>
      <c r="AO78" s="142"/>
      <c r="AP78" s="142"/>
      <c r="AQ78" s="146"/>
      <c r="AR78" s="13"/>
      <c r="AS78" s="13"/>
      <c r="AT78" s="13"/>
      <c r="AU78" s="13"/>
      <c r="AV78" s="13"/>
      <c r="AW78" s="14"/>
    </row>
    <row r="79" ht="12.75" customHeight="1">
      <c r="A79" s="142"/>
      <c r="B79" s="237"/>
      <c r="C79" s="142"/>
      <c r="D79" s="142"/>
      <c r="E79" s="142"/>
      <c r="F79" s="142"/>
      <c r="G79" s="237"/>
      <c r="H79" s="237"/>
      <c r="I79" s="237"/>
      <c r="J79" s="237"/>
      <c r="K79" s="237"/>
      <c r="L79" s="142"/>
      <c r="M79" s="142"/>
      <c r="N79" s="142"/>
      <c r="O79" s="142"/>
      <c r="P79" s="142"/>
      <c r="Q79" s="142"/>
      <c r="R79" s="142"/>
      <c r="S79" s="142"/>
      <c r="T79" s="142"/>
      <c r="U79" s="142"/>
      <c r="V79" s="142"/>
      <c r="W79" s="227"/>
      <c r="X79" s="317"/>
      <c r="Y79" s="237"/>
      <c r="Z79" s="237"/>
      <c r="AA79" s="142"/>
      <c r="AB79" s="142"/>
      <c r="AC79" s="142"/>
      <c r="AD79" s="142"/>
      <c r="AE79" s="142"/>
      <c r="AF79" s="142"/>
      <c r="AG79" s="142"/>
      <c r="AH79" s="142"/>
      <c r="AI79" s="142"/>
      <c r="AJ79" s="142"/>
      <c r="AK79" s="142"/>
      <c r="AL79" s="142"/>
      <c r="AM79" s="142"/>
      <c r="AN79" s="146"/>
      <c r="AO79" s="142"/>
      <c r="AP79" s="142"/>
      <c r="AQ79" s="146"/>
      <c r="AR79" s="13"/>
      <c r="AS79" s="13"/>
      <c r="AT79" s="13"/>
      <c r="AU79" s="13"/>
      <c r="AV79" s="13"/>
      <c r="AW79" s="14"/>
    </row>
    <row r="80" ht="12.75" customHeight="1">
      <c r="A80" s="142"/>
      <c r="B80" s="237"/>
      <c r="C80" s="142"/>
      <c r="D80" s="142"/>
      <c r="E80" s="142"/>
      <c r="F80" s="142"/>
      <c r="G80" s="237"/>
      <c r="H80" s="237"/>
      <c r="I80" s="237"/>
      <c r="J80" s="237"/>
      <c r="K80" s="237"/>
      <c r="L80" s="142"/>
      <c r="M80" s="142"/>
      <c r="N80" s="142"/>
      <c r="O80" s="142"/>
      <c r="P80" s="142"/>
      <c r="Q80" s="142"/>
      <c r="R80" s="142"/>
      <c r="S80" s="142"/>
      <c r="T80" s="142"/>
      <c r="U80" s="142"/>
      <c r="V80" s="142"/>
      <c r="W80" s="142"/>
      <c r="X80" s="237"/>
      <c r="Y80" s="237"/>
      <c r="Z80" s="237"/>
      <c r="AA80" s="142"/>
      <c r="AB80" s="142"/>
      <c r="AC80" s="142"/>
      <c r="AD80" s="142"/>
      <c r="AE80" s="142"/>
      <c r="AF80" s="142"/>
      <c r="AG80" s="142"/>
      <c r="AH80" s="142"/>
      <c r="AI80" s="142"/>
      <c r="AJ80" s="142"/>
      <c r="AK80" s="142"/>
      <c r="AL80" s="142"/>
      <c r="AM80" s="142"/>
      <c r="AN80" s="146"/>
      <c r="AO80" s="142"/>
      <c r="AP80" s="142"/>
      <c r="AQ80" s="146"/>
      <c r="AR80" s="13"/>
      <c r="AS80" s="13"/>
      <c r="AT80" s="13"/>
      <c r="AU80" s="13"/>
      <c r="AV80" s="13"/>
      <c r="AW80" s="14"/>
    </row>
    <row r="81" ht="12.75" customHeight="1">
      <c r="A81" s="377">
        <v>1</v>
      </c>
      <c r="B81" s="298">
        <v>2</v>
      </c>
      <c r="C81" s="377">
        <v>3</v>
      </c>
      <c r="D81" s="377">
        <v>4</v>
      </c>
      <c r="E81" s="377">
        <v>5</v>
      </c>
      <c r="F81" s="377">
        <v>6</v>
      </c>
      <c r="G81" s="415">
        <v>7</v>
      </c>
      <c r="H81" s="298">
        <v>8</v>
      </c>
      <c r="I81" s="415">
        <v>9</v>
      </c>
      <c r="J81" s="415">
        <v>10</v>
      </c>
      <c r="K81" s="298">
        <v>11</v>
      </c>
      <c r="L81" s="416">
        <v>12</v>
      </c>
      <c r="M81" s="416">
        <v>13</v>
      </c>
      <c r="N81" s="377">
        <v>14</v>
      </c>
      <c r="O81" s="416">
        <v>15</v>
      </c>
      <c r="P81" s="416">
        <v>16</v>
      </c>
      <c r="Q81" s="377">
        <v>17</v>
      </c>
      <c r="R81" s="416">
        <v>18</v>
      </c>
      <c r="S81" s="416">
        <v>19</v>
      </c>
      <c r="T81" s="377">
        <v>20</v>
      </c>
      <c r="U81" s="416">
        <v>21</v>
      </c>
      <c r="V81" s="416">
        <v>22</v>
      </c>
      <c r="W81" s="377">
        <v>23</v>
      </c>
      <c r="X81" s="415">
        <v>24</v>
      </c>
      <c r="Y81" s="415">
        <v>25</v>
      </c>
      <c r="Z81" s="298">
        <v>26</v>
      </c>
      <c r="AA81" s="416">
        <v>27</v>
      </c>
      <c r="AB81" s="416">
        <v>28</v>
      </c>
      <c r="AC81" s="377">
        <v>29</v>
      </c>
      <c r="AD81" s="416">
        <v>30</v>
      </c>
      <c r="AE81" s="416">
        <v>31</v>
      </c>
      <c r="AF81" s="377">
        <v>32</v>
      </c>
      <c r="AG81" s="377">
        <v>33</v>
      </c>
      <c r="AH81" s="416">
        <v>34</v>
      </c>
      <c r="AI81" s="416">
        <v>35</v>
      </c>
      <c r="AJ81" s="377">
        <v>36</v>
      </c>
      <c r="AK81" s="416">
        <v>37</v>
      </c>
      <c r="AL81" s="416">
        <v>38</v>
      </c>
      <c r="AM81" s="377">
        <v>39</v>
      </c>
      <c r="AN81" s="385">
        <v>40</v>
      </c>
      <c r="AO81" s="377">
        <v>41</v>
      </c>
      <c r="AP81" s="377">
        <v>42</v>
      </c>
      <c r="AQ81" s="417">
        <v>43</v>
      </c>
      <c r="AR81" s="418">
        <v>44</v>
      </c>
      <c r="AS81" s="419">
        <v>45</v>
      </c>
      <c r="AT81" s="419">
        <v>46</v>
      </c>
      <c r="AU81" s="418">
        <v>47</v>
      </c>
      <c r="AV81" s="419">
        <v>48</v>
      </c>
      <c r="AW81" s="420">
        <v>49</v>
      </c>
    </row>
  </sheetData>
  <mergeCells count="18">
    <mergeCell ref="I1:J1"/>
    <mergeCell ref="K1:M1"/>
    <mergeCell ref="B65:L65"/>
    <mergeCell ref="A5:B5"/>
    <mergeCell ref="A6:B6"/>
    <mergeCell ref="C6:I6"/>
    <mergeCell ref="A7:B7"/>
    <mergeCell ref="C7:I7"/>
    <mergeCell ref="A8:B8"/>
    <mergeCell ref="C8:I8"/>
    <mergeCell ref="A3:B3"/>
    <mergeCell ref="A4:B4"/>
    <mergeCell ref="C3:I3"/>
    <mergeCell ref="B66:V66"/>
    <mergeCell ref="C4:I4"/>
    <mergeCell ref="C5:I5"/>
    <mergeCell ref="AJ10:AN10"/>
    <mergeCell ref="B68:V68"/>
  </mergeCells>
  <dataValidations count="6">
    <dataValidation type="list" allowBlank="1" showInputMessage="1" showErrorMessage="1" sqref="C13:C61">
      <formula1>"Víz"</formula1>
    </dataValidation>
    <dataValidation type="list" allowBlank="1" showInputMessage="1" showErrorMessage="1" sqref="H13:H61">
      <formula1>"Felületaktív anyag,Egyéb,Tartósítószer,Illatanyag,Színezék,Enzim,Mikroorganizmus"</formula1>
    </dataValidation>
    <dataValidation type="list" allowBlank="1" showInputMessage="1" showErrorMessage="1" sqref="K13:K61">
      <formula1>"Mentesített anyag,Mérési küszöb alatti"</formula1>
    </dataValidation>
    <dataValidation type="list" allowBlank="1" showInputMessage="1" showErrorMessage="1" sqref="L13:L61">
      <formula1>"BCF,log Kow,Élelmiszerekre is engedélyezett"</formula1>
    </dataValidation>
    <dataValidation type="list" allowBlank="1" showInputMessage="1" showErrorMessage="1" sqref="N13:N61">
      <formula1>"Folyékony,Szilárd,Oldott,Szilárd (por alakú),(nano)"</formula1>
    </dataValidation>
    <dataValidation type="list" allowBlank="1" showInputMessage="1" showErrorMessage="1" sqref="O13:P61 U13:U61">
      <formula1>"Igen,Nem"</formula1>
    </dataValidation>
  </dataValidations>
  <pageMargins left="0.787402" right="0.787402" top="0.984252" bottom="0.984252" header="0.511811" footer="0.511811"/>
  <pageSetup firstPageNumber="1" fitToHeight="1" fitToWidth="1" scale="56"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W96"/>
  <sheetViews>
    <sheetView workbookViewId="0" showGridLines="0" defaultGridColor="1"/>
  </sheetViews>
  <sheetFormatPr defaultColWidth="11.5" defaultRowHeight="12.75" customHeight="1" outlineLevelRow="0" outlineLevelCol="0"/>
  <cols>
    <col min="1" max="1" width="4.17188" style="421" customWidth="1"/>
    <col min="2" max="2" width="35.3516" style="421" customWidth="1"/>
    <col min="3" max="3" width="13.3516" style="421" customWidth="1"/>
    <col min="4" max="4" width="12.6719" style="421" customWidth="1"/>
    <col min="5" max="5" width="11" style="421" customWidth="1"/>
    <col min="6" max="6" width="23.6719" style="421" customWidth="1"/>
    <col min="7" max="7" width="17" style="421" customWidth="1"/>
    <col min="8" max="8" width="10.5" style="421" customWidth="1"/>
    <col min="9" max="9" width="9.35156" style="421" customWidth="1"/>
    <col min="10" max="10" width="10" style="421" customWidth="1"/>
    <col min="11" max="11" width="8.67188" style="421" customWidth="1"/>
    <col min="12" max="12" width="10" style="421" customWidth="1"/>
    <col min="13" max="13" width="8.67188" style="421" customWidth="1"/>
    <col min="14" max="14" width="9.35156" style="421" customWidth="1"/>
    <col min="15" max="15" width="8.67188" style="421" customWidth="1"/>
    <col min="16" max="16" width="9.85156" style="421" customWidth="1"/>
    <col min="17" max="17" width="14.5" style="421" customWidth="1"/>
    <col min="18" max="18" width="8.5" style="421" customWidth="1"/>
    <col min="19" max="23" width="11.5" style="421" customWidth="1"/>
    <col min="24" max="16384" width="11.5" style="421" customWidth="1"/>
  </cols>
  <sheetData>
    <row r="1" ht="18.75" customHeight="1">
      <c r="A1" s="321"/>
      <c r="B1" s="422"/>
      <c r="C1" s="225"/>
      <c r="D1" s="423"/>
      <c r="E1" s="231"/>
      <c r="F1" s="424"/>
      <c r="G1" t="s" s="134">
        <f>'Termék'!A1</f>
        <v>165</v>
      </c>
      <c r="H1" s="425"/>
      <c r="I1" s="135"/>
      <c r="J1" t="s" s="426">
        <f>'Termék'!C1</f>
        <v>166</v>
      </c>
      <c r="K1" s="427"/>
      <c r="L1" s="427"/>
      <c r="M1" s="427"/>
      <c r="N1" s="427"/>
      <c r="O1" s="427"/>
      <c r="P1" s="427"/>
      <c r="Q1" s="427"/>
      <c r="R1" s="427"/>
      <c r="S1" s="9"/>
      <c r="T1" s="9"/>
      <c r="U1" s="9"/>
      <c r="V1" s="145"/>
      <c r="W1" s="142"/>
    </row>
    <row r="2" ht="12.75" customHeight="1">
      <c r="A2" s="428"/>
      <c r="B2" s="405"/>
      <c r="C2" s="39"/>
      <c r="D2" s="39"/>
      <c r="E2" s="405"/>
      <c r="F2" s="13"/>
      <c r="G2" s="244"/>
      <c r="H2" s="256"/>
      <c r="I2" s="69"/>
      <c r="J2" s="429"/>
      <c r="K2" s="262"/>
      <c r="L2" s="13"/>
      <c r="M2" s="13"/>
      <c r="N2" s="13"/>
      <c r="O2" s="13"/>
      <c r="P2" s="401"/>
      <c r="Q2" s="401"/>
      <c r="R2" s="262"/>
      <c r="S2" s="13"/>
      <c r="T2" s="13"/>
      <c r="U2" s="13"/>
      <c r="V2" s="145"/>
      <c r="W2" s="142"/>
    </row>
    <row r="3" ht="12.75" customHeight="1">
      <c r="A3" t="s" s="161">
        <f>'Termék'!A6</f>
        <v>168</v>
      </c>
      <c r="B3" s="162"/>
      <c r="C3" s="430">
        <f>'Termék'!C6</f>
        <v>0</v>
      </c>
      <c r="D3" s="346"/>
      <c r="E3" s="431"/>
      <c r="F3" s="432"/>
      <c r="G3" s="433"/>
      <c r="H3" s="405"/>
      <c r="I3" s="39"/>
      <c r="J3" s="405"/>
      <c r="K3" s="262"/>
      <c r="L3" s="13"/>
      <c r="M3" s="13"/>
      <c r="N3" s="13"/>
      <c r="O3" s="13"/>
      <c r="P3" s="262"/>
      <c r="Q3" s="262"/>
      <c r="R3" s="262"/>
      <c r="S3" s="13"/>
      <c r="T3" s="13"/>
      <c r="U3" s="13"/>
      <c r="V3" s="145"/>
      <c r="W3" s="142"/>
    </row>
    <row r="4" ht="15" customHeight="1">
      <c r="A4" t="s" s="161">
        <f>'Termék'!A7</f>
        <v>170</v>
      </c>
      <c r="B4" s="162"/>
      <c r="C4" t="s" s="434">
        <f>'Termék'!C7</f>
      </c>
      <c r="D4" s="346"/>
      <c r="E4" s="431"/>
      <c r="F4" s="435"/>
      <c r="G4" t="s" s="161">
        <f>'Termék'!A3</f>
        <v>167</v>
      </c>
      <c r="H4" s="162"/>
      <c r="I4" t="s" s="436">
        <f>IF('Termék'!B3="","",'Termék'!B3)</f>
      </c>
      <c r="J4" s="437"/>
      <c r="K4" s="255"/>
      <c r="L4" s="13"/>
      <c r="M4" s="13"/>
      <c r="N4" s="13"/>
      <c r="O4" s="13"/>
      <c r="P4" s="262"/>
      <c r="Q4" s="262"/>
      <c r="R4" s="262"/>
      <c r="S4" s="13"/>
      <c r="T4" s="13"/>
      <c r="U4" s="13"/>
      <c r="V4" s="145"/>
      <c r="W4" s="142"/>
    </row>
    <row r="5" ht="15" customHeight="1">
      <c r="A5" t="s" s="161">
        <f>'Termék'!A8</f>
        <v>133</v>
      </c>
      <c r="B5" s="162"/>
      <c r="C5" s="430">
        <f>'Termék'!C8</f>
        <v>0</v>
      </c>
      <c r="D5" s="346"/>
      <c r="E5" s="431"/>
      <c r="F5" s="435"/>
      <c r="G5" t="s" s="161">
        <f>'Termék'!A4</f>
        <v>169</v>
      </c>
      <c r="H5" s="162"/>
      <c r="I5" t="s" s="436">
        <f>IF('Termék'!B4="","",'Termék'!B4)</f>
      </c>
      <c r="J5" s="437"/>
      <c r="K5" s="255"/>
      <c r="L5" s="13"/>
      <c r="M5" s="185"/>
      <c r="N5" s="13"/>
      <c r="O5" s="13"/>
      <c r="P5" s="262"/>
      <c r="Q5" s="262"/>
      <c r="R5" s="262"/>
      <c r="S5" s="13"/>
      <c r="T5" s="13"/>
      <c r="U5" s="13"/>
      <c r="V5" s="145"/>
      <c r="W5" s="142"/>
    </row>
    <row r="6" ht="15.75" customHeight="1">
      <c r="A6" t="s" s="161">
        <f>'Termék'!A24</f>
        <v>171</v>
      </c>
      <c r="B6" s="162"/>
      <c r="C6" s="430">
        <f>'Termék'!C24</f>
        <v>0</v>
      </c>
      <c r="D6" s="346"/>
      <c r="E6" s="431"/>
      <c r="F6" s="432"/>
      <c r="G6" s="438"/>
      <c r="H6" s="256"/>
      <c r="I6" s="69"/>
      <c r="J6" s="256"/>
      <c r="K6" s="262"/>
      <c r="L6" s="13"/>
      <c r="M6" s="13"/>
      <c r="N6" s="13"/>
      <c r="O6" s="13"/>
      <c r="P6" s="262"/>
      <c r="Q6" s="262"/>
      <c r="R6" s="262"/>
      <c r="S6" s="333"/>
      <c r="T6" s="176"/>
      <c r="U6" s="333"/>
      <c r="V6" s="145"/>
      <c r="W6" s="142"/>
    </row>
    <row r="7" ht="15.75" customHeight="1">
      <c r="A7" t="s" s="161">
        <f>'Termék'!A26</f>
        <v>172</v>
      </c>
      <c r="B7" s="162"/>
      <c r="C7" s="430">
        <f>'Termék'!C26</f>
        <v>0</v>
      </c>
      <c r="D7" s="346"/>
      <c r="E7" s="431"/>
      <c r="F7" s="432"/>
      <c r="G7" s="197"/>
      <c r="H7" s="197"/>
      <c r="I7" s="152"/>
      <c r="J7" s="262"/>
      <c r="K7" s="262"/>
      <c r="L7" s="13"/>
      <c r="M7" s="13"/>
      <c r="N7" s="13"/>
      <c r="O7" s="13"/>
      <c r="P7" s="262"/>
      <c r="Q7" s="262"/>
      <c r="R7" s="262"/>
      <c r="S7" s="333"/>
      <c r="T7" s="176"/>
      <c r="U7" s="333"/>
      <c r="V7" s="145"/>
      <c r="W7" s="142"/>
    </row>
    <row r="8" ht="9.75" customHeight="1">
      <c r="A8" s="439"/>
      <c r="B8" s="440"/>
      <c r="C8" s="441"/>
      <c r="D8" s="441"/>
      <c r="E8" s="440"/>
      <c r="F8" s="13"/>
      <c r="G8" s="259"/>
      <c r="H8" s="259"/>
      <c r="I8" s="342"/>
      <c r="J8" s="259"/>
      <c r="K8" s="259"/>
      <c r="L8" s="13"/>
      <c r="M8" s="342"/>
      <c r="N8" s="13"/>
      <c r="O8" s="13"/>
      <c r="P8" s="259"/>
      <c r="Q8" s="259"/>
      <c r="R8" s="262"/>
      <c r="S8" s="333"/>
      <c r="T8" s="176"/>
      <c r="U8" s="333"/>
      <c r="V8" s="145"/>
      <c r="W8" s="142"/>
    </row>
    <row r="9" ht="9.75" customHeight="1">
      <c r="A9" s="442"/>
      <c r="B9" s="347"/>
      <c r="C9" s="348"/>
      <c r="D9" s="348"/>
      <c r="E9" s="347"/>
      <c r="F9" s="39"/>
      <c r="G9" s="347"/>
      <c r="H9" s="347"/>
      <c r="I9" s="348"/>
      <c r="J9" s="347"/>
      <c r="K9" s="347"/>
      <c r="L9" s="39"/>
      <c r="M9" s="348"/>
      <c r="N9" s="39"/>
      <c r="O9" s="39"/>
      <c r="P9" s="347"/>
      <c r="Q9" s="347"/>
      <c r="R9" s="405"/>
      <c r="S9" s="333"/>
      <c r="T9" s="176"/>
      <c r="U9" s="333"/>
      <c r="V9" s="145"/>
      <c r="W9" s="142"/>
    </row>
    <row r="10" ht="54.75" customHeight="1">
      <c r="A10" t="s" s="350">
        <f>'Alapanyagok'!A10</f>
        <v>199</v>
      </c>
      <c r="B10" t="s" s="350">
        <f>'Alapanyagok'!B10</f>
        <v>266</v>
      </c>
      <c r="C10" t="s" s="443">
        <f>'Alapanyagok'!C10</f>
        <v>267</v>
      </c>
      <c r="D10" t="s" s="350">
        <v>205</v>
      </c>
      <c r="E10" t="s" s="350">
        <v>268</v>
      </c>
      <c r="F10" t="s" s="350">
        <f>IF('Adatlap'!L1="Magyar","Az összetevő neve","Ingredient name")</f>
        <v>269</v>
      </c>
      <c r="G10" t="s" s="272">
        <f>'Alapanyagok'!I10</f>
        <v>270</v>
      </c>
      <c r="H10" t="s" s="444">
        <f>IF('Adatlap'!$L$1='Fordítások'!C3,'Fordítások'!C35,'Fordítások'!B35)</f>
        <v>271</v>
      </c>
      <c r="I10" s="445"/>
      <c r="J10" s="315"/>
      <c r="K10" s="316"/>
      <c r="L10" t="s" s="272">
        <f>IF('Adatlap'!$L$1='Fordítások'!C3,'Fordítások'!C223,'Fordítások'!B223)</f>
        <v>272</v>
      </c>
      <c r="M10" t="s" s="350">
        <f>H11</f>
        <v>273</v>
      </c>
      <c r="N10" t="s" s="350">
        <f>I11</f>
        <v>274</v>
      </c>
      <c r="O10" t="s" s="446">
        <f>IF('Adatlap'!$L$1='Fordítások'!C3,'Fordítások'!C40,'Fordítások'!B40)</f>
        <v>275</v>
      </c>
      <c r="P10" s="447"/>
      <c r="Q10" s="448"/>
      <c r="R10" t="s" s="443">
        <f>IF('Adatlap'!$L$1='Fordítások'!C3,'Fordítások'!C168,'Fordítások'!B168)</f>
        <v>214</v>
      </c>
      <c r="S10" s="449"/>
      <c r="T10" s="176"/>
      <c r="U10" s="333"/>
      <c r="V10" s="145"/>
      <c r="W10" s="142"/>
    </row>
    <row r="11" ht="44.25" customHeight="1">
      <c r="A11" t="s" s="450">
        <f>'Alapanyagok'!A11</f>
        <v>220</v>
      </c>
      <c r="B11" t="s" s="450">
        <f>'Alapanyagok'!B11</f>
        <v>276</v>
      </c>
      <c r="C11" s="451"/>
      <c r="D11" t="s" s="450">
        <f>'Alapanyagok'!G11</f>
        <v>220</v>
      </c>
      <c r="E11" t="s" s="450">
        <f>D11</f>
        <v>220</v>
      </c>
      <c r="F11" t="s" s="450">
        <f>IF('Adatlap'!L1="Magyar",'Fordítások'!C373,'Fordítások'!B373)</f>
        <v>277</v>
      </c>
      <c r="G11" t="s" s="361">
        <f>'Alapanyagok'!I11</f>
        <v>228</v>
      </c>
      <c r="H11" t="s" s="452">
        <f>IF('Adatlap'!$L$1='Fordítások'!C3,'Fordítások'!C36,'Fordítások'!B36)</f>
        <v>278</v>
      </c>
      <c r="I11" t="s" s="452">
        <f>IF('Adatlap'!$L$1='Fordítások'!C3,'Fordítások'!C37,'Fordítások'!B37)</f>
        <v>274</v>
      </c>
      <c r="J11" t="s" s="452">
        <f>IF('Adatlap'!$L$1='Fordítások'!C3,'Fordítások'!C38,'Fordítások'!B38)</f>
        <v>279</v>
      </c>
      <c r="K11" t="s" s="452">
        <f>IF('Adatlap'!$L$1='Fordítások'!C3,'Fordítások'!C39,'Fordítások'!B39)</f>
        <v>280</v>
      </c>
      <c r="L11" t="s" s="361">
        <f>IF('Adatlap'!$L$1='Fordítások'!C3,'Fordítások'!C58,'Fordítások'!B58)</f>
        <v>222</v>
      </c>
      <c r="M11" s="453"/>
      <c r="N11" t="s" s="450">
        <v>281</v>
      </c>
      <c r="O11" t="s" s="454">
        <f>J11</f>
        <v>282</v>
      </c>
      <c r="P11" t="s" s="454">
        <f>K11</f>
        <v>283</v>
      </c>
      <c r="Q11" t="s" s="455">
        <f>IF('Adatlap'!L1="Magyar",CONCATENATE(L10," alapján"),CONCATENATE("based on ",L10))</f>
        <v>284</v>
      </c>
      <c r="R11" s="451"/>
      <c r="S11" s="449"/>
      <c r="T11" s="176"/>
      <c r="U11" s="333"/>
      <c r="V11" s="456"/>
      <c r="W11" s="457"/>
    </row>
    <row r="12" ht="15.75" customHeight="1">
      <c r="A12" s="371">
        <v>1</v>
      </c>
      <c r="B12" t="s" s="285">
        <f>'Összetétel'!B12</f>
        <v>254</v>
      </c>
      <c r="C12" t="s" s="372">
        <v>190</v>
      </c>
      <c r="D12" t="s" s="372">
        <v>190</v>
      </c>
      <c r="E12" t="s" s="372">
        <v>190</v>
      </c>
      <c r="F12" s="458"/>
      <c r="G12" t="s" s="372">
        <f>IF('Alapanyagok'!I12="","",'Alapanyagok'!I12)</f>
      </c>
      <c r="H12" s="459"/>
      <c r="I12" s="373"/>
      <c r="J12" s="459"/>
      <c r="K12" s="459"/>
      <c r="L12" s="376"/>
      <c r="M12" t="s" s="372">
        <v>190</v>
      </c>
      <c r="N12" t="s" s="372">
        <v>190</v>
      </c>
      <c r="O12" t="s" s="372">
        <v>190</v>
      </c>
      <c r="P12" t="s" s="372">
        <v>190</v>
      </c>
      <c r="Q12" t="s" s="372">
        <v>190</v>
      </c>
      <c r="R12" s="373"/>
      <c r="S12" s="449"/>
      <c r="T12" s="176"/>
      <c r="U12" s="333"/>
      <c r="V12" s="145"/>
      <c r="W12" s="142"/>
    </row>
    <row r="13" ht="15.75" customHeight="1">
      <c r="A13" s="460">
        <v>2</v>
      </c>
      <c r="B13" t="s" s="461">
        <f>IF('Alapanyagok'!B13="","",'Alapanyagok'!B13)</f>
      </c>
      <c r="C13" t="s" s="461">
        <f>IF('Alapanyagok'!C13="","",'Alapanyagok'!C13)</f>
      </c>
      <c r="D13" t="s" s="462">
        <f>IF('Alapanyagok'!G13="","",'Alapanyagok'!G13)</f>
      </c>
      <c r="E13" s="463"/>
      <c r="F13" t="s" s="372">
        <f>IF(E13&gt;0,VLOOKUP(E13,'DID List'!A1:L461,3,FALSE),"   ")</f>
        <v>285</v>
      </c>
      <c r="G13" t="s" s="372">
        <f>IF('Alapanyagok'!I13="","",'Alapanyagok'!I13)</f>
      </c>
      <c r="H13" s="464"/>
      <c r="I13" s="464"/>
      <c r="J13" s="464"/>
      <c r="K13" s="464"/>
      <c r="L13" s="464"/>
      <c r="M13" t="s" s="372">
        <f>IF($E13=0,"",IF($E13='DID List'!$A$7,H13,VLOOKUP($E13,'DID List'!$A1:$L461,10)))</f>
      </c>
      <c r="N13" t="s" s="372">
        <f>IF($E13=0,"",IF($E13='DID List'!$A$7,I13,VLOOKUP($E13,'DID List'!$A1:$L461,9)))</f>
      </c>
      <c r="O13" t="s" s="372">
        <f>IF($E13=0,"",IF($E13='DID List'!$A$7,J13,VLOOKUP($E13,'DID List'!$A1:$L461,11)))</f>
      </c>
      <c r="P13" t="s" s="372">
        <f>IF($E13=0,"",IF($E13='DID List'!$A$7,K13,VLOOKUP($E13,'DID List'!$A1:$L461,12)))</f>
      </c>
      <c r="Q13" t="s" s="372">
        <f>IF($E13=0,"",IF(AND(P13="O",(OR($L13=1,$L13=2,$L13=3))),"Y",P13))</f>
      </c>
      <c r="R13" t="s" s="462">
        <f>IF(B13="","",IF(OR('Alapanyagok'!H13='Fordítások'!$C$61,'Alapanyagok'!H13='Fordítások'!$B$61),"Y",IF(OR('Alapanyagok'!H13='Fordítások'!$C$167,'Alapanyagok'!H13='Fordítások'!$B$167),"Y","N")))</f>
      </c>
      <c r="S13" s="465"/>
      <c r="T13" s="182">
        <v>2401</v>
      </c>
      <c r="U13" s="466"/>
      <c r="V13" s="467"/>
      <c r="W13" s="468"/>
    </row>
    <row r="14" ht="15.75" customHeight="1">
      <c r="A14" s="460">
        <v>3</v>
      </c>
      <c r="B14" t="s" s="461">
        <f>IF('Alapanyagok'!B14="","",'Alapanyagok'!B14)</f>
      </c>
      <c r="C14" t="s" s="461">
        <f>IF('Alapanyagok'!C14="","",'Alapanyagok'!C14)</f>
      </c>
      <c r="D14" t="s" s="462">
        <f>IF('Alapanyagok'!G14="","",'Alapanyagok'!G14)</f>
      </c>
      <c r="E14" s="463"/>
      <c r="F14" t="s" s="372">
        <f>IF(E14&gt;0,VLOOKUP(E14,'DID List'!A1:L461,3,FALSE),"   ")</f>
        <v>285</v>
      </c>
      <c r="G14" t="s" s="372">
        <f>IF('Alapanyagok'!I14="","",'Alapanyagok'!I14)</f>
      </c>
      <c r="H14" s="464"/>
      <c r="I14" s="464"/>
      <c r="J14" s="464"/>
      <c r="K14" s="464"/>
      <c r="L14" s="464"/>
      <c r="M14" t="s" s="372">
        <f>IF($E14=0,"",IF($E14='DID List'!$A$7,H14,VLOOKUP($E14,'DID List'!$A1:$L461,10)))</f>
      </c>
      <c r="N14" t="s" s="372">
        <f>IF($E14=0,"",IF($E14='DID List'!$A$7,I14,VLOOKUP($E14,'DID List'!$A1:$L461,9)))</f>
      </c>
      <c r="O14" t="s" s="372">
        <f>IF($E14=0,"",IF($E14='DID List'!$A$7,J14,VLOOKUP($E14,'DID List'!$A1:$L461,11)))</f>
      </c>
      <c r="P14" t="s" s="372">
        <f>IF($E14=0,"",IF($E14='DID List'!$A$7,K14,VLOOKUP($E14,'DID List'!$A1:$L461,12)))</f>
      </c>
      <c r="Q14" t="s" s="372">
        <f>IF($E14=0,"",IF(AND(P14="O",(OR($L14=1,$L14=2,$L14=3))),"Y",P14))</f>
      </c>
      <c r="R14" t="s" s="462">
        <f>IF(B14="","",IF(OR('Alapanyagok'!H14='Fordítások'!$C$61,'Alapanyagok'!H14='Fordítások'!$B$61),"Y",IF(OR('Alapanyagok'!H14='Fordítások'!$C$167,'Alapanyagok'!H14='Fordítások'!$B$167),"Y","N")))</f>
      </c>
      <c r="S14" s="465"/>
      <c r="T14" s="182">
        <v>2410</v>
      </c>
      <c r="U14" s="466"/>
      <c r="V14" s="467"/>
      <c r="W14" s="468"/>
    </row>
    <row r="15" ht="15.75" customHeight="1">
      <c r="A15" s="460">
        <v>4</v>
      </c>
      <c r="B15" t="s" s="461">
        <f>IF('Alapanyagok'!B15="","",'Alapanyagok'!B15)</f>
      </c>
      <c r="C15" t="s" s="461">
        <f>IF('Alapanyagok'!C15="","",'Alapanyagok'!C15)</f>
      </c>
      <c r="D15" t="s" s="462">
        <f>IF('Alapanyagok'!G15="","",'Alapanyagok'!G15)</f>
      </c>
      <c r="E15" s="463"/>
      <c r="F15" t="s" s="372">
        <f>IF(E15&gt;0,VLOOKUP(E15,'DID List'!A1:L461,3,FALSE),"   ")</f>
        <v>285</v>
      </c>
      <c r="G15" t="s" s="372">
        <f>IF('Alapanyagok'!I15="","",'Alapanyagok'!I15)</f>
      </c>
      <c r="H15" s="464"/>
      <c r="I15" s="464"/>
      <c r="J15" s="464"/>
      <c r="K15" s="464"/>
      <c r="L15" s="464"/>
      <c r="M15" t="s" s="372">
        <f>IF($E15=0,"",IF($E15='DID List'!$A$7,H15,VLOOKUP($E15,'DID List'!$A1:$L461,10)))</f>
      </c>
      <c r="N15" t="s" s="372">
        <f>IF($E15=0,"",IF($E15='DID List'!$A$7,I15,VLOOKUP($E15,'DID List'!$A1:$L461,9)))</f>
      </c>
      <c r="O15" t="s" s="372">
        <f>IF($E15=0,"",IF($E15='DID List'!$A$7,J15,VLOOKUP($E15,'DID List'!$A1:$L461,11)))</f>
      </c>
      <c r="P15" t="s" s="372">
        <f>IF($E15=0,"",IF($E15='DID List'!$A$7,K15,VLOOKUP($E15,'DID List'!$A1:$L461,12)))</f>
      </c>
      <c r="Q15" t="s" s="372">
        <f>IF($E15=0,"",IF(AND(P15="O",(OR($L15=1,$L15=2,$L15=3))),"Y",P15))</f>
      </c>
      <c r="R15" t="s" s="462">
        <f>IF(B15="","",IF(OR('Alapanyagok'!H15='Fordítások'!$C$61,'Alapanyagok'!H15='Fordítások'!$B$61),"Y",IF(OR('Alapanyagok'!H15='Fordítások'!$C$167,'Alapanyagok'!H15='Fordítások'!$B$167),"Y","N")))</f>
      </c>
      <c r="S15" s="465"/>
      <c r="T15" s="182">
        <v>2411</v>
      </c>
      <c r="U15" s="466"/>
      <c r="V15" s="467"/>
      <c r="W15" s="468"/>
    </row>
    <row r="16" ht="15.75" customHeight="1">
      <c r="A16" s="460">
        <v>5</v>
      </c>
      <c r="B16" t="s" s="461">
        <f>IF('Alapanyagok'!B16="","",'Alapanyagok'!B16)</f>
      </c>
      <c r="C16" t="s" s="461">
        <f>IF('Alapanyagok'!C16="","",'Alapanyagok'!C16)</f>
      </c>
      <c r="D16" t="s" s="462">
        <f>IF('Alapanyagok'!G16="","",'Alapanyagok'!G16)</f>
      </c>
      <c r="E16" s="463"/>
      <c r="F16" t="s" s="372">
        <f>IF(E16&gt;0,VLOOKUP(E16,'DID List'!A1:L461,3,FALSE),"   ")</f>
        <v>285</v>
      </c>
      <c r="G16" t="s" s="372">
        <f>IF('Alapanyagok'!I16="","",'Alapanyagok'!I16)</f>
      </c>
      <c r="H16" s="464"/>
      <c r="I16" s="464"/>
      <c r="J16" s="464"/>
      <c r="K16" s="464"/>
      <c r="L16" s="464"/>
      <c r="M16" t="s" s="372">
        <f>IF($E16=0,"",IF($E16='DID List'!$A$7,H16,VLOOKUP($E16,'DID List'!$A1:$L461,10)))</f>
      </c>
      <c r="N16" t="s" s="372">
        <f>IF($E16=0,"",IF($E16='DID List'!$A$7,I16,VLOOKUP($E16,'DID List'!$A1:$L461,9)))</f>
      </c>
      <c r="O16" t="s" s="372">
        <f>IF($E16=0,"",IF($E16='DID List'!$A$7,J16,VLOOKUP($E16,'DID List'!$A1:$L461,11)))</f>
      </c>
      <c r="P16" t="s" s="372">
        <f>IF($E16=0,"",IF($E16='DID List'!$A$7,K16,VLOOKUP($E16,'DID List'!$A1:$L461,12)))</f>
      </c>
      <c r="Q16" t="s" s="372">
        <f>IF($E16=0,"",IF(AND(P16="O",(OR($L16=1,$L16=2,$L16=3))),"Y",P16))</f>
      </c>
      <c r="R16" t="s" s="462">
        <f>IF(B16="","",IF(OR('Alapanyagok'!H16='Fordítások'!$C$61,'Alapanyagok'!H16='Fordítások'!$B$61),"Y",IF(OR('Alapanyagok'!H16='Fordítások'!$C$167,'Alapanyagok'!H16='Fordítások'!$B$167),"Y","N")))</f>
      </c>
      <c r="S16" s="465"/>
      <c r="T16" s="182">
        <v>2504</v>
      </c>
      <c r="U16" s="466"/>
      <c r="V16" s="467"/>
      <c r="W16" s="468"/>
    </row>
    <row r="17" ht="15.75" customHeight="1">
      <c r="A17" s="460">
        <v>6</v>
      </c>
      <c r="B17" t="s" s="461">
        <f>IF('Alapanyagok'!B17="","",'Alapanyagok'!B17)</f>
      </c>
      <c r="C17" t="s" s="461">
        <f>IF('Alapanyagok'!C17="","",'Alapanyagok'!C17)</f>
      </c>
      <c r="D17" t="s" s="462">
        <f>IF('Alapanyagok'!G17="","",'Alapanyagok'!G17)</f>
      </c>
      <c r="E17" s="463"/>
      <c r="F17" t="s" s="372">
        <f>IF(E17&gt;0,VLOOKUP(E17,'DID List'!A1:L461,3,FALSE),"   ")</f>
        <v>285</v>
      </c>
      <c r="G17" t="s" s="372">
        <f>IF('Alapanyagok'!I17="","",'Alapanyagok'!I17)</f>
      </c>
      <c r="H17" s="464"/>
      <c r="I17" s="464"/>
      <c r="J17" s="464"/>
      <c r="K17" s="464"/>
      <c r="L17" s="464"/>
      <c r="M17" t="s" s="372">
        <f>IF($E17=0,"",IF($E17='DID List'!$A$7,H17,VLOOKUP($E17,'DID List'!$A1:$L461,10)))</f>
      </c>
      <c r="N17" t="s" s="372">
        <f>IF($E17=0,"",IF($E17='DID List'!$A$7,I17,VLOOKUP($E17,'DID List'!$A1:$L461,9)))</f>
      </c>
      <c r="O17" t="s" s="372">
        <f>IF($E17=0,"",IF($E17='DID List'!$A$7,J17,VLOOKUP($E17,'DID List'!$A1:$L461,11)))</f>
      </c>
      <c r="P17" t="s" s="372">
        <f>IF($E17=0,"",IF($E17='DID List'!$A$7,K17,VLOOKUP($E17,'DID List'!$A1:$L461,12)))</f>
      </c>
      <c r="Q17" t="s" s="372">
        <f>IF($E17=0,"",IF(AND(P17="O",(OR($L17=1,$L17=2,$L17=3))),"Y",P17))</f>
      </c>
      <c r="R17" t="s" s="462">
        <f>IF(B17="","",IF(OR('Alapanyagok'!H17='Fordítások'!$C$61,'Alapanyagok'!H17='Fordítások'!$B$61),"Y",IF(OR('Alapanyagok'!H17='Fordítások'!$C$167,'Alapanyagok'!H17='Fordítások'!$B$167),"Y","N")))</f>
      </c>
      <c r="S17" s="465"/>
      <c r="T17" s="182">
        <v>2510</v>
      </c>
      <c r="U17" s="466"/>
      <c r="V17" s="467"/>
      <c r="W17" s="468"/>
    </row>
    <row r="18" ht="15.75" customHeight="1">
      <c r="A18" s="460">
        <v>7</v>
      </c>
      <c r="B18" t="s" s="461">
        <f>IF('Alapanyagok'!B18="","",'Alapanyagok'!B18)</f>
      </c>
      <c r="C18" t="s" s="461">
        <f>IF('Alapanyagok'!C18="","",'Alapanyagok'!C18)</f>
      </c>
      <c r="D18" t="s" s="462">
        <f>IF('Alapanyagok'!G18="","",'Alapanyagok'!G18)</f>
      </c>
      <c r="E18" s="463"/>
      <c r="F18" t="s" s="372">
        <f>IF(E18&gt;0,VLOOKUP(E18,'DID List'!A1:L461,3,FALSE),"   ")</f>
        <v>285</v>
      </c>
      <c r="G18" t="s" s="372">
        <f>IF('Alapanyagok'!I18="","",'Alapanyagok'!I18)</f>
      </c>
      <c r="H18" s="464"/>
      <c r="I18" s="464"/>
      <c r="J18" s="464"/>
      <c r="K18" s="464"/>
      <c r="L18" s="464"/>
      <c r="M18" t="s" s="372">
        <f>IF($E18=0,"",IF($E18='DID List'!$A$7,H18,VLOOKUP($E18,'DID List'!$A1:$L461,10)))</f>
      </c>
      <c r="N18" t="s" s="372">
        <f>IF($E18=0,"",IF($E18='DID List'!$A$7,I18,VLOOKUP($E18,'DID List'!$A1:$L461,9)))</f>
      </c>
      <c r="O18" t="s" s="372">
        <f>IF($E18=0,"",IF($E18='DID List'!$A$7,J18,VLOOKUP($E18,'DID List'!$A1:$L461,11)))</f>
      </c>
      <c r="P18" t="s" s="372">
        <f>IF($E18=0,"",IF($E18='DID List'!$A$7,K18,VLOOKUP($E18,'DID List'!$A1:$L461,12)))</f>
      </c>
      <c r="Q18" t="s" s="372">
        <f>IF($E18=0,"",IF(AND(P18="O",(OR($L18=1,$L18=2,$L18=3))),"Y",P18))</f>
      </c>
      <c r="R18" t="s" s="462">
        <f>IF(B18="","",IF(OR('Alapanyagok'!H18='Fordítások'!$C$61,'Alapanyagok'!H18='Fordítások'!$B$61),"Y",IF(OR('Alapanyagok'!H18='Fordítások'!$C$167,'Alapanyagok'!H18='Fordítások'!$B$167),"Y","N")))</f>
      </c>
      <c r="S18" s="465"/>
      <c r="T18" s="182">
        <v>2512</v>
      </c>
      <c r="U18" s="466"/>
      <c r="V18" s="467"/>
      <c r="W18" s="468"/>
    </row>
    <row r="19" ht="15.75" customHeight="1">
      <c r="A19" s="460">
        <v>8</v>
      </c>
      <c r="B19" t="s" s="461">
        <f>IF('Alapanyagok'!B19="","",'Alapanyagok'!B19)</f>
      </c>
      <c r="C19" t="s" s="461">
        <f>IF('Alapanyagok'!C19="","",'Alapanyagok'!C19)</f>
      </c>
      <c r="D19" t="s" s="462">
        <f>IF('Alapanyagok'!G19="","",'Alapanyagok'!G19)</f>
      </c>
      <c r="E19" s="463"/>
      <c r="F19" t="s" s="372">
        <f>IF(E19&gt;0,VLOOKUP(E19,'DID List'!A1:L461,3,FALSE),"   ")</f>
        <v>285</v>
      </c>
      <c r="G19" t="s" s="372">
        <f>IF('Alapanyagok'!I19="","",'Alapanyagok'!I19)</f>
      </c>
      <c r="H19" s="464"/>
      <c r="I19" s="464"/>
      <c r="J19" s="464"/>
      <c r="K19" s="464"/>
      <c r="L19" s="464"/>
      <c r="M19" t="s" s="372">
        <f>IF($E19=0,"",IF($E19='DID List'!$A$7,H19,VLOOKUP($E19,'DID List'!$A1:$L461,10)))</f>
      </c>
      <c r="N19" t="s" s="372">
        <f>IF($E19=0,"",IF($E19='DID List'!$A$7,I19,VLOOKUP($E19,'DID List'!$A1:$L461,9)))</f>
      </c>
      <c r="O19" t="s" s="372">
        <f>IF($E19=0,"",IF($E19='DID List'!$A$7,J19,VLOOKUP($E19,'DID List'!$A1:$L461,11)))</f>
      </c>
      <c r="P19" t="s" s="372">
        <f>IF($E19=0,"",IF($E19='DID List'!$A$7,K19,VLOOKUP($E19,'DID List'!$A1:$L461,12)))</f>
      </c>
      <c r="Q19" t="s" s="372">
        <f>IF($E19=0,"",IF(AND(P19="O",(OR($L19=1,$L19=2,$L19=3))),"Y",P19))</f>
      </c>
      <c r="R19" t="s" s="462">
        <f>IF(B19="","",IF(OR('Alapanyagok'!H19='Fordítások'!$C$61,'Alapanyagok'!H19='Fordítások'!$B$61),"Y",IF(OR('Alapanyagok'!H19='Fordítások'!$C$167,'Alapanyagok'!H19='Fordítások'!$B$167),"Y","N")))</f>
      </c>
      <c r="S19" s="465"/>
      <c r="T19" s="182">
        <v>2608</v>
      </c>
      <c r="U19" s="466"/>
      <c r="V19" s="467"/>
      <c r="W19" s="468"/>
    </row>
    <row r="20" ht="15.75" customHeight="1">
      <c r="A20" s="460">
        <v>9</v>
      </c>
      <c r="B20" t="s" s="461">
        <f>IF('Alapanyagok'!B20="","",'Alapanyagok'!B20)</f>
      </c>
      <c r="C20" t="s" s="461">
        <f>IF('Alapanyagok'!C20="","",'Alapanyagok'!C20)</f>
      </c>
      <c r="D20" t="s" s="462">
        <f>IF('Alapanyagok'!G20="","",'Alapanyagok'!G20)</f>
      </c>
      <c r="E20" s="463"/>
      <c r="F20" t="s" s="372">
        <f>IF(E20&gt;0,VLOOKUP(E20,'DID List'!A1:L461,3,FALSE),"   ")</f>
        <v>285</v>
      </c>
      <c r="G20" t="s" s="372">
        <f>IF('Alapanyagok'!I20="","",'Alapanyagok'!I20)</f>
      </c>
      <c r="H20" s="464"/>
      <c r="I20" s="464"/>
      <c r="J20" s="464"/>
      <c r="K20" s="464"/>
      <c r="L20" s="464"/>
      <c r="M20" t="s" s="372">
        <f>IF($E20=0,"",IF($E20='DID List'!$A$7,H20,VLOOKUP($E20,'DID List'!$A1:$L461,10)))</f>
      </c>
      <c r="N20" t="s" s="372">
        <f>IF($E20=0,"",IF($E20='DID List'!$A$7,I20,VLOOKUP($E20,'DID List'!$A1:$L461,9)))</f>
      </c>
      <c r="O20" t="s" s="372">
        <f>IF($E20=0,"",IF($E20='DID List'!$A$7,J20,VLOOKUP($E20,'DID List'!$A1:$L461,11)))</f>
      </c>
      <c r="P20" t="s" s="372">
        <f>IF($E20=0,"",IF($E20='DID List'!$A$7,K20,VLOOKUP($E20,'DID List'!$A1:$L461,12)))</f>
      </c>
      <c r="Q20" t="s" s="372">
        <f>IF($E20=0,"",IF(AND(P20="O",(OR($L20=1,$L20=2,$L20=3))),"Y",P20))</f>
      </c>
      <c r="R20" t="s" s="462">
        <f>IF(B20="","",IF(OR('Alapanyagok'!H20='Fordítások'!$C$61,'Alapanyagok'!H20='Fordítások'!$B$61),"Y",IF(OR('Alapanyagok'!H20='Fordítások'!$C$167,'Alapanyagok'!H20='Fordítások'!$B$167),"Y","N")))</f>
      </c>
      <c r="S20" s="465"/>
      <c r="T20" s="182">
        <v>2565</v>
      </c>
      <c r="U20" s="466"/>
      <c r="V20" s="467"/>
      <c r="W20" s="468"/>
    </row>
    <row r="21" ht="15.75" customHeight="1">
      <c r="A21" s="460">
        <v>10</v>
      </c>
      <c r="B21" t="s" s="461">
        <f>IF('Alapanyagok'!B21="","",'Alapanyagok'!B21)</f>
      </c>
      <c r="C21" t="s" s="461">
        <f>IF('Alapanyagok'!C21="","",'Alapanyagok'!C21)</f>
      </c>
      <c r="D21" t="s" s="462">
        <f>IF('Alapanyagok'!G21="","",'Alapanyagok'!G21)</f>
      </c>
      <c r="E21" s="463"/>
      <c r="F21" t="s" s="372">
        <f>IF(E21&gt;0,VLOOKUP(E21,'DID List'!A1:L461,3,FALSE),"   ")</f>
        <v>285</v>
      </c>
      <c r="G21" t="s" s="372">
        <f>IF('Alapanyagok'!I21="","",'Alapanyagok'!I21)</f>
      </c>
      <c r="H21" s="464"/>
      <c r="I21" s="464"/>
      <c r="J21" s="464"/>
      <c r="K21" s="464"/>
      <c r="L21" s="464"/>
      <c r="M21" t="s" s="372">
        <f>IF($E21=0,"",IF($E21='DID List'!$A$7,H21,VLOOKUP($E21,'DID List'!$A1:$L461,10)))</f>
      </c>
      <c r="N21" t="s" s="372">
        <f>IF($E21=0,"",IF($E21='DID List'!$A$7,I21,VLOOKUP($E21,'DID List'!$A1:$L461,9)))</f>
      </c>
      <c r="O21" t="s" s="372">
        <f>IF($E21=0,"",IF($E21='DID List'!$A$7,J21,VLOOKUP($E21,'DID List'!$A1:$L461,11)))</f>
      </c>
      <c r="P21" t="s" s="372">
        <f>IF($E21=0,"",IF($E21='DID List'!$A$7,K21,VLOOKUP($E21,'DID List'!$A1:$L461,12)))</f>
      </c>
      <c r="Q21" t="s" s="372">
        <f>IF($E21=0,"",IF(AND(P21="O",(OR($L21=1,$L21=2,$L21=3))),"Y",P21))</f>
      </c>
      <c r="R21" t="s" s="462">
        <f>IF(B21="","",IF(OR('Alapanyagok'!H21='Fordítások'!$C$61,'Alapanyagok'!H21='Fordítások'!$B$61),"Y",IF(OR('Alapanyagok'!H21='Fordítások'!$C$167,'Alapanyagok'!H21='Fordítások'!$B$167),"Y","N")))</f>
      </c>
      <c r="S21" s="465"/>
      <c r="T21" s="469"/>
      <c r="U21" s="466"/>
      <c r="V21" s="467"/>
      <c r="W21" s="468"/>
    </row>
    <row r="22" ht="15.75" customHeight="1">
      <c r="A22" s="460">
        <v>11</v>
      </c>
      <c r="B22" t="s" s="461">
        <f>IF('Alapanyagok'!B22="","",'Alapanyagok'!B22)</f>
      </c>
      <c r="C22" t="s" s="461">
        <f>IF('Alapanyagok'!C22="","",'Alapanyagok'!C22)</f>
      </c>
      <c r="D22" t="s" s="462">
        <f>IF('Alapanyagok'!G22="","",'Alapanyagok'!G22)</f>
      </c>
      <c r="E22" s="463"/>
      <c r="F22" t="s" s="372">
        <f>IF(E22&gt;0,VLOOKUP(E22,'DID List'!A1:L461,3,FALSE),"   ")</f>
        <v>285</v>
      </c>
      <c r="G22" t="s" s="372">
        <f>IF('Alapanyagok'!I22="","",'Alapanyagok'!I22)</f>
      </c>
      <c r="H22" s="464"/>
      <c r="I22" s="464"/>
      <c r="J22" s="464"/>
      <c r="K22" s="464"/>
      <c r="L22" s="464"/>
      <c r="M22" t="s" s="372">
        <f>IF($E22=0,"",IF($E22='DID List'!$A$7,H22,VLOOKUP($E22,'DID List'!$A1:$L461,10)))</f>
      </c>
      <c r="N22" t="s" s="372">
        <f>IF($E22=0,"",IF($E22='DID List'!$A$7,I22,VLOOKUP($E22,'DID List'!$A1:$L461,9)))</f>
      </c>
      <c r="O22" t="s" s="372">
        <f>IF($E22=0,"",IF($E22='DID List'!$A$7,J22,VLOOKUP($E22,'DID List'!$A1:$L461,11)))</f>
      </c>
      <c r="P22" t="s" s="372">
        <f>IF($E22=0,"",IF($E22='DID List'!$A$7,K22,VLOOKUP($E22,'DID List'!$A1:$L461,12)))</f>
      </c>
      <c r="Q22" t="s" s="372">
        <f>IF($E22=0,"",IF(AND(P22="O",(OR($L22=1,$L22=2,$L22=3))),"Y",P22))</f>
      </c>
      <c r="R22" t="s" s="462">
        <f>IF(B22="","",IF(OR('Alapanyagok'!H22='Fordítások'!$C$61,'Alapanyagok'!H22='Fordítások'!$B$61),"Y",IF(OR('Alapanyagok'!H22='Fordítások'!$C$167,'Alapanyagok'!H22='Fordítások'!$B$167),"Y","N")))</f>
      </c>
      <c r="S22" s="465"/>
      <c r="T22" s="469"/>
      <c r="U22" s="466"/>
      <c r="V22" s="467"/>
      <c r="W22" s="468"/>
    </row>
    <row r="23" ht="15.75" customHeight="1">
      <c r="A23" s="460">
        <v>12</v>
      </c>
      <c r="B23" t="s" s="461">
        <f>IF('Alapanyagok'!B23="","",'Alapanyagok'!B23)</f>
      </c>
      <c r="C23" t="s" s="461">
        <f>IF('Alapanyagok'!C23="","",'Alapanyagok'!C23)</f>
      </c>
      <c r="D23" t="s" s="462">
        <f>IF('Alapanyagok'!G23="","",'Alapanyagok'!G23)</f>
      </c>
      <c r="E23" s="463"/>
      <c r="F23" t="s" s="372">
        <f>IF(E23&gt;0,VLOOKUP(E23,'DID List'!A1:L461,3,FALSE),"   ")</f>
        <v>285</v>
      </c>
      <c r="G23" t="s" s="372">
        <f>IF('Alapanyagok'!I23="","",'Alapanyagok'!I23)</f>
      </c>
      <c r="H23" s="464"/>
      <c r="I23" s="464"/>
      <c r="J23" s="464"/>
      <c r="K23" s="464"/>
      <c r="L23" s="464"/>
      <c r="M23" t="s" s="372">
        <f>IF($E23=0,"",IF($E23='DID List'!$A$7,H23,VLOOKUP($E23,'DID List'!$A1:$L461,10)))</f>
      </c>
      <c r="N23" t="s" s="372">
        <f>IF($E23=0,"",IF($E23='DID List'!$A$7,I23,VLOOKUP($E23,'DID List'!$A1:$L461,9)))</f>
      </c>
      <c r="O23" t="s" s="372">
        <f>IF($E23=0,"",IF($E23='DID List'!$A$7,J23,VLOOKUP($E23,'DID List'!$A1:$L461,11)))</f>
      </c>
      <c r="P23" t="s" s="372">
        <f>IF($E23=0,"",IF($E23='DID List'!$A$7,K23,VLOOKUP($E23,'DID List'!$A1:$L461,12)))</f>
      </c>
      <c r="Q23" t="s" s="372">
        <f>IF($E23=0,"",IF(AND(P23="O",(OR($L23=1,$L23=2,$L23=3))),"Y",P23))</f>
      </c>
      <c r="R23" t="s" s="462">
        <f>IF(B23="","",IF(OR('Alapanyagok'!H23='Fordítások'!$C$61,'Alapanyagok'!H23='Fordítások'!$B$61),"Y",IF(OR('Alapanyagok'!H23='Fordítások'!$C$167,'Alapanyagok'!H23='Fordítások'!$B$167),"Y","N")))</f>
      </c>
      <c r="S23" s="465"/>
      <c r="T23" s="469"/>
      <c r="U23" s="466"/>
      <c r="V23" s="467"/>
      <c r="W23" s="468"/>
    </row>
    <row r="24" ht="15.75" customHeight="1">
      <c r="A24" s="460">
        <v>13</v>
      </c>
      <c r="B24" t="s" s="461">
        <f>IF('Alapanyagok'!B24="","",'Alapanyagok'!B24)</f>
      </c>
      <c r="C24" t="s" s="461">
        <f>IF('Alapanyagok'!C24="","",'Alapanyagok'!C24)</f>
      </c>
      <c r="D24" t="s" s="462">
        <f>IF('Alapanyagok'!G24="","",'Alapanyagok'!G24)</f>
      </c>
      <c r="E24" s="463"/>
      <c r="F24" t="s" s="372">
        <f>IF(E24&gt;0,VLOOKUP(E24,'DID List'!A1:L461,3,FALSE),"   ")</f>
        <v>285</v>
      </c>
      <c r="G24" t="s" s="372">
        <f>IF('Alapanyagok'!I24="","",'Alapanyagok'!I24)</f>
      </c>
      <c r="H24" s="464"/>
      <c r="I24" s="464"/>
      <c r="J24" s="464"/>
      <c r="K24" s="464"/>
      <c r="L24" s="464"/>
      <c r="M24" t="s" s="372">
        <f>IF($E24=0,"",IF($E24='DID List'!$A$7,H24,VLOOKUP($E24,'DID List'!$A1:$L461,10)))</f>
      </c>
      <c r="N24" t="s" s="372">
        <f>IF($E24=0,"",IF($E24='DID List'!$A$7,I24,VLOOKUP($E24,'DID List'!$A1:$L461,9)))</f>
      </c>
      <c r="O24" t="s" s="372">
        <f>IF($E24=0,"",IF($E24='DID List'!$A$7,J24,VLOOKUP($E24,'DID List'!$A1:$L461,11)))</f>
      </c>
      <c r="P24" t="s" s="372">
        <f>IF($E24=0,"",IF($E24='DID List'!$A$7,K24,VLOOKUP($E24,'DID List'!$A1:$L461,12)))</f>
      </c>
      <c r="Q24" t="s" s="372">
        <f>IF($E24=0,"",IF(AND(P24="O",(OR($L24=1,$L24=2,$L24=3))),"Y",P24))</f>
      </c>
      <c r="R24" t="s" s="462">
        <f>IF(B24="","",IF(OR('Alapanyagok'!H24='Fordítások'!$C$61,'Alapanyagok'!H24='Fordítások'!$B$61),"Y",IF(OR('Alapanyagok'!H24='Fordítások'!$C$167,'Alapanyagok'!H24='Fordítások'!$B$167),"Y","N")))</f>
      </c>
      <c r="S24" s="465"/>
      <c r="T24" s="469"/>
      <c r="U24" s="466"/>
      <c r="V24" s="467"/>
      <c r="W24" s="468"/>
    </row>
    <row r="25" ht="15.75" customHeight="1">
      <c r="A25" s="460">
        <v>14</v>
      </c>
      <c r="B25" t="s" s="461">
        <f>IF('Alapanyagok'!B25="","",'Alapanyagok'!B25)</f>
      </c>
      <c r="C25" t="s" s="461">
        <f>IF('Alapanyagok'!C25="","",'Alapanyagok'!C25)</f>
      </c>
      <c r="D25" t="s" s="462">
        <f>IF('Alapanyagok'!G25="","",'Alapanyagok'!G25)</f>
      </c>
      <c r="E25" s="463"/>
      <c r="F25" t="s" s="372">
        <f>IF(E25&gt;0,VLOOKUP(E25,'DID List'!A1:L461,3,FALSE),"   ")</f>
        <v>285</v>
      </c>
      <c r="G25" t="s" s="372">
        <f>IF('Alapanyagok'!I25="","",'Alapanyagok'!I25)</f>
      </c>
      <c r="H25" s="464"/>
      <c r="I25" s="464"/>
      <c r="J25" s="464"/>
      <c r="K25" s="464"/>
      <c r="L25" s="464"/>
      <c r="M25" t="s" s="372">
        <f>IF($E25=0,"",IF($E25='DID List'!$A$7,H25,VLOOKUP($E25,'DID List'!$A1:$L461,10)))</f>
      </c>
      <c r="N25" t="s" s="372">
        <f>IF($E25=0,"",IF($E25='DID List'!$A$7,I25,VLOOKUP($E25,'DID List'!$A1:$L461,9)))</f>
      </c>
      <c r="O25" t="s" s="372">
        <f>IF($E25=0,"",IF($E25='DID List'!$A$7,J25,VLOOKUP($E25,'DID List'!$A1:$L461,11)))</f>
      </c>
      <c r="P25" t="s" s="372">
        <f>IF($E25=0,"",IF($E25='DID List'!$A$7,K25,VLOOKUP($E25,'DID List'!$A1:$L461,12)))</f>
      </c>
      <c r="Q25" t="s" s="372">
        <f>IF($E25=0,"",IF(AND(P25="O",(OR($L25=1,$L25=2,$L25=3))),"Y",P25))</f>
      </c>
      <c r="R25" t="s" s="462">
        <f>IF(B25="","",IF(OR('Alapanyagok'!H25='Fordítások'!$C$61,'Alapanyagok'!H25='Fordítások'!$B$61),"Y",IF(OR('Alapanyagok'!H25='Fordítások'!$C$167,'Alapanyagok'!H25='Fordítások'!$B$167),"Y","N")))</f>
      </c>
      <c r="S25" s="465"/>
      <c r="T25" s="469"/>
      <c r="U25" s="466"/>
      <c r="V25" s="467"/>
      <c r="W25" s="468"/>
    </row>
    <row r="26" ht="15.75" customHeight="1">
      <c r="A26" s="460">
        <v>15</v>
      </c>
      <c r="B26" t="s" s="461">
        <f>IF('Alapanyagok'!B26="","",'Alapanyagok'!B26)</f>
      </c>
      <c r="C26" t="s" s="461">
        <f>IF('Alapanyagok'!C26="","",'Alapanyagok'!C26)</f>
      </c>
      <c r="D26" t="s" s="462">
        <f>IF('Alapanyagok'!G26="","",'Alapanyagok'!G26)</f>
      </c>
      <c r="E26" s="463"/>
      <c r="F26" t="s" s="372">
        <f>IF(E26&gt;0,VLOOKUP(E26,'DID List'!A1:L461,3,FALSE),"   ")</f>
        <v>285</v>
      </c>
      <c r="G26" t="s" s="372">
        <f>IF('Alapanyagok'!I26="","",'Alapanyagok'!I26)</f>
      </c>
      <c r="H26" s="464"/>
      <c r="I26" s="464"/>
      <c r="J26" s="464"/>
      <c r="K26" s="464"/>
      <c r="L26" s="464"/>
      <c r="M26" t="s" s="372">
        <f>IF($E26=0,"",IF($E26='DID List'!$A$7,H26,VLOOKUP($E26,'DID List'!$A1:$L461,10)))</f>
      </c>
      <c r="N26" t="s" s="372">
        <f>IF($E26=0,"",IF($E26='DID List'!$A$7,I26,VLOOKUP($E26,'DID List'!$A1:$L461,9)))</f>
      </c>
      <c r="O26" t="s" s="372">
        <f>IF($E26=0,"",IF($E26='DID List'!$A$7,J26,VLOOKUP($E26,'DID List'!$A1:$L461,11)))</f>
      </c>
      <c r="P26" t="s" s="372">
        <f>IF($E26=0,"",IF($E26='DID List'!$A$7,K26,VLOOKUP($E26,'DID List'!$A1:$L461,12)))</f>
      </c>
      <c r="Q26" t="s" s="372">
        <f>IF($E26=0,"",IF(AND(P26="O",(OR($L26=1,$L26=2,$L26=3))),"Y",P26))</f>
      </c>
      <c r="R26" t="s" s="462">
        <f>IF(B26="","",IF(OR('Alapanyagok'!H26='Fordítások'!$C$61,'Alapanyagok'!H26='Fordítások'!$B$61),"Y",IF(OR('Alapanyagok'!H26='Fordítások'!$C$167,'Alapanyagok'!H26='Fordítások'!$B$167),"Y","N")))</f>
      </c>
      <c r="S26" s="465"/>
      <c r="T26" s="469"/>
      <c r="U26" s="466"/>
      <c r="V26" s="467"/>
      <c r="W26" s="468"/>
    </row>
    <row r="27" ht="15.75" customHeight="1">
      <c r="A27" s="460">
        <v>16</v>
      </c>
      <c r="B27" t="s" s="461">
        <f>IF('Alapanyagok'!B27="","",'Alapanyagok'!B27)</f>
      </c>
      <c r="C27" t="s" s="461">
        <f>IF('Alapanyagok'!C27="","",'Alapanyagok'!C27)</f>
      </c>
      <c r="D27" t="s" s="462">
        <f>IF('Alapanyagok'!G27="","",'Alapanyagok'!G27)</f>
      </c>
      <c r="E27" s="463"/>
      <c r="F27" t="s" s="372">
        <f>IF(E27&gt;0,VLOOKUP(E27,'DID List'!A1:L461,3,FALSE),"   ")</f>
        <v>285</v>
      </c>
      <c r="G27" t="s" s="372">
        <f>IF('Alapanyagok'!I27="","",'Alapanyagok'!I27)</f>
      </c>
      <c r="H27" s="464"/>
      <c r="I27" s="464"/>
      <c r="J27" s="464"/>
      <c r="K27" s="464"/>
      <c r="L27" s="464"/>
      <c r="M27" t="s" s="372">
        <f>IF($E27=0,"",IF($E27='DID List'!$A$7,H27,VLOOKUP($E27,'DID List'!$A1:$L461,10)))</f>
      </c>
      <c r="N27" t="s" s="372">
        <f>IF($E27=0,"",IF($E27='DID List'!$A$7,I27,VLOOKUP($E27,'DID List'!$A1:$L461,9)))</f>
      </c>
      <c r="O27" t="s" s="372">
        <f>IF($E27=0,"",IF($E27='DID List'!$A$7,J27,VLOOKUP($E27,'DID List'!$A1:$L461,11)))</f>
      </c>
      <c r="P27" t="s" s="372">
        <f>IF($E27=0,"",IF($E27='DID List'!$A$7,K27,VLOOKUP($E27,'DID List'!$A1:$L461,12)))</f>
      </c>
      <c r="Q27" t="s" s="372">
        <f>IF($E27=0,"",IF(AND(P27="O",(OR($L27=1,$L27=2,$L27=3))),"Y",P27))</f>
      </c>
      <c r="R27" t="s" s="462">
        <f>IF(B27="","",IF(OR('Alapanyagok'!H27='Fordítások'!$C$61,'Alapanyagok'!H27='Fordítások'!$B$61),"Y",IF(OR('Alapanyagok'!H27='Fordítások'!$C$167,'Alapanyagok'!H27='Fordítások'!$B$167),"Y","N")))</f>
      </c>
      <c r="S27" s="465"/>
      <c r="T27" s="469"/>
      <c r="U27" s="466"/>
      <c r="V27" s="467"/>
      <c r="W27" s="468"/>
    </row>
    <row r="28" ht="15.75" customHeight="1">
      <c r="A28" s="460">
        <v>17</v>
      </c>
      <c r="B28" t="s" s="461">
        <f>IF('Alapanyagok'!B28="","",'Alapanyagok'!B28)</f>
      </c>
      <c r="C28" t="s" s="461">
        <f>IF('Alapanyagok'!C28="","",'Alapanyagok'!C28)</f>
      </c>
      <c r="D28" t="s" s="462">
        <f>IF('Alapanyagok'!G28="","",'Alapanyagok'!G28)</f>
      </c>
      <c r="E28" s="463"/>
      <c r="F28" t="s" s="372">
        <f>IF(E28&gt;0,VLOOKUP(E28,'DID List'!A1:L461,3,FALSE),"   ")</f>
        <v>285</v>
      </c>
      <c r="G28" t="s" s="372">
        <f>IF('Alapanyagok'!I28="","",'Alapanyagok'!I28)</f>
      </c>
      <c r="H28" s="464"/>
      <c r="I28" s="464"/>
      <c r="J28" s="464"/>
      <c r="K28" s="464"/>
      <c r="L28" s="464"/>
      <c r="M28" t="s" s="372">
        <f>IF($E28=0,"",IF($E28='DID List'!$A$7,H28,VLOOKUP($E28,'DID List'!$A1:$L461,10)))</f>
      </c>
      <c r="N28" t="s" s="372">
        <f>IF($E28=0,"",IF($E28='DID List'!$A$7,I28,VLOOKUP($E28,'DID List'!$A1:$L461,9)))</f>
      </c>
      <c r="O28" t="s" s="372">
        <f>IF($E28=0,"",IF($E28='DID List'!$A$7,J28,VLOOKUP($E28,'DID List'!$A1:$L461,11)))</f>
      </c>
      <c r="P28" t="s" s="372">
        <f>IF($E28=0,"",IF($E28='DID List'!$A$7,K28,VLOOKUP($E28,'DID List'!$A1:$L461,12)))</f>
      </c>
      <c r="Q28" t="s" s="372">
        <f>IF($E28=0,"",IF(AND(P28="O",(OR($L28=1,$L28=2,$L28=3))),"Y",P28))</f>
      </c>
      <c r="R28" t="s" s="462">
        <f>IF(B28="","",IF(OR('Alapanyagok'!H28='Fordítások'!$C$61,'Alapanyagok'!H28='Fordítások'!$B$61),"Y",IF(OR('Alapanyagok'!H28='Fordítások'!$C$167,'Alapanyagok'!H28='Fordítások'!$B$167),"Y","N")))</f>
      </c>
      <c r="S28" s="465"/>
      <c r="T28" s="469"/>
      <c r="U28" s="466"/>
      <c r="V28" s="467"/>
      <c r="W28" s="468"/>
    </row>
    <row r="29" ht="15.75" customHeight="1">
      <c r="A29" s="460">
        <v>18</v>
      </c>
      <c r="B29" t="s" s="461">
        <f>IF('Alapanyagok'!B29="","",'Alapanyagok'!B29)</f>
      </c>
      <c r="C29" t="s" s="461">
        <f>IF('Alapanyagok'!C29="","",'Alapanyagok'!C29)</f>
      </c>
      <c r="D29" t="s" s="462">
        <f>IF('Alapanyagok'!G29="","",'Alapanyagok'!G29)</f>
      </c>
      <c r="E29" s="463"/>
      <c r="F29" t="s" s="372">
        <f>IF(E29&gt;0,VLOOKUP(E29,'DID List'!A1:L461,3,FALSE),"   ")</f>
        <v>285</v>
      </c>
      <c r="G29" t="s" s="372">
        <f>IF('Alapanyagok'!I29="","",'Alapanyagok'!I29)</f>
      </c>
      <c r="H29" s="464"/>
      <c r="I29" s="464"/>
      <c r="J29" s="464"/>
      <c r="K29" s="464"/>
      <c r="L29" s="464"/>
      <c r="M29" t="s" s="372">
        <f>IF($E29=0,"",IF($E29='DID List'!$A$7,H29,VLOOKUP($E29,'DID List'!$A1:$L461,10)))</f>
      </c>
      <c r="N29" t="s" s="372">
        <f>IF($E29=0,"",IF($E29='DID List'!$A$7,I29,VLOOKUP($E29,'DID List'!$A1:$L461,9)))</f>
      </c>
      <c r="O29" t="s" s="372">
        <f>IF($E29=0,"",IF($E29='DID List'!$A$7,J29,VLOOKUP($E29,'DID List'!$A1:$L461,11)))</f>
      </c>
      <c r="P29" t="s" s="372">
        <f>IF($E29=0,"",IF($E29='DID List'!$A$7,K29,VLOOKUP($E29,'DID List'!$A1:$L461,12)))</f>
      </c>
      <c r="Q29" t="s" s="372">
        <f>IF($E29=0,"",IF(AND(P29="O",(OR($L29=1,$L29=2,$L29=3))),"Y",P29))</f>
      </c>
      <c r="R29" t="s" s="462">
        <f>IF(B29="","",IF(OR('Alapanyagok'!H29='Fordítások'!$C$61,'Alapanyagok'!H29='Fordítások'!$B$61),"Y",IF(OR('Alapanyagok'!H29='Fordítások'!$C$167,'Alapanyagok'!H29='Fordítások'!$B$167),"Y","N")))</f>
      </c>
      <c r="S29" s="465"/>
      <c r="T29" s="469"/>
      <c r="U29" s="466"/>
      <c r="V29" s="467"/>
      <c r="W29" s="468"/>
    </row>
    <row r="30" ht="15.75" customHeight="1">
      <c r="A30" s="460">
        <v>19</v>
      </c>
      <c r="B30" t="s" s="461">
        <f>IF('Alapanyagok'!B30="","",'Alapanyagok'!B30)</f>
      </c>
      <c r="C30" t="s" s="461">
        <f>IF('Alapanyagok'!C30="","",'Alapanyagok'!C30)</f>
      </c>
      <c r="D30" t="s" s="462">
        <f>IF('Alapanyagok'!G30="","",'Alapanyagok'!G30)</f>
      </c>
      <c r="E30" s="463"/>
      <c r="F30" t="s" s="372">
        <f>IF(E30&gt;0,VLOOKUP(E30,'DID List'!A1:L461,3,FALSE),"   ")</f>
        <v>285</v>
      </c>
      <c r="G30" t="s" s="372">
        <f>IF('Alapanyagok'!I30="","",'Alapanyagok'!I30)</f>
      </c>
      <c r="H30" s="464"/>
      <c r="I30" s="464"/>
      <c r="J30" s="464"/>
      <c r="K30" s="464"/>
      <c r="L30" s="464"/>
      <c r="M30" t="s" s="372">
        <f>IF($E30=0,"",IF($E30='DID List'!$A$7,H30,VLOOKUP($E30,'DID List'!$A1:$L461,10)))</f>
      </c>
      <c r="N30" t="s" s="372">
        <f>IF($E30=0,"",IF($E30='DID List'!$A$7,I30,VLOOKUP($E30,'DID List'!$A1:$L461,9)))</f>
      </c>
      <c r="O30" t="s" s="372">
        <f>IF($E30=0,"",IF($E30='DID List'!$A$7,J30,VLOOKUP($E30,'DID List'!$A1:$L461,11)))</f>
      </c>
      <c r="P30" t="s" s="372">
        <f>IF($E30=0,"",IF($E30='DID List'!$A$7,K30,VLOOKUP($E30,'DID List'!$A1:$L461,12)))</f>
      </c>
      <c r="Q30" t="s" s="372">
        <f>IF($E30=0,"",IF(AND(P30="O",(OR($L30=1,$L30=2,$L30=3))),"Y",P30))</f>
      </c>
      <c r="R30" t="s" s="462">
        <f>IF(B30="","",IF(OR('Alapanyagok'!H30='Fordítások'!$C$61,'Alapanyagok'!H30='Fordítások'!$B$61),"Y",IF(OR('Alapanyagok'!H30='Fordítások'!$C$167,'Alapanyagok'!H30='Fordítások'!$B$167),"Y","N")))</f>
      </c>
      <c r="S30" s="465"/>
      <c r="T30" s="469"/>
      <c r="U30" s="466"/>
      <c r="V30" s="467"/>
      <c r="W30" s="468"/>
    </row>
    <row r="31" ht="15.75" customHeight="1">
      <c r="A31" s="460">
        <v>20</v>
      </c>
      <c r="B31" t="s" s="461">
        <f>IF('Alapanyagok'!B31="","",'Alapanyagok'!B31)</f>
      </c>
      <c r="C31" t="s" s="461">
        <f>IF('Alapanyagok'!C31="","",'Alapanyagok'!C31)</f>
      </c>
      <c r="D31" t="s" s="462">
        <f>IF('Alapanyagok'!G31="","",'Alapanyagok'!G31)</f>
      </c>
      <c r="E31" s="463"/>
      <c r="F31" t="s" s="372">
        <f>IF(E31&gt;0,VLOOKUP(E31,'DID List'!A1:L461,3,FALSE),"   ")</f>
        <v>285</v>
      </c>
      <c r="G31" t="s" s="372">
        <f>IF('Alapanyagok'!I31="","",'Alapanyagok'!I31)</f>
      </c>
      <c r="H31" s="464"/>
      <c r="I31" s="464"/>
      <c r="J31" s="464"/>
      <c r="K31" s="464"/>
      <c r="L31" s="464"/>
      <c r="M31" t="s" s="372">
        <f>IF($E31=0,"",IF($E31='DID List'!$A$7,H31,VLOOKUP($E31,'DID List'!$A1:$L461,10)))</f>
      </c>
      <c r="N31" t="s" s="372">
        <f>IF($E31=0,"",IF($E31='DID List'!$A$7,I31,VLOOKUP($E31,'DID List'!$A1:$L461,9)))</f>
      </c>
      <c r="O31" t="s" s="372">
        <f>IF($E31=0,"",IF($E31='DID List'!$A$7,J31,VLOOKUP($E31,'DID List'!$A1:$L461,11)))</f>
      </c>
      <c r="P31" t="s" s="372">
        <f>IF($E31=0,"",IF($E31='DID List'!$A$7,K31,VLOOKUP($E31,'DID List'!$A1:$L461,12)))</f>
      </c>
      <c r="Q31" t="s" s="372">
        <f>IF($E31=0,"",IF(AND(P31="O",(OR($L31=1,$L31=2,$L31=3))),"Y",P31))</f>
      </c>
      <c r="R31" t="s" s="462">
        <f>IF(B31="","",IF(OR('Alapanyagok'!H31='Fordítások'!$C$61,'Alapanyagok'!H31='Fordítások'!$B$61),"Y",IF(OR('Alapanyagok'!H31='Fordítások'!$C$167,'Alapanyagok'!H31='Fordítások'!$B$167),"Y","N")))</f>
      </c>
      <c r="S31" s="465"/>
      <c r="T31" s="469"/>
      <c r="U31" s="466"/>
      <c r="V31" s="467"/>
      <c r="W31" s="468"/>
    </row>
    <row r="32" ht="15.75" customHeight="1">
      <c r="A32" s="460">
        <v>21</v>
      </c>
      <c r="B32" t="s" s="461">
        <f>IF('Alapanyagok'!B32="","",'Alapanyagok'!B32)</f>
      </c>
      <c r="C32" t="s" s="461">
        <f>IF('Alapanyagok'!C32="","",'Alapanyagok'!C32)</f>
      </c>
      <c r="D32" t="s" s="462">
        <f>IF('Alapanyagok'!G32="","",'Alapanyagok'!G32)</f>
      </c>
      <c r="E32" s="463"/>
      <c r="F32" t="s" s="372">
        <f>IF(E32&gt;0,VLOOKUP(E32,'DID List'!A1:L461,3,FALSE),"   ")</f>
        <v>285</v>
      </c>
      <c r="G32" t="s" s="372">
        <f>IF('Alapanyagok'!I32="","",'Alapanyagok'!I32)</f>
      </c>
      <c r="H32" s="464"/>
      <c r="I32" s="464"/>
      <c r="J32" s="464"/>
      <c r="K32" s="464"/>
      <c r="L32" s="464"/>
      <c r="M32" t="s" s="372">
        <f>IF($E32=0,"",IF($E32='DID List'!$A$7,H32,VLOOKUP($E32,'DID List'!$A1:$L461,10)))</f>
      </c>
      <c r="N32" t="s" s="372">
        <f>IF($E32=0,"",IF($E32='DID List'!$A$7,I32,VLOOKUP($E32,'DID List'!$A1:$L461,9)))</f>
      </c>
      <c r="O32" t="s" s="372">
        <f>IF($E32=0,"",IF($E32='DID List'!$A$7,J32,VLOOKUP($E32,'DID List'!$A1:$L461,11)))</f>
      </c>
      <c r="P32" t="s" s="372">
        <f>IF($E32=0,"",IF($E32='DID List'!$A$7,K32,VLOOKUP($E32,'DID List'!$A1:$L461,12)))</f>
      </c>
      <c r="Q32" t="s" s="372">
        <f>IF($E32=0,"",IF(AND(P32="O",(OR($L32=1,$L32=2,$L32=3))),"Y",P32))</f>
      </c>
      <c r="R32" t="s" s="462">
        <f>IF(B32="","",IF(OR('Alapanyagok'!H32='Fordítások'!$C$61,'Alapanyagok'!H32='Fordítások'!$B$61),"Y",IF(OR('Alapanyagok'!H32='Fordítások'!$C$167,'Alapanyagok'!H32='Fordítások'!$B$167),"Y","N")))</f>
      </c>
      <c r="S32" s="465"/>
      <c r="T32" s="469"/>
      <c r="U32" s="466"/>
      <c r="V32" s="467"/>
      <c r="W32" s="468"/>
    </row>
    <row r="33" ht="15.75" customHeight="1">
      <c r="A33" s="460">
        <v>22</v>
      </c>
      <c r="B33" t="s" s="461">
        <f>IF('Alapanyagok'!B33="","",'Alapanyagok'!B33)</f>
      </c>
      <c r="C33" t="s" s="461">
        <f>IF('Alapanyagok'!C33="","",'Alapanyagok'!C33)</f>
      </c>
      <c r="D33" t="s" s="462">
        <f>IF('Alapanyagok'!G33="","",'Alapanyagok'!G33)</f>
      </c>
      <c r="E33" s="463"/>
      <c r="F33" t="s" s="372">
        <f>IF(E33&gt;0,VLOOKUP(E33,'DID List'!A1:L461,3,FALSE),"   ")</f>
        <v>285</v>
      </c>
      <c r="G33" t="s" s="372">
        <f>IF('Alapanyagok'!I33="","",'Alapanyagok'!I33)</f>
      </c>
      <c r="H33" s="464"/>
      <c r="I33" s="464"/>
      <c r="J33" s="464"/>
      <c r="K33" s="464"/>
      <c r="L33" s="464"/>
      <c r="M33" t="s" s="372">
        <f>IF($E33=0,"",IF($E33='DID List'!$A$7,H33,VLOOKUP($E33,'DID List'!$A1:$L461,10)))</f>
      </c>
      <c r="N33" t="s" s="372">
        <f>IF($E33=0,"",IF($E33='DID List'!$A$7,I33,VLOOKUP($E33,'DID List'!$A1:$L461,9)))</f>
      </c>
      <c r="O33" t="s" s="372">
        <f>IF($E33=0,"",IF($E33='DID List'!$A$7,J33,VLOOKUP($E33,'DID List'!$A1:$L461,11)))</f>
      </c>
      <c r="P33" t="s" s="372">
        <f>IF($E33=0,"",IF($E33='DID List'!$A$7,K33,VLOOKUP($E33,'DID List'!$A1:$L461,12)))</f>
      </c>
      <c r="Q33" t="s" s="372">
        <f>IF($E33=0,"",IF(AND(P33="O",(OR($L33=1,$L33=2,$L33=3))),"Y",P33))</f>
      </c>
      <c r="R33" t="s" s="462">
        <f>IF(B33="","",IF(OR('Alapanyagok'!H33='Fordítások'!$C$61,'Alapanyagok'!H33='Fordítások'!$B$61),"Y",IF(OR('Alapanyagok'!H33='Fordítások'!$C$167,'Alapanyagok'!H33='Fordítások'!$B$167),"Y","N")))</f>
      </c>
      <c r="S33" s="465"/>
      <c r="T33" s="469"/>
      <c r="U33" s="466"/>
      <c r="V33" s="467"/>
      <c r="W33" s="468"/>
    </row>
    <row r="34" ht="15.75" customHeight="1">
      <c r="A34" s="460">
        <v>23</v>
      </c>
      <c r="B34" t="s" s="461">
        <f>IF('Alapanyagok'!B34="","",'Alapanyagok'!B34)</f>
      </c>
      <c r="C34" t="s" s="461">
        <f>IF('Alapanyagok'!C34="","",'Alapanyagok'!C34)</f>
      </c>
      <c r="D34" t="s" s="462">
        <f>IF('Alapanyagok'!G34="","",'Alapanyagok'!G34)</f>
      </c>
      <c r="E34" s="463"/>
      <c r="F34" t="s" s="372">
        <f>IF(E34&gt;0,VLOOKUP(E34,'DID List'!A1:L461,3,FALSE),"   ")</f>
        <v>285</v>
      </c>
      <c r="G34" t="s" s="372">
        <f>IF('Alapanyagok'!I34="","",'Alapanyagok'!I34)</f>
      </c>
      <c r="H34" s="464"/>
      <c r="I34" s="464"/>
      <c r="J34" s="464"/>
      <c r="K34" s="464"/>
      <c r="L34" s="464"/>
      <c r="M34" t="s" s="372">
        <f>IF($E34=0,"",IF($E34='DID List'!$A$7,H34,VLOOKUP($E34,'DID List'!$A1:$L461,10)))</f>
      </c>
      <c r="N34" t="s" s="372">
        <f>IF($E34=0,"",IF($E34='DID List'!$A$7,I34,VLOOKUP($E34,'DID List'!$A1:$L461,9)))</f>
      </c>
      <c r="O34" t="s" s="372">
        <f>IF($E34=0,"",IF($E34='DID List'!$A$7,J34,VLOOKUP($E34,'DID List'!$A1:$L461,11)))</f>
      </c>
      <c r="P34" t="s" s="372">
        <f>IF($E34=0,"",IF($E34='DID List'!$A$7,K34,VLOOKUP($E34,'DID List'!$A1:$L461,12)))</f>
      </c>
      <c r="Q34" t="s" s="372">
        <f>IF($E34=0,"",IF(AND(P34="O",(OR($L34=1,$L34=2,$L34=3))),"Y",P34))</f>
      </c>
      <c r="R34" t="s" s="462">
        <f>IF(B34="","",IF(OR('Alapanyagok'!H34='Fordítások'!$C$61,'Alapanyagok'!H34='Fordítások'!$B$61),"Y",IF(OR('Alapanyagok'!H34='Fordítások'!$C$167,'Alapanyagok'!H34='Fordítások'!$B$167),"Y","N")))</f>
      </c>
      <c r="S34" s="465"/>
      <c r="T34" s="469"/>
      <c r="U34" s="466"/>
      <c r="V34" s="467"/>
      <c r="W34" s="468"/>
    </row>
    <row r="35" ht="15.75" customHeight="1">
      <c r="A35" s="460">
        <v>24</v>
      </c>
      <c r="B35" t="s" s="461">
        <f>IF('Alapanyagok'!B35="","",'Alapanyagok'!B35)</f>
      </c>
      <c r="C35" t="s" s="461">
        <f>IF('Alapanyagok'!C35="","",'Alapanyagok'!C35)</f>
      </c>
      <c r="D35" t="s" s="462">
        <f>IF('Alapanyagok'!G35="","",'Alapanyagok'!G35)</f>
      </c>
      <c r="E35" s="463"/>
      <c r="F35" t="s" s="372">
        <f>IF(E35&gt;0,VLOOKUP(E35,'DID List'!A1:L461,3,FALSE),"   ")</f>
        <v>285</v>
      </c>
      <c r="G35" t="s" s="372">
        <f>IF('Alapanyagok'!I35="","",'Alapanyagok'!I35)</f>
      </c>
      <c r="H35" s="464"/>
      <c r="I35" s="464"/>
      <c r="J35" s="464"/>
      <c r="K35" s="464"/>
      <c r="L35" s="464"/>
      <c r="M35" t="s" s="372">
        <f>IF($E35=0,"",IF($E35='DID List'!$A$7,H35,VLOOKUP($E35,'DID List'!$A1:$L461,10)))</f>
      </c>
      <c r="N35" t="s" s="372">
        <f>IF($E35=0,"",IF($E35='DID List'!$A$7,I35,VLOOKUP($E35,'DID List'!$A1:$L461,9)))</f>
      </c>
      <c r="O35" t="s" s="372">
        <f>IF($E35=0,"",IF($E35='DID List'!$A$7,J35,VLOOKUP($E35,'DID List'!$A1:$L461,11)))</f>
      </c>
      <c r="P35" t="s" s="372">
        <f>IF($E35=0,"",IF($E35='DID List'!$A$7,K35,VLOOKUP($E35,'DID List'!$A1:$L461,12)))</f>
      </c>
      <c r="Q35" t="s" s="372">
        <f>IF($E35=0,"",IF(AND(P35="O",(OR($L35=1,$L35=2,$L35=3))),"Y",P35))</f>
      </c>
      <c r="R35" t="s" s="462">
        <f>IF(B35="","",IF(OR('Alapanyagok'!H35='Fordítások'!$C$61,'Alapanyagok'!H35='Fordítások'!$B$61),"Y",IF(OR('Alapanyagok'!H35='Fordítások'!$C$167,'Alapanyagok'!H35='Fordítások'!$B$167),"Y","N")))</f>
      </c>
      <c r="S35" s="465"/>
      <c r="T35" s="469"/>
      <c r="U35" s="466"/>
      <c r="V35" s="467"/>
      <c r="W35" s="468"/>
    </row>
    <row r="36" ht="15.75" customHeight="1">
      <c r="A36" s="460">
        <v>25</v>
      </c>
      <c r="B36" t="s" s="461">
        <f>IF('Alapanyagok'!B36="","",'Alapanyagok'!B36)</f>
      </c>
      <c r="C36" t="s" s="461">
        <f>IF('Alapanyagok'!C36="","",'Alapanyagok'!C36)</f>
      </c>
      <c r="D36" t="s" s="462">
        <f>IF('Alapanyagok'!G36="","",'Alapanyagok'!G36)</f>
      </c>
      <c r="E36" s="463"/>
      <c r="F36" t="s" s="372">
        <f>IF(E36&gt;0,VLOOKUP(E36,'DID List'!A1:L461,3,FALSE),"   ")</f>
        <v>285</v>
      </c>
      <c r="G36" t="s" s="372">
        <f>IF('Alapanyagok'!I36="","",'Alapanyagok'!I36)</f>
      </c>
      <c r="H36" s="464"/>
      <c r="I36" s="464"/>
      <c r="J36" s="464"/>
      <c r="K36" s="464"/>
      <c r="L36" s="464"/>
      <c r="M36" t="s" s="372">
        <f>IF($E36=0,"",IF($E36='DID List'!$A$7,H36,VLOOKUP($E36,'DID List'!$A1:$L461,10)))</f>
      </c>
      <c r="N36" t="s" s="372">
        <f>IF($E36=0,"",IF($E36='DID List'!$A$7,I36,VLOOKUP($E36,'DID List'!$A1:$L461,9)))</f>
      </c>
      <c r="O36" t="s" s="372">
        <f>IF($E36=0,"",IF($E36='DID List'!$A$7,J36,VLOOKUP($E36,'DID List'!$A1:$L461,11)))</f>
      </c>
      <c r="P36" t="s" s="372">
        <f>IF($E36=0,"",IF($E36='DID List'!$A$7,K36,VLOOKUP($E36,'DID List'!$A1:$L461,12)))</f>
      </c>
      <c r="Q36" t="s" s="372">
        <f>IF($E36=0,"",IF(AND(P36="O",(OR($L36=1,$L36=2,$L36=3))),"Y",P36))</f>
      </c>
      <c r="R36" t="s" s="462">
        <f>IF(B36="","",IF(OR('Alapanyagok'!H36='Fordítások'!$C$61,'Alapanyagok'!H36='Fordítások'!$B$61),"Y",IF(OR('Alapanyagok'!H36='Fordítások'!$C$167,'Alapanyagok'!H36='Fordítások'!$B$167),"Y","N")))</f>
      </c>
      <c r="S36" s="465"/>
      <c r="T36" s="469"/>
      <c r="U36" s="466"/>
      <c r="V36" s="467"/>
      <c r="W36" s="468"/>
    </row>
    <row r="37" ht="15.75" customHeight="1">
      <c r="A37" s="460">
        <v>26</v>
      </c>
      <c r="B37" t="s" s="461">
        <f>IF('Alapanyagok'!B37="","",'Alapanyagok'!B37)</f>
      </c>
      <c r="C37" t="s" s="461">
        <f>IF('Alapanyagok'!C37="","",'Alapanyagok'!C37)</f>
      </c>
      <c r="D37" t="s" s="462">
        <f>IF('Alapanyagok'!G37="","",'Alapanyagok'!G37)</f>
      </c>
      <c r="E37" s="463"/>
      <c r="F37" t="s" s="372">
        <f>IF(E37&gt;0,VLOOKUP(E37,'DID List'!A1:L461,3,FALSE),"   ")</f>
        <v>285</v>
      </c>
      <c r="G37" t="s" s="372">
        <f>IF('Alapanyagok'!I37="","",'Alapanyagok'!I37)</f>
      </c>
      <c r="H37" s="464"/>
      <c r="I37" s="464"/>
      <c r="J37" s="464"/>
      <c r="K37" s="464"/>
      <c r="L37" s="464"/>
      <c r="M37" t="s" s="372">
        <f>IF($E37=0,"",IF($E37='DID List'!$A$7,H37,VLOOKUP($E37,'DID List'!$A1:$L461,10)))</f>
      </c>
      <c r="N37" t="s" s="372">
        <f>IF($E37=0,"",IF($E37='DID List'!$A$7,I37,VLOOKUP($E37,'DID List'!$A1:$L461,9)))</f>
      </c>
      <c r="O37" t="s" s="372">
        <f>IF($E37=0,"",IF($E37='DID List'!$A$7,J37,VLOOKUP($E37,'DID List'!$A1:$L461,11)))</f>
      </c>
      <c r="P37" t="s" s="372">
        <f>IF($E37=0,"",IF($E37='DID List'!$A$7,K37,VLOOKUP($E37,'DID List'!$A1:$L461,12)))</f>
      </c>
      <c r="Q37" t="s" s="372">
        <f>IF($E37=0,"",IF(AND(P37="O",(OR($L37=1,$L37=2,$L37=3))),"Y",P37))</f>
      </c>
      <c r="R37" t="s" s="462">
        <f>IF(B37="","",IF(OR('Alapanyagok'!H37='Fordítások'!$C$61,'Alapanyagok'!H37='Fordítások'!$B$61),"Y",IF(OR('Alapanyagok'!H37='Fordítások'!$C$167,'Alapanyagok'!H37='Fordítások'!$B$167),"Y","N")))</f>
      </c>
      <c r="S37" s="465"/>
      <c r="T37" s="469"/>
      <c r="U37" s="466"/>
      <c r="V37" s="467"/>
      <c r="W37" s="468"/>
    </row>
    <row r="38" ht="15.75" customHeight="1">
      <c r="A38" s="460">
        <v>27</v>
      </c>
      <c r="B38" t="s" s="461">
        <f>IF('Alapanyagok'!B38="","",'Alapanyagok'!B38)</f>
      </c>
      <c r="C38" t="s" s="461">
        <f>IF('Alapanyagok'!C38="","",'Alapanyagok'!C38)</f>
      </c>
      <c r="D38" t="s" s="462">
        <f>IF('Alapanyagok'!G38="","",'Alapanyagok'!G38)</f>
      </c>
      <c r="E38" s="463"/>
      <c r="F38" t="s" s="372">
        <f>IF(E38&gt;0,VLOOKUP(E38,'DID List'!A1:L461,3,FALSE),"   ")</f>
        <v>285</v>
      </c>
      <c r="G38" t="s" s="372">
        <f>IF('Alapanyagok'!I38="","",'Alapanyagok'!I38)</f>
      </c>
      <c r="H38" s="464"/>
      <c r="I38" s="464"/>
      <c r="J38" s="464"/>
      <c r="K38" s="464"/>
      <c r="L38" s="464"/>
      <c r="M38" t="s" s="372">
        <f>IF($E38=0,"",IF($E38='DID List'!$A$7,H38,VLOOKUP($E38,'DID List'!$A1:$L461,10)))</f>
      </c>
      <c r="N38" t="s" s="372">
        <f>IF($E38=0,"",IF($E38='DID List'!$A$7,I38,VLOOKUP($E38,'DID List'!$A1:$L461,9)))</f>
      </c>
      <c r="O38" t="s" s="372">
        <f>IF($E38=0,"",IF($E38='DID List'!$A$7,J38,VLOOKUP($E38,'DID List'!$A1:$L461,11)))</f>
      </c>
      <c r="P38" t="s" s="372">
        <f>IF($E38=0,"",IF($E38='DID List'!$A$7,K38,VLOOKUP($E38,'DID List'!$A1:$L461,12)))</f>
      </c>
      <c r="Q38" t="s" s="372">
        <f>IF($E38=0,"",IF(AND(P38="O",(OR($L38=1,$L38=2,$L38=3))),"Y",P38))</f>
      </c>
      <c r="R38" t="s" s="462">
        <f>IF(B38="","",IF(OR('Alapanyagok'!H38='Fordítások'!$C$61,'Alapanyagok'!H38='Fordítások'!$B$61),"Y",IF(OR('Alapanyagok'!H38='Fordítások'!$C$167,'Alapanyagok'!H38='Fordítások'!$B$167),"Y","N")))</f>
      </c>
      <c r="S38" s="465"/>
      <c r="T38" s="469"/>
      <c r="U38" s="466"/>
      <c r="V38" s="467"/>
      <c r="W38" s="468"/>
    </row>
    <row r="39" ht="15.75" customHeight="1">
      <c r="A39" s="460">
        <v>28</v>
      </c>
      <c r="B39" t="s" s="461">
        <f>IF('Alapanyagok'!B39="","",'Alapanyagok'!B39)</f>
      </c>
      <c r="C39" t="s" s="461">
        <f>IF('Alapanyagok'!C39="","",'Alapanyagok'!C39)</f>
      </c>
      <c r="D39" t="s" s="462">
        <f>IF('Alapanyagok'!G39="","",'Alapanyagok'!G39)</f>
      </c>
      <c r="E39" s="463"/>
      <c r="F39" t="s" s="372">
        <f>IF(E39&gt;0,VLOOKUP(E39,'DID List'!A1:L461,3,FALSE),"   ")</f>
        <v>285</v>
      </c>
      <c r="G39" t="s" s="372">
        <f>IF('Alapanyagok'!I39="","",'Alapanyagok'!I39)</f>
      </c>
      <c r="H39" s="464"/>
      <c r="I39" s="464"/>
      <c r="J39" s="464"/>
      <c r="K39" s="464"/>
      <c r="L39" s="464"/>
      <c r="M39" t="s" s="372">
        <f>IF($E39=0,"",IF($E39='DID List'!$A$7,H39,VLOOKUP($E39,'DID List'!$A1:$L461,10)))</f>
      </c>
      <c r="N39" t="s" s="372">
        <f>IF($E39=0,"",IF($E39='DID List'!$A$7,I39,VLOOKUP($E39,'DID List'!$A1:$L461,9)))</f>
      </c>
      <c r="O39" t="s" s="372">
        <f>IF($E39=0,"",IF($E39='DID List'!$A$7,J39,VLOOKUP($E39,'DID List'!$A1:$L461,11)))</f>
      </c>
      <c r="P39" t="s" s="372">
        <f>IF($E39=0,"",IF($E39='DID List'!$A$7,K39,VLOOKUP($E39,'DID List'!$A1:$L461,12)))</f>
      </c>
      <c r="Q39" t="s" s="372">
        <f>IF($E39=0,"",IF(AND(P39="O",(OR($L39=1,$L39=2,$L39=3))),"Y",P39))</f>
      </c>
      <c r="R39" t="s" s="462">
        <f>IF(B39="","",IF(OR('Alapanyagok'!H39='Fordítások'!$C$61,'Alapanyagok'!H39='Fordítások'!$B$61),"Y",IF(OR('Alapanyagok'!H39='Fordítások'!$C$167,'Alapanyagok'!H39='Fordítások'!$B$167),"Y","N")))</f>
      </c>
      <c r="S39" s="465"/>
      <c r="T39" s="469"/>
      <c r="U39" s="466"/>
      <c r="V39" s="467"/>
      <c r="W39" s="468"/>
    </row>
    <row r="40" ht="15.75" customHeight="1">
      <c r="A40" s="460">
        <v>29</v>
      </c>
      <c r="B40" t="s" s="461">
        <f>IF('Alapanyagok'!B40="","",'Alapanyagok'!B40)</f>
      </c>
      <c r="C40" t="s" s="461">
        <f>IF('Alapanyagok'!C40="","",'Alapanyagok'!C40)</f>
      </c>
      <c r="D40" t="s" s="462">
        <f>IF('Alapanyagok'!G40="","",'Alapanyagok'!G40)</f>
      </c>
      <c r="E40" s="463"/>
      <c r="F40" t="s" s="372">
        <f>IF(E40&gt;0,VLOOKUP(E40,'DID List'!A1:L461,3,FALSE),"   ")</f>
        <v>285</v>
      </c>
      <c r="G40" t="s" s="372">
        <f>IF('Alapanyagok'!I40="","",'Alapanyagok'!I40)</f>
      </c>
      <c r="H40" s="464"/>
      <c r="I40" s="464"/>
      <c r="J40" s="464"/>
      <c r="K40" s="464"/>
      <c r="L40" s="464"/>
      <c r="M40" t="s" s="372">
        <f>IF($E40=0,"",IF($E40='DID List'!$A$7,H40,VLOOKUP($E40,'DID List'!$A1:$L461,10)))</f>
      </c>
      <c r="N40" t="s" s="372">
        <f>IF($E40=0,"",IF($E40='DID List'!$A$7,I40,VLOOKUP($E40,'DID List'!$A1:$L461,9)))</f>
      </c>
      <c r="O40" t="s" s="372">
        <f>IF($E40=0,"",IF($E40='DID List'!$A$7,J40,VLOOKUP($E40,'DID List'!$A1:$L461,11)))</f>
      </c>
      <c r="P40" t="s" s="372">
        <f>IF($E40=0,"",IF($E40='DID List'!$A$7,K40,VLOOKUP($E40,'DID List'!$A1:$L461,12)))</f>
      </c>
      <c r="Q40" t="s" s="372">
        <f>IF($E40=0,"",IF(AND(P40="O",(OR($L40=1,$L40=2,$L40=3))),"Y",P40))</f>
      </c>
      <c r="R40" t="s" s="462">
        <f>IF(B40="","",IF(OR('Alapanyagok'!H40='Fordítások'!$C$61,'Alapanyagok'!H40='Fordítások'!$B$61),"Y",IF(OR('Alapanyagok'!H40='Fordítások'!$C$167,'Alapanyagok'!H40='Fordítások'!$B$167),"Y","N")))</f>
      </c>
      <c r="S40" s="465"/>
      <c r="T40" s="469"/>
      <c r="U40" s="466"/>
      <c r="V40" s="467"/>
      <c r="W40" s="468"/>
    </row>
    <row r="41" ht="15.75" customHeight="1">
      <c r="A41" s="460">
        <v>30</v>
      </c>
      <c r="B41" t="s" s="461">
        <f>IF('Alapanyagok'!B41="","",'Alapanyagok'!B41)</f>
      </c>
      <c r="C41" t="s" s="461">
        <f>IF('Alapanyagok'!C41="","",'Alapanyagok'!C41)</f>
      </c>
      <c r="D41" t="s" s="462">
        <f>IF('Alapanyagok'!G41="","",'Alapanyagok'!G41)</f>
      </c>
      <c r="E41" s="463"/>
      <c r="F41" t="s" s="372">
        <f>IF(E41&gt;0,VLOOKUP(E41,'DID List'!A1:L461,3,FALSE),"   ")</f>
        <v>285</v>
      </c>
      <c r="G41" t="s" s="372">
        <f>IF('Alapanyagok'!I41="","",'Alapanyagok'!I41)</f>
      </c>
      <c r="H41" s="464"/>
      <c r="I41" s="464"/>
      <c r="J41" s="464"/>
      <c r="K41" s="464"/>
      <c r="L41" s="464"/>
      <c r="M41" t="s" s="372">
        <f>IF($E41=0,"",IF($E41='DID List'!$A$7,H41,VLOOKUP($E41,'DID List'!$A1:$L461,10)))</f>
      </c>
      <c r="N41" t="s" s="372">
        <f>IF($E41=0,"",IF($E41='DID List'!$A$7,I41,VLOOKUP($E41,'DID List'!$A1:$L461,9)))</f>
      </c>
      <c r="O41" t="s" s="372">
        <f>IF($E41=0,"",IF($E41='DID List'!$A$7,J41,VLOOKUP($E41,'DID List'!$A1:$L461,11)))</f>
      </c>
      <c r="P41" t="s" s="372">
        <f>IF($E41=0,"",IF($E41='DID List'!$A$7,K41,VLOOKUP($E41,'DID List'!$A1:$L461,12)))</f>
      </c>
      <c r="Q41" t="s" s="372">
        <f>IF($E41=0,"",IF(AND(P41="O",(OR($L41=1,$L41=2,$L41=3))),"Y",P41))</f>
      </c>
      <c r="R41" t="s" s="462">
        <f>IF(B41="","",IF(OR('Alapanyagok'!H41='Fordítások'!$C$61,'Alapanyagok'!H41='Fordítások'!$B$61),"Y",IF(OR('Alapanyagok'!H41='Fordítások'!$C$167,'Alapanyagok'!H41='Fordítások'!$B$167),"Y","N")))</f>
      </c>
      <c r="S41" s="465"/>
      <c r="T41" s="469"/>
      <c r="U41" s="466"/>
      <c r="V41" s="467"/>
      <c r="W41" s="468"/>
    </row>
    <row r="42" ht="15.75" customHeight="1">
      <c r="A42" s="460">
        <v>31</v>
      </c>
      <c r="B42" t="s" s="461">
        <f>IF('Alapanyagok'!B42="","",'Alapanyagok'!B42)</f>
      </c>
      <c r="C42" t="s" s="461">
        <f>IF('Alapanyagok'!C42="","",'Alapanyagok'!C42)</f>
      </c>
      <c r="D42" t="s" s="462">
        <f>IF('Alapanyagok'!G42="","",'Alapanyagok'!G42)</f>
      </c>
      <c r="E42" s="463"/>
      <c r="F42" t="s" s="372">
        <f>IF(E42&gt;0,VLOOKUP(E42,'DID List'!A1:L461,3,FALSE),"   ")</f>
        <v>285</v>
      </c>
      <c r="G42" t="s" s="372">
        <f>IF('Alapanyagok'!I42="","",'Alapanyagok'!I42)</f>
      </c>
      <c r="H42" s="464"/>
      <c r="I42" s="464"/>
      <c r="J42" s="464"/>
      <c r="K42" s="464"/>
      <c r="L42" s="464"/>
      <c r="M42" t="s" s="372">
        <f>IF($E42=0,"",IF($E42='DID List'!$A$7,H42,VLOOKUP($E42,'DID List'!$A1:$L461,10)))</f>
      </c>
      <c r="N42" t="s" s="372">
        <f>IF($E42=0,"",IF($E42='DID List'!$A$7,I42,VLOOKUP($E42,'DID List'!$A1:$L461,9)))</f>
      </c>
      <c r="O42" t="s" s="372">
        <f>IF($E42=0,"",IF($E42='DID List'!$A$7,J42,VLOOKUP($E42,'DID List'!$A1:$L461,11)))</f>
      </c>
      <c r="P42" t="s" s="372">
        <f>IF($E42=0,"",IF($E42='DID List'!$A$7,K42,VLOOKUP($E42,'DID List'!$A1:$L461,12)))</f>
      </c>
      <c r="Q42" t="s" s="372">
        <f>IF($E42=0,"",IF(AND(P42="O",(OR($L42=1,$L42=2,$L42=3))),"Y",P42))</f>
      </c>
      <c r="R42" t="s" s="462">
        <f>IF(B42="","",IF(OR('Alapanyagok'!H42='Fordítások'!$C$61,'Alapanyagok'!H42='Fordítások'!$B$61),"Y",IF(OR('Alapanyagok'!H42='Fordítások'!$C$167,'Alapanyagok'!H42='Fordítások'!$B$167),"Y","N")))</f>
      </c>
      <c r="S42" s="465"/>
      <c r="T42" s="469"/>
      <c r="U42" s="466"/>
      <c r="V42" s="467"/>
      <c r="W42" s="468"/>
    </row>
    <row r="43" ht="15.75" customHeight="1">
      <c r="A43" s="460">
        <v>32</v>
      </c>
      <c r="B43" t="s" s="461">
        <f>IF('Alapanyagok'!B43="","",'Alapanyagok'!B43)</f>
      </c>
      <c r="C43" t="s" s="461">
        <f>IF('Alapanyagok'!C43="","",'Alapanyagok'!C43)</f>
      </c>
      <c r="D43" t="s" s="462">
        <f>IF('Alapanyagok'!G43="","",'Alapanyagok'!G43)</f>
      </c>
      <c r="E43" s="463"/>
      <c r="F43" t="s" s="372">
        <f>IF(E43&gt;0,VLOOKUP(E43,'DID List'!A1:L461,3,FALSE),"   ")</f>
        <v>285</v>
      </c>
      <c r="G43" t="s" s="372">
        <f>IF('Alapanyagok'!I43="","",'Alapanyagok'!I43)</f>
      </c>
      <c r="H43" s="464"/>
      <c r="I43" s="464"/>
      <c r="J43" s="464"/>
      <c r="K43" s="464"/>
      <c r="L43" s="464"/>
      <c r="M43" t="s" s="372">
        <f>IF($E43=0,"",IF($E43='DID List'!$A$7,H43,VLOOKUP($E43,'DID List'!$A1:$L461,10)))</f>
      </c>
      <c r="N43" t="s" s="372">
        <f>IF($E43=0,"",IF($E43='DID List'!$A$7,I43,VLOOKUP($E43,'DID List'!$A1:$L461,9)))</f>
      </c>
      <c r="O43" t="s" s="372">
        <f>IF($E43=0,"",IF($E43='DID List'!$A$7,J43,VLOOKUP($E43,'DID List'!$A1:$L461,11)))</f>
      </c>
      <c r="P43" t="s" s="372">
        <f>IF($E43=0,"",IF($E43='DID List'!$A$7,K43,VLOOKUP($E43,'DID List'!$A1:$L461,12)))</f>
      </c>
      <c r="Q43" t="s" s="372">
        <f>IF($E43=0,"",IF(AND(P43="O",(OR($L43=1,$L43=2,$L43=3))),"Y",P43))</f>
      </c>
      <c r="R43" t="s" s="462">
        <f>IF(B43="","",IF(OR('Alapanyagok'!H43='Fordítások'!$C$61,'Alapanyagok'!H43='Fordítások'!$B$61),"Y",IF(OR('Alapanyagok'!H43='Fordítások'!$C$167,'Alapanyagok'!H43='Fordítások'!$B$167),"Y","N")))</f>
      </c>
      <c r="S43" s="465"/>
      <c r="T43" s="469"/>
      <c r="U43" s="466"/>
      <c r="V43" s="467"/>
      <c r="W43" s="468"/>
    </row>
    <row r="44" ht="15.75" customHeight="1">
      <c r="A44" s="460">
        <v>33</v>
      </c>
      <c r="B44" t="s" s="461">
        <f>IF('Alapanyagok'!B44="","",'Alapanyagok'!B44)</f>
      </c>
      <c r="C44" t="s" s="461">
        <f>IF('Alapanyagok'!C44="","",'Alapanyagok'!C44)</f>
      </c>
      <c r="D44" t="s" s="462">
        <f>IF('Alapanyagok'!G44="","",'Alapanyagok'!G44)</f>
      </c>
      <c r="E44" s="463"/>
      <c r="F44" t="s" s="372">
        <f>IF(E44&gt;0,VLOOKUP(E44,'DID List'!A1:L461,3,FALSE),"   ")</f>
        <v>285</v>
      </c>
      <c r="G44" t="s" s="372">
        <f>IF('Alapanyagok'!I44="","",'Alapanyagok'!I44)</f>
      </c>
      <c r="H44" s="464"/>
      <c r="I44" s="464"/>
      <c r="J44" s="464"/>
      <c r="K44" s="464"/>
      <c r="L44" s="464"/>
      <c r="M44" t="s" s="372">
        <f>IF($E44=0,"",IF($E44='DID List'!$A$7,H44,VLOOKUP($E44,'DID List'!$A1:$L461,10)))</f>
      </c>
      <c r="N44" t="s" s="372">
        <f>IF($E44=0,"",IF($E44='DID List'!$A$7,I44,VLOOKUP($E44,'DID List'!$A1:$L461,9)))</f>
      </c>
      <c r="O44" t="s" s="372">
        <f>IF($E44=0,"",IF($E44='DID List'!$A$7,J44,VLOOKUP($E44,'DID List'!$A1:$L461,11)))</f>
      </c>
      <c r="P44" t="s" s="372">
        <f>IF($E44=0,"",IF($E44='DID List'!$A$7,K44,VLOOKUP($E44,'DID List'!$A1:$L461,12)))</f>
      </c>
      <c r="Q44" t="s" s="372">
        <f>IF($E44=0,"",IF(AND(P44="O",(OR($L44=1,$L44=2,$L44=3))),"Y",P44))</f>
      </c>
      <c r="R44" t="s" s="462">
        <f>IF(B44="","",IF(OR('Alapanyagok'!H44='Fordítások'!$C$61,'Alapanyagok'!H44='Fordítások'!$B$61),"Y",IF(OR('Alapanyagok'!H44='Fordítások'!$C$167,'Alapanyagok'!H44='Fordítások'!$B$167),"Y","N")))</f>
      </c>
      <c r="S44" s="465"/>
      <c r="T44" s="469"/>
      <c r="U44" s="466"/>
      <c r="V44" s="467"/>
      <c r="W44" s="468"/>
    </row>
    <row r="45" ht="15.75" customHeight="1">
      <c r="A45" s="460">
        <v>34</v>
      </c>
      <c r="B45" t="s" s="461">
        <f>IF('Alapanyagok'!B45="","",'Alapanyagok'!B45)</f>
      </c>
      <c r="C45" t="s" s="461">
        <f>IF('Alapanyagok'!C45="","",'Alapanyagok'!C45)</f>
      </c>
      <c r="D45" t="s" s="462">
        <f>IF('Alapanyagok'!G45="","",'Alapanyagok'!G45)</f>
      </c>
      <c r="E45" s="463"/>
      <c r="F45" t="s" s="372">
        <f>IF(E45&gt;0,VLOOKUP(E45,'DID List'!A1:L461,3,FALSE),"   ")</f>
        <v>285</v>
      </c>
      <c r="G45" t="s" s="372">
        <f>IF('Alapanyagok'!I45="","",'Alapanyagok'!I45)</f>
      </c>
      <c r="H45" s="464"/>
      <c r="I45" s="464"/>
      <c r="J45" s="464"/>
      <c r="K45" s="464"/>
      <c r="L45" s="464"/>
      <c r="M45" t="s" s="372">
        <f>IF($E45=0,"",IF($E45='DID List'!$A$7,H45,VLOOKUP($E45,'DID List'!$A1:$L461,10)))</f>
      </c>
      <c r="N45" t="s" s="372">
        <f>IF($E45=0,"",IF($E45='DID List'!$A$7,I45,VLOOKUP($E45,'DID List'!$A1:$L461,9)))</f>
      </c>
      <c r="O45" t="s" s="372">
        <f>IF($E45=0,"",IF($E45='DID List'!$A$7,J45,VLOOKUP($E45,'DID List'!$A1:$L461,11)))</f>
      </c>
      <c r="P45" t="s" s="372">
        <f>IF($E45=0,"",IF($E45='DID List'!$A$7,K45,VLOOKUP($E45,'DID List'!$A1:$L461,12)))</f>
      </c>
      <c r="Q45" t="s" s="372">
        <f>IF($E45=0,"",IF(AND(P45="O",(OR($L45=1,$L45=2,$L45=3))),"Y",P45))</f>
      </c>
      <c r="R45" t="s" s="462">
        <f>IF(B45="","",IF(OR('Alapanyagok'!H45='Fordítások'!$C$61,'Alapanyagok'!H45='Fordítások'!$B$61),"Y",IF(OR('Alapanyagok'!H45='Fordítások'!$C$167,'Alapanyagok'!H45='Fordítások'!$B$167),"Y","N")))</f>
      </c>
      <c r="S45" s="465"/>
      <c r="T45" s="469"/>
      <c r="U45" s="466"/>
      <c r="V45" s="467"/>
      <c r="W45" s="468"/>
    </row>
    <row r="46" ht="15.75" customHeight="1">
      <c r="A46" s="460">
        <v>35</v>
      </c>
      <c r="B46" t="s" s="461">
        <f>IF('Alapanyagok'!B46="","",'Alapanyagok'!B46)</f>
      </c>
      <c r="C46" t="s" s="461">
        <f>IF('Alapanyagok'!C46="","",'Alapanyagok'!C46)</f>
      </c>
      <c r="D46" t="s" s="462">
        <f>IF('Alapanyagok'!G46="","",'Alapanyagok'!G46)</f>
      </c>
      <c r="E46" s="463"/>
      <c r="F46" t="s" s="372">
        <f>IF(E46&gt;0,VLOOKUP(E46,'DID List'!A1:L461,3,FALSE),"   ")</f>
        <v>285</v>
      </c>
      <c r="G46" t="s" s="372">
        <f>IF('Alapanyagok'!I46="","",'Alapanyagok'!I46)</f>
      </c>
      <c r="H46" s="464"/>
      <c r="I46" s="464"/>
      <c r="J46" s="464"/>
      <c r="K46" s="464"/>
      <c r="L46" s="464"/>
      <c r="M46" t="s" s="372">
        <f>IF($E46=0,"",IF($E46='DID List'!$A$7,H46,VLOOKUP($E46,'DID List'!$A1:$L461,10)))</f>
      </c>
      <c r="N46" t="s" s="372">
        <f>IF($E46=0,"",IF($E46='DID List'!$A$7,I46,VLOOKUP($E46,'DID List'!$A1:$L461,9)))</f>
      </c>
      <c r="O46" t="s" s="372">
        <f>IF($E46=0,"",IF($E46='DID List'!$A$7,J46,VLOOKUP($E46,'DID List'!$A1:$L461,11)))</f>
      </c>
      <c r="P46" t="s" s="372">
        <f>IF($E46=0,"",IF($E46='DID List'!$A$7,K46,VLOOKUP($E46,'DID List'!$A1:$L461,12)))</f>
      </c>
      <c r="Q46" t="s" s="372">
        <f>IF($E46=0,"",IF(AND(P46="O",(OR($L46=1,$L46=2,$L46=3))),"Y",P46))</f>
      </c>
      <c r="R46" t="s" s="462">
        <f>IF(B46="","",IF(OR('Alapanyagok'!H46='Fordítások'!$C$61,'Alapanyagok'!H46='Fordítások'!$B$61),"Y",IF(OR('Alapanyagok'!H46='Fordítások'!$C$167,'Alapanyagok'!H46='Fordítások'!$B$167),"Y","N")))</f>
      </c>
      <c r="S46" s="465"/>
      <c r="T46" s="469"/>
      <c r="U46" s="466"/>
      <c r="V46" s="467"/>
      <c r="W46" s="468"/>
    </row>
    <row r="47" ht="15.75" customHeight="1">
      <c r="A47" s="460">
        <v>36</v>
      </c>
      <c r="B47" t="s" s="461">
        <f>IF('Alapanyagok'!B47="","",'Alapanyagok'!B47)</f>
      </c>
      <c r="C47" t="s" s="461">
        <f>IF('Alapanyagok'!C47="","",'Alapanyagok'!C47)</f>
      </c>
      <c r="D47" t="s" s="462">
        <f>IF('Alapanyagok'!G47="","",'Alapanyagok'!G47)</f>
      </c>
      <c r="E47" s="463"/>
      <c r="F47" t="s" s="372">
        <f>IF(E47&gt;0,VLOOKUP(E47,'DID List'!A1:L461,3,FALSE),"   ")</f>
        <v>285</v>
      </c>
      <c r="G47" t="s" s="372">
        <f>IF('Alapanyagok'!I47="","",'Alapanyagok'!I47)</f>
      </c>
      <c r="H47" s="464"/>
      <c r="I47" s="464"/>
      <c r="J47" s="464"/>
      <c r="K47" s="464"/>
      <c r="L47" s="464"/>
      <c r="M47" t="s" s="372">
        <f>IF($E47=0,"",IF($E47='DID List'!$A$7,H47,VLOOKUP($E47,'DID List'!$A1:$L461,10)))</f>
      </c>
      <c r="N47" t="s" s="372">
        <f>IF($E47=0,"",IF($E47='DID List'!$A$7,I47,VLOOKUP($E47,'DID List'!$A1:$L461,9)))</f>
      </c>
      <c r="O47" t="s" s="372">
        <f>IF($E47=0,"",IF($E47='DID List'!$A$7,J47,VLOOKUP($E47,'DID List'!$A1:$L461,11)))</f>
      </c>
      <c r="P47" t="s" s="372">
        <f>IF($E47=0,"",IF($E47='DID List'!$A$7,K47,VLOOKUP($E47,'DID List'!$A1:$L461,12)))</f>
      </c>
      <c r="Q47" t="s" s="372">
        <f>IF($E47=0,"",IF(AND(P47="O",(OR($L47=1,$L47=2,$L47=3))),"Y",P47))</f>
      </c>
      <c r="R47" t="s" s="462">
        <f>IF(B47="","",IF(OR('Alapanyagok'!H47='Fordítások'!$C$61,'Alapanyagok'!H47='Fordítások'!$B$61),"Y",IF(OR('Alapanyagok'!H47='Fordítások'!$C$167,'Alapanyagok'!H47='Fordítások'!$B$167),"Y","N")))</f>
      </c>
      <c r="S47" s="465"/>
      <c r="T47" s="469"/>
      <c r="U47" s="466"/>
      <c r="V47" s="467"/>
      <c r="W47" s="468"/>
    </row>
    <row r="48" ht="15.75" customHeight="1">
      <c r="A48" s="460">
        <v>37</v>
      </c>
      <c r="B48" t="s" s="461">
        <f>IF('Alapanyagok'!B48="","",'Alapanyagok'!B48)</f>
      </c>
      <c r="C48" t="s" s="461">
        <f>IF('Alapanyagok'!C48="","",'Alapanyagok'!C48)</f>
      </c>
      <c r="D48" t="s" s="462">
        <f>IF('Alapanyagok'!G48="","",'Alapanyagok'!G48)</f>
      </c>
      <c r="E48" s="463"/>
      <c r="F48" t="s" s="372">
        <f>IF(E48&gt;0,VLOOKUP(E48,'DID List'!A1:L461,3,FALSE),"   ")</f>
        <v>285</v>
      </c>
      <c r="G48" t="s" s="372">
        <f>IF('Alapanyagok'!I48="","",'Alapanyagok'!I48)</f>
      </c>
      <c r="H48" s="464"/>
      <c r="I48" s="464"/>
      <c r="J48" s="464"/>
      <c r="K48" s="464"/>
      <c r="L48" s="464"/>
      <c r="M48" t="s" s="372">
        <f>IF($E48=0,"",IF($E48='DID List'!$A$7,H48,VLOOKUP($E48,'DID List'!$A1:$L461,10)))</f>
      </c>
      <c r="N48" t="s" s="372">
        <f>IF($E48=0,"",IF($E48='DID List'!$A$7,I48,VLOOKUP($E48,'DID List'!$A1:$L461,9)))</f>
      </c>
      <c r="O48" t="s" s="372">
        <f>IF($E48=0,"",IF($E48='DID List'!$A$7,J48,VLOOKUP($E48,'DID List'!$A1:$L461,11)))</f>
      </c>
      <c r="P48" t="s" s="372">
        <f>IF($E48=0,"",IF($E48='DID List'!$A$7,K48,VLOOKUP($E48,'DID List'!$A1:$L461,12)))</f>
      </c>
      <c r="Q48" t="s" s="372">
        <f>IF($E48=0,"",IF(AND(P48="O",(OR($L48=1,$L48=2,$L48=3))),"Y",P48))</f>
      </c>
      <c r="R48" t="s" s="462">
        <f>IF(B48="","",IF(OR('Alapanyagok'!H48='Fordítások'!$C$61,'Alapanyagok'!H48='Fordítások'!$B$61),"Y",IF(OR('Alapanyagok'!H48='Fordítások'!$C$167,'Alapanyagok'!H48='Fordítások'!$B$167),"Y","N")))</f>
      </c>
      <c r="S48" s="465"/>
      <c r="T48" s="469"/>
      <c r="U48" s="466"/>
      <c r="V48" s="467"/>
      <c r="W48" s="468"/>
    </row>
    <row r="49" ht="15.75" customHeight="1">
      <c r="A49" s="460">
        <v>38</v>
      </c>
      <c r="B49" t="s" s="461">
        <f>IF('Alapanyagok'!B49="","",'Alapanyagok'!B49)</f>
      </c>
      <c r="C49" t="s" s="461">
        <f>IF('Alapanyagok'!C49="","",'Alapanyagok'!C49)</f>
      </c>
      <c r="D49" t="s" s="462">
        <f>IF('Alapanyagok'!G49="","",'Alapanyagok'!G49)</f>
      </c>
      <c r="E49" s="463"/>
      <c r="F49" t="s" s="372">
        <f>IF(E49&gt;0,VLOOKUP(E49,'DID List'!A1:L461,3,FALSE),"   ")</f>
        <v>285</v>
      </c>
      <c r="G49" t="s" s="372">
        <f>IF('Alapanyagok'!I49="","",'Alapanyagok'!I49)</f>
      </c>
      <c r="H49" s="464"/>
      <c r="I49" s="464"/>
      <c r="J49" s="464"/>
      <c r="K49" s="464"/>
      <c r="L49" s="464"/>
      <c r="M49" t="s" s="372">
        <f>IF($E49=0,"",IF($E49='DID List'!$A$7,H49,VLOOKUP($E49,'DID List'!$A1:$L461,10)))</f>
      </c>
      <c r="N49" t="s" s="372">
        <f>IF($E49=0,"",IF($E49='DID List'!$A$7,I49,VLOOKUP($E49,'DID List'!$A1:$L461,9)))</f>
      </c>
      <c r="O49" t="s" s="372">
        <f>IF($E49=0,"",IF($E49='DID List'!$A$7,J49,VLOOKUP($E49,'DID List'!$A1:$L461,11)))</f>
      </c>
      <c r="P49" t="s" s="372">
        <f>IF($E49=0,"",IF($E49='DID List'!$A$7,K49,VLOOKUP($E49,'DID List'!$A1:$L461,12)))</f>
      </c>
      <c r="Q49" t="s" s="372">
        <f>IF($E49=0,"",IF(AND(P49="O",(OR($L49=1,$L49=2,$L49=3))),"Y",P49))</f>
      </c>
      <c r="R49" t="s" s="462">
        <f>IF(B49="","",IF(OR('Alapanyagok'!H49='Fordítások'!$C$61,'Alapanyagok'!H49='Fordítások'!$B$61),"Y",IF(OR('Alapanyagok'!H49='Fordítások'!$C$167,'Alapanyagok'!H49='Fordítások'!$B$167),"Y","N")))</f>
      </c>
      <c r="S49" s="465"/>
      <c r="T49" s="469"/>
      <c r="U49" s="466"/>
      <c r="V49" s="467"/>
      <c r="W49" s="468"/>
    </row>
    <row r="50" ht="15.75" customHeight="1">
      <c r="A50" s="460">
        <v>39</v>
      </c>
      <c r="B50" t="s" s="461">
        <f>IF('Alapanyagok'!B50="","",'Alapanyagok'!B50)</f>
      </c>
      <c r="C50" t="s" s="461">
        <f>IF('Alapanyagok'!C50="","",'Alapanyagok'!C50)</f>
      </c>
      <c r="D50" t="s" s="462">
        <f>IF('Alapanyagok'!G50="","",'Alapanyagok'!G50)</f>
      </c>
      <c r="E50" s="463"/>
      <c r="F50" t="s" s="372">
        <f>IF(E50&gt;0,VLOOKUP(E50,'DID List'!A1:L461,3,FALSE),"   ")</f>
        <v>285</v>
      </c>
      <c r="G50" t="s" s="372">
        <f>IF('Alapanyagok'!I50="","",'Alapanyagok'!I50)</f>
      </c>
      <c r="H50" s="464"/>
      <c r="I50" s="464"/>
      <c r="J50" s="464"/>
      <c r="K50" s="464"/>
      <c r="L50" s="464"/>
      <c r="M50" t="s" s="372">
        <f>IF($E50=0,"",IF($E50='DID List'!$A$7,H50,VLOOKUP($E50,'DID List'!$A1:$L461,10)))</f>
      </c>
      <c r="N50" t="s" s="372">
        <f>IF($E50=0,"",IF($E50='DID List'!$A$7,I50,VLOOKUP($E50,'DID List'!$A1:$L461,9)))</f>
      </c>
      <c r="O50" t="s" s="372">
        <f>IF($E50=0,"",IF($E50='DID List'!$A$7,J50,VLOOKUP($E50,'DID List'!$A1:$L461,11)))</f>
      </c>
      <c r="P50" t="s" s="372">
        <f>IF($E50=0,"",IF($E50='DID List'!$A$7,K50,VLOOKUP($E50,'DID List'!$A1:$L461,12)))</f>
      </c>
      <c r="Q50" t="s" s="372">
        <f>IF($E50=0,"",IF(AND(P50="O",(OR($L50=1,$L50=2,$L50=3))),"Y",P50))</f>
      </c>
      <c r="R50" t="s" s="462">
        <f>IF(B50="","",IF(OR('Alapanyagok'!H50='Fordítások'!$C$61,'Alapanyagok'!H50='Fordítások'!$B$61),"Y",IF(OR('Alapanyagok'!H50='Fordítások'!$C$167,'Alapanyagok'!H50='Fordítások'!$B$167),"Y","N")))</f>
      </c>
      <c r="S50" s="465"/>
      <c r="T50" s="469"/>
      <c r="U50" s="466"/>
      <c r="V50" s="467"/>
      <c r="W50" s="468"/>
    </row>
    <row r="51" ht="15.75" customHeight="1">
      <c r="A51" s="460">
        <v>40</v>
      </c>
      <c r="B51" t="s" s="461">
        <f>IF('Alapanyagok'!B51="","",'Alapanyagok'!B51)</f>
      </c>
      <c r="C51" t="s" s="461">
        <f>IF('Alapanyagok'!C51="","",'Alapanyagok'!C51)</f>
      </c>
      <c r="D51" t="s" s="462">
        <f>IF('Alapanyagok'!G51="","",'Alapanyagok'!G51)</f>
      </c>
      <c r="E51" s="463"/>
      <c r="F51" t="s" s="372">
        <f>IF(E51&gt;0,VLOOKUP(E51,'DID List'!A1:L461,3,FALSE),"   ")</f>
        <v>285</v>
      </c>
      <c r="G51" t="s" s="372">
        <f>IF('Alapanyagok'!I51="","",'Alapanyagok'!I51)</f>
      </c>
      <c r="H51" s="464"/>
      <c r="I51" s="464"/>
      <c r="J51" s="464"/>
      <c r="K51" s="464"/>
      <c r="L51" s="464"/>
      <c r="M51" t="s" s="372">
        <f>IF($E51=0,"",IF($E51='DID List'!$A$7,H51,VLOOKUP($E51,'DID List'!$A1:$L461,10)))</f>
      </c>
      <c r="N51" t="s" s="372">
        <f>IF($E51=0,"",IF($E51='DID List'!$A$7,I51,VLOOKUP($E51,'DID List'!$A1:$L461,9)))</f>
      </c>
      <c r="O51" t="s" s="372">
        <f>IF($E51=0,"",IF($E51='DID List'!$A$7,J51,VLOOKUP($E51,'DID List'!$A1:$L461,11)))</f>
      </c>
      <c r="P51" t="s" s="372">
        <f>IF($E51=0,"",IF($E51='DID List'!$A$7,K51,VLOOKUP($E51,'DID List'!$A1:$L461,12)))</f>
      </c>
      <c r="Q51" t="s" s="372">
        <f>IF($E51=0,"",IF(AND(P51="O",(OR($L51=1,$L51=2,$L51=3))),"Y",P51))</f>
      </c>
      <c r="R51" t="s" s="462">
        <f>IF(B51="","",IF(OR('Alapanyagok'!H51='Fordítások'!$C$61,'Alapanyagok'!H51='Fordítások'!$B$61),"Y",IF(OR('Alapanyagok'!H51='Fordítások'!$C$167,'Alapanyagok'!H51='Fordítások'!$B$167),"Y","N")))</f>
      </c>
      <c r="S51" s="465"/>
      <c r="T51" s="469"/>
      <c r="U51" s="466"/>
      <c r="V51" s="467"/>
      <c r="W51" s="468"/>
    </row>
    <row r="52" ht="15.75" customHeight="1">
      <c r="A52" s="460">
        <v>41</v>
      </c>
      <c r="B52" t="s" s="461">
        <f>IF('Alapanyagok'!B52="","",'Alapanyagok'!B52)</f>
      </c>
      <c r="C52" t="s" s="461">
        <f>IF('Alapanyagok'!C52="","",'Alapanyagok'!C52)</f>
      </c>
      <c r="D52" t="s" s="462">
        <f>IF('Alapanyagok'!G52="","",'Alapanyagok'!G52)</f>
      </c>
      <c r="E52" s="463"/>
      <c r="F52" t="s" s="372">
        <f>IF(E52&gt;0,VLOOKUP(E52,'DID List'!A1:L461,3,FALSE),"   ")</f>
        <v>285</v>
      </c>
      <c r="G52" t="s" s="372">
        <f>IF('Alapanyagok'!I52="","",'Alapanyagok'!I52)</f>
      </c>
      <c r="H52" s="464"/>
      <c r="I52" s="464"/>
      <c r="J52" s="464"/>
      <c r="K52" s="464"/>
      <c r="L52" s="464"/>
      <c r="M52" t="s" s="372">
        <f>IF($E52=0,"",IF($E52='DID List'!$A$7,H52,VLOOKUP($E52,'DID List'!$A1:$L461,10)))</f>
      </c>
      <c r="N52" t="s" s="372">
        <f>IF($E52=0,"",IF($E52='DID List'!$A$7,I52,VLOOKUP($E52,'DID List'!$A1:$L461,9)))</f>
      </c>
      <c r="O52" t="s" s="372">
        <f>IF($E52=0,"",IF($E52='DID List'!$A$7,J52,VLOOKUP($E52,'DID List'!$A1:$L461,11)))</f>
      </c>
      <c r="P52" t="s" s="372">
        <f>IF($E52=0,"",IF($E52='DID List'!$A$7,K52,VLOOKUP($E52,'DID List'!$A1:$L461,12)))</f>
      </c>
      <c r="Q52" t="s" s="372">
        <f>IF($E52=0,"",IF(AND(P52="O",(OR($L52=1,$L52=2,$L52=3))),"Y",P52))</f>
      </c>
      <c r="R52" t="s" s="462">
        <f>IF(B52="","",IF(OR('Alapanyagok'!H52='Fordítások'!$C$61,'Alapanyagok'!H52='Fordítások'!$B$61),"Y",IF(OR('Alapanyagok'!H52='Fordítások'!$C$167,'Alapanyagok'!H52='Fordítások'!$B$167),"Y","N")))</f>
      </c>
      <c r="S52" s="465"/>
      <c r="T52" s="469"/>
      <c r="U52" s="466"/>
      <c r="V52" s="467"/>
      <c r="W52" s="468"/>
    </row>
    <row r="53" ht="15.75" customHeight="1">
      <c r="A53" s="460">
        <v>42</v>
      </c>
      <c r="B53" t="s" s="461">
        <f>IF('Alapanyagok'!B53="","",'Alapanyagok'!B53)</f>
      </c>
      <c r="C53" t="s" s="461">
        <f>IF('Alapanyagok'!C53="","",'Alapanyagok'!C53)</f>
      </c>
      <c r="D53" t="s" s="462">
        <f>IF('Alapanyagok'!G53="","",'Alapanyagok'!G53)</f>
      </c>
      <c r="E53" s="463"/>
      <c r="F53" t="s" s="372">
        <f>IF(E53&gt;0,VLOOKUP(E53,'DID List'!A1:L461,3,FALSE),"   ")</f>
        <v>285</v>
      </c>
      <c r="G53" t="s" s="372">
        <f>IF('Alapanyagok'!I53="","",'Alapanyagok'!I53)</f>
      </c>
      <c r="H53" s="464"/>
      <c r="I53" s="464"/>
      <c r="J53" s="464"/>
      <c r="K53" s="464"/>
      <c r="L53" s="464"/>
      <c r="M53" t="s" s="372">
        <f>IF($E53=0,"",IF($E53='DID List'!$A$7,H53,VLOOKUP($E53,'DID List'!$A1:$L461,10)))</f>
      </c>
      <c r="N53" t="s" s="372">
        <f>IF($E53=0,"",IF($E53='DID List'!$A$7,I53,VLOOKUP($E53,'DID List'!$A1:$L461,9)))</f>
      </c>
      <c r="O53" t="s" s="372">
        <f>IF($E53=0,"",IF($E53='DID List'!$A$7,J53,VLOOKUP($E53,'DID List'!$A1:$L461,11)))</f>
      </c>
      <c r="P53" t="s" s="372">
        <f>IF($E53=0,"",IF($E53='DID List'!$A$7,K53,VLOOKUP($E53,'DID List'!$A1:$L461,12)))</f>
      </c>
      <c r="Q53" t="s" s="372">
        <f>IF($E53=0,"",IF(AND(P53="O",(OR($L53=1,$L53=2,$L53=3))),"Y",P53))</f>
      </c>
      <c r="R53" t="s" s="462">
        <f>IF(B53="","",IF(OR('Alapanyagok'!H53='Fordítások'!$C$61,'Alapanyagok'!H53='Fordítások'!$B$61),"Y",IF(OR('Alapanyagok'!H53='Fordítások'!$C$167,'Alapanyagok'!H53='Fordítások'!$B$167),"Y","N")))</f>
      </c>
      <c r="S53" s="465"/>
      <c r="T53" s="469"/>
      <c r="U53" s="466"/>
      <c r="V53" s="467"/>
      <c r="W53" s="468"/>
    </row>
    <row r="54" ht="15.75" customHeight="1">
      <c r="A54" s="460">
        <v>43</v>
      </c>
      <c r="B54" t="s" s="461">
        <f>IF('Alapanyagok'!B54="","",'Alapanyagok'!B54)</f>
      </c>
      <c r="C54" t="s" s="461">
        <f>IF('Alapanyagok'!C54="","",'Alapanyagok'!C54)</f>
      </c>
      <c r="D54" t="s" s="462">
        <f>IF('Alapanyagok'!G54="","",'Alapanyagok'!G54)</f>
      </c>
      <c r="E54" s="463"/>
      <c r="F54" t="s" s="372">
        <f>IF(E54&gt;0,VLOOKUP(E54,'DID List'!A1:L461,3,FALSE),"   ")</f>
        <v>285</v>
      </c>
      <c r="G54" t="s" s="372">
        <f>IF('Alapanyagok'!I54="","",'Alapanyagok'!I54)</f>
      </c>
      <c r="H54" s="464"/>
      <c r="I54" s="464"/>
      <c r="J54" s="464"/>
      <c r="K54" s="464"/>
      <c r="L54" s="464"/>
      <c r="M54" t="s" s="372">
        <f>IF($E54=0,"",IF($E54='DID List'!$A$7,H54,VLOOKUP($E54,'DID List'!$A1:$L461,10)))</f>
      </c>
      <c r="N54" t="s" s="372">
        <f>IF($E54=0,"",IF($E54='DID List'!$A$7,I54,VLOOKUP($E54,'DID List'!$A1:$L461,9)))</f>
      </c>
      <c r="O54" t="s" s="372">
        <f>IF($E54=0,"",IF($E54='DID List'!$A$7,J54,VLOOKUP($E54,'DID List'!$A1:$L461,11)))</f>
      </c>
      <c r="P54" t="s" s="372">
        <f>IF($E54=0,"",IF($E54='DID List'!$A$7,K54,VLOOKUP($E54,'DID List'!$A1:$L461,12)))</f>
      </c>
      <c r="Q54" t="s" s="372">
        <f>IF($E54=0,"",IF(AND(P54="O",(OR($L54=1,$L54=2,$L54=3))),"Y",P54))</f>
      </c>
      <c r="R54" t="s" s="462">
        <f>IF(B54="","",IF(OR('Alapanyagok'!H54='Fordítások'!$C$61,'Alapanyagok'!H54='Fordítások'!$B$61),"Y",IF(OR('Alapanyagok'!H54='Fordítások'!$C$167,'Alapanyagok'!H54='Fordítások'!$B$167),"Y","N")))</f>
      </c>
      <c r="S54" s="465"/>
      <c r="T54" s="469"/>
      <c r="U54" s="466"/>
      <c r="V54" s="467"/>
      <c r="W54" s="468"/>
    </row>
    <row r="55" ht="15.75" customHeight="1">
      <c r="A55" s="460">
        <v>44</v>
      </c>
      <c r="B55" t="s" s="461">
        <f>IF('Alapanyagok'!B55="","",'Alapanyagok'!B55)</f>
      </c>
      <c r="C55" t="s" s="461">
        <f>IF('Alapanyagok'!C55="","",'Alapanyagok'!C55)</f>
      </c>
      <c r="D55" t="s" s="462">
        <f>IF('Alapanyagok'!G55="","",'Alapanyagok'!G55)</f>
      </c>
      <c r="E55" s="463"/>
      <c r="F55" t="s" s="372">
        <f>IF(E55&gt;0,VLOOKUP(E55,'DID List'!A1:L461,3,FALSE),"   ")</f>
        <v>285</v>
      </c>
      <c r="G55" t="s" s="372">
        <f>IF('Alapanyagok'!I55="","",'Alapanyagok'!I55)</f>
      </c>
      <c r="H55" s="464"/>
      <c r="I55" s="464"/>
      <c r="J55" s="464"/>
      <c r="K55" s="464"/>
      <c r="L55" s="464"/>
      <c r="M55" t="s" s="372">
        <f>IF($E55=0,"",IF($E55='DID List'!$A$7,H55,VLOOKUP($E55,'DID List'!$A1:$L461,10)))</f>
      </c>
      <c r="N55" t="s" s="372">
        <f>IF($E55=0,"",IF($E55='DID List'!$A$7,I55,VLOOKUP($E55,'DID List'!$A1:$L461,9)))</f>
      </c>
      <c r="O55" t="s" s="372">
        <f>IF($E55=0,"",IF($E55='DID List'!$A$7,J55,VLOOKUP($E55,'DID List'!$A1:$L461,11)))</f>
      </c>
      <c r="P55" t="s" s="372">
        <f>IF($E55=0,"",IF($E55='DID List'!$A$7,K55,VLOOKUP($E55,'DID List'!$A1:$L461,12)))</f>
      </c>
      <c r="Q55" t="s" s="372">
        <f>IF($E55=0,"",IF(AND(P55="O",(OR($L55=1,$L55=2,$L55=3))),"Y",P55))</f>
      </c>
      <c r="R55" t="s" s="462">
        <f>IF(B55="","",IF(OR('Alapanyagok'!H55='Fordítások'!$C$61,'Alapanyagok'!H55='Fordítások'!$B$61),"Y",IF(OR('Alapanyagok'!H55='Fordítások'!$C$167,'Alapanyagok'!H55='Fordítások'!$B$167),"Y","N")))</f>
      </c>
      <c r="S55" s="465"/>
      <c r="T55" s="469"/>
      <c r="U55" s="466"/>
      <c r="V55" s="467"/>
      <c r="W55" s="468"/>
    </row>
    <row r="56" ht="15.75" customHeight="1">
      <c r="A56" s="460">
        <v>45</v>
      </c>
      <c r="B56" t="s" s="461">
        <f>IF('Alapanyagok'!B56="","",'Alapanyagok'!B56)</f>
      </c>
      <c r="C56" t="s" s="461">
        <f>IF('Alapanyagok'!C56="","",'Alapanyagok'!C56)</f>
      </c>
      <c r="D56" t="s" s="462">
        <f>IF('Alapanyagok'!G56="","",'Alapanyagok'!G56)</f>
      </c>
      <c r="E56" s="463"/>
      <c r="F56" t="s" s="372">
        <f>IF(E56&gt;0,VLOOKUP(E56,'DID List'!A1:L461,3,FALSE),"   ")</f>
        <v>285</v>
      </c>
      <c r="G56" t="s" s="372">
        <f>IF('Alapanyagok'!I56="","",'Alapanyagok'!I56)</f>
      </c>
      <c r="H56" s="464"/>
      <c r="I56" s="464"/>
      <c r="J56" s="464"/>
      <c r="K56" s="464"/>
      <c r="L56" s="464"/>
      <c r="M56" t="s" s="372">
        <f>IF($E56=0,"",IF($E56='DID List'!$A$7,H56,VLOOKUP($E56,'DID List'!$A1:$L461,10)))</f>
      </c>
      <c r="N56" t="s" s="372">
        <f>IF($E56=0,"",IF($E56='DID List'!$A$7,I56,VLOOKUP($E56,'DID List'!$A1:$L461,9)))</f>
      </c>
      <c r="O56" t="s" s="372">
        <f>IF($E56=0,"",IF($E56='DID List'!$A$7,J56,VLOOKUP($E56,'DID List'!$A1:$L461,11)))</f>
      </c>
      <c r="P56" t="s" s="372">
        <f>IF($E56=0,"",IF($E56='DID List'!$A$7,K56,VLOOKUP($E56,'DID List'!$A1:$L461,12)))</f>
      </c>
      <c r="Q56" t="s" s="372">
        <f>IF($E56=0,"",IF(AND(P56="O",(OR($L56=1,$L56=2,$L56=3))),"Y",P56))</f>
      </c>
      <c r="R56" t="s" s="462">
        <f>IF(B56="","",IF(OR('Alapanyagok'!H56='Fordítások'!$C$61,'Alapanyagok'!H56='Fordítások'!$B$61),"Y",IF(OR('Alapanyagok'!H56='Fordítások'!$C$167,'Alapanyagok'!H56='Fordítások'!$B$167),"Y","N")))</f>
      </c>
      <c r="S56" s="465"/>
      <c r="T56" s="469"/>
      <c r="U56" s="466"/>
      <c r="V56" s="467"/>
      <c r="W56" s="468"/>
    </row>
    <row r="57" ht="15.75" customHeight="1">
      <c r="A57" s="460">
        <v>46</v>
      </c>
      <c r="B57" t="s" s="461">
        <f>IF('Alapanyagok'!B57="","",'Alapanyagok'!B57)</f>
      </c>
      <c r="C57" t="s" s="461">
        <f>IF('Alapanyagok'!C57="","",'Alapanyagok'!C57)</f>
      </c>
      <c r="D57" t="s" s="462">
        <f>IF('Alapanyagok'!G57="","",'Alapanyagok'!G57)</f>
      </c>
      <c r="E57" s="463"/>
      <c r="F57" t="s" s="372">
        <f>IF(E57&gt;0,VLOOKUP(E57,'DID List'!A1:L461,3,FALSE),"   ")</f>
        <v>285</v>
      </c>
      <c r="G57" t="s" s="372">
        <f>IF('Alapanyagok'!I57="","",'Alapanyagok'!I57)</f>
      </c>
      <c r="H57" s="464"/>
      <c r="I57" s="464"/>
      <c r="J57" s="464"/>
      <c r="K57" s="464"/>
      <c r="L57" s="464"/>
      <c r="M57" t="s" s="372">
        <f>IF($E57=0,"",IF($E57='DID List'!$A$7,H57,VLOOKUP($E57,'DID List'!$A1:$L461,10)))</f>
      </c>
      <c r="N57" t="s" s="372">
        <f>IF($E57=0,"",IF($E57='DID List'!$A$7,I57,VLOOKUP($E57,'DID List'!$A1:$L461,9)))</f>
      </c>
      <c r="O57" t="s" s="372">
        <f>IF($E57=0,"",IF($E57='DID List'!$A$7,J57,VLOOKUP($E57,'DID List'!$A1:$L461,11)))</f>
      </c>
      <c r="P57" t="s" s="372">
        <f>IF($E57=0,"",IF($E57='DID List'!$A$7,K57,VLOOKUP($E57,'DID List'!$A1:$L461,12)))</f>
      </c>
      <c r="Q57" t="s" s="372">
        <f>IF($E57=0,"",IF(AND(P57="O",(OR($L57=1,$L57=2,$L57=3))),"Y",P57))</f>
      </c>
      <c r="R57" t="s" s="462">
        <f>IF(B57="","",IF(OR('Alapanyagok'!H57='Fordítások'!$C$61,'Alapanyagok'!H57='Fordítások'!$B$61),"Y",IF(OR('Alapanyagok'!H57='Fordítások'!$C$167,'Alapanyagok'!H57='Fordítások'!$B$167),"Y","N")))</f>
      </c>
      <c r="S57" s="465"/>
      <c r="T57" s="469"/>
      <c r="U57" s="466"/>
      <c r="V57" s="467"/>
      <c r="W57" s="468"/>
    </row>
    <row r="58" ht="15.75" customHeight="1">
      <c r="A58" s="460">
        <v>47</v>
      </c>
      <c r="B58" t="s" s="461">
        <f>IF('Alapanyagok'!B58="","",'Alapanyagok'!B58)</f>
      </c>
      <c r="C58" t="s" s="461">
        <f>IF('Alapanyagok'!C58="","",'Alapanyagok'!C58)</f>
      </c>
      <c r="D58" t="s" s="462">
        <f>IF('Alapanyagok'!G58="","",'Alapanyagok'!G58)</f>
      </c>
      <c r="E58" s="463"/>
      <c r="F58" t="s" s="372">
        <f>IF(E58&gt;0,VLOOKUP(E58,'DID List'!A1:L461,3,FALSE),"   ")</f>
        <v>285</v>
      </c>
      <c r="G58" t="s" s="372">
        <f>IF('Alapanyagok'!I58="","",'Alapanyagok'!I58)</f>
      </c>
      <c r="H58" s="464"/>
      <c r="I58" s="464"/>
      <c r="J58" s="464"/>
      <c r="K58" s="464"/>
      <c r="L58" s="464"/>
      <c r="M58" t="s" s="372">
        <f>IF($E58=0,"",IF($E58='DID List'!$A$7,H58,VLOOKUP($E58,'DID List'!$A1:$L461,10)))</f>
      </c>
      <c r="N58" t="s" s="372">
        <f>IF($E58=0,"",IF($E58='DID List'!$A$7,I58,VLOOKUP($E58,'DID List'!$A1:$L461,9)))</f>
      </c>
      <c r="O58" t="s" s="372">
        <f>IF($E58=0,"",IF($E58='DID List'!$A$7,J58,VLOOKUP($E58,'DID List'!$A1:$L461,11)))</f>
      </c>
      <c r="P58" t="s" s="372">
        <f>IF($E58=0,"",IF($E58='DID List'!$A$7,K58,VLOOKUP($E58,'DID List'!$A1:$L461,12)))</f>
      </c>
      <c r="Q58" t="s" s="372">
        <f>IF($E58=0,"",IF(AND(P58="O",(OR($L58=1,$L58=2,$L58=3))),"Y",P58))</f>
      </c>
      <c r="R58" t="s" s="462">
        <f>IF(B58="","",IF(OR('Alapanyagok'!H58='Fordítások'!$C$61,'Alapanyagok'!H58='Fordítások'!$B$61),"Y",IF(OR('Alapanyagok'!H58='Fordítások'!$C$167,'Alapanyagok'!H58='Fordítások'!$B$167),"Y","N")))</f>
      </c>
      <c r="S58" s="465"/>
      <c r="T58" s="469"/>
      <c r="U58" s="466"/>
      <c r="V58" s="467"/>
      <c r="W58" s="468"/>
    </row>
    <row r="59" ht="15.75" customHeight="1">
      <c r="A59" s="460">
        <v>48</v>
      </c>
      <c r="B59" t="s" s="461">
        <f>IF('Alapanyagok'!B59="","",'Alapanyagok'!B59)</f>
      </c>
      <c r="C59" t="s" s="461">
        <f>IF('Alapanyagok'!C59="","",'Alapanyagok'!C59)</f>
      </c>
      <c r="D59" t="s" s="462">
        <f>IF('Alapanyagok'!G59="","",'Alapanyagok'!G59)</f>
      </c>
      <c r="E59" s="463"/>
      <c r="F59" t="s" s="372">
        <f>IF(E59&gt;0,VLOOKUP(E59,'DID List'!A1:L461,3,FALSE),"   ")</f>
        <v>285</v>
      </c>
      <c r="G59" t="s" s="372">
        <f>IF('Alapanyagok'!I59="","",'Alapanyagok'!I59)</f>
      </c>
      <c r="H59" s="464"/>
      <c r="I59" s="464"/>
      <c r="J59" s="464"/>
      <c r="K59" s="464"/>
      <c r="L59" s="464"/>
      <c r="M59" t="s" s="372">
        <f>IF($E59=0,"",IF($E59='DID List'!$A$7,H59,VLOOKUP($E59,'DID List'!$A1:$L461,10)))</f>
      </c>
      <c r="N59" t="s" s="372">
        <f>IF($E59=0,"",IF($E59='DID List'!$A$7,I59,VLOOKUP($E59,'DID List'!$A1:$L461,9)))</f>
      </c>
      <c r="O59" t="s" s="372">
        <f>IF($E59=0,"",IF($E59='DID List'!$A$7,J59,VLOOKUP($E59,'DID List'!$A1:$L461,11)))</f>
      </c>
      <c r="P59" t="s" s="372">
        <f>IF($E59=0,"",IF($E59='DID List'!$A$7,K59,VLOOKUP($E59,'DID List'!$A1:$L461,12)))</f>
      </c>
      <c r="Q59" t="s" s="372">
        <f>IF($E59=0,"",IF(AND(P59="O",(OR($L59=1,$L59=2,$L59=3))),"Y",P59))</f>
      </c>
      <c r="R59" t="s" s="462">
        <f>IF(B59="","",IF(OR('Alapanyagok'!H59='Fordítások'!$C$61,'Alapanyagok'!H59='Fordítások'!$B$61),"Y",IF(OR('Alapanyagok'!H59='Fordítások'!$C$167,'Alapanyagok'!H59='Fordítások'!$B$167),"Y","N")))</f>
      </c>
      <c r="S59" s="465"/>
      <c r="T59" s="469"/>
      <c r="U59" s="466"/>
      <c r="V59" s="467"/>
      <c r="W59" s="468"/>
    </row>
    <row r="60" ht="15.75" customHeight="1">
      <c r="A60" s="460">
        <v>49</v>
      </c>
      <c r="B60" t="s" s="461">
        <f>IF('Alapanyagok'!B60="","",'Alapanyagok'!B60)</f>
      </c>
      <c r="C60" t="s" s="461">
        <f>IF('Alapanyagok'!C60="","",'Alapanyagok'!C60)</f>
      </c>
      <c r="D60" t="s" s="462">
        <f>IF('Alapanyagok'!G60="","",'Alapanyagok'!G60)</f>
      </c>
      <c r="E60" s="463"/>
      <c r="F60" t="s" s="372">
        <f>IF(E60&gt;0,VLOOKUP(E60,'DID List'!A1:L461,3,FALSE),"   ")</f>
        <v>285</v>
      </c>
      <c r="G60" t="s" s="372">
        <f>IF('Alapanyagok'!I60="","",'Alapanyagok'!I60)</f>
      </c>
      <c r="H60" s="464"/>
      <c r="I60" s="464"/>
      <c r="J60" s="464"/>
      <c r="K60" s="464"/>
      <c r="L60" s="464"/>
      <c r="M60" t="s" s="372">
        <f>IF($E60=0,"",IF($E60='DID List'!$A$7,H60,VLOOKUP($E60,'DID List'!$A1:$L461,10)))</f>
      </c>
      <c r="N60" t="s" s="372">
        <f>IF($E60=0,"",IF($E60='DID List'!$A$7,I60,VLOOKUP($E60,'DID List'!$A1:$L461,9)))</f>
      </c>
      <c r="O60" t="s" s="372">
        <f>IF($E60=0,"",IF($E60='DID List'!$A$7,J60,VLOOKUP($E60,'DID List'!$A1:$L461,11)))</f>
      </c>
      <c r="P60" t="s" s="372">
        <f>IF($E60=0,"",IF($E60='DID List'!$A$7,K60,VLOOKUP($E60,'DID List'!$A1:$L461,12)))</f>
      </c>
      <c r="Q60" t="s" s="372">
        <f>IF($E60=0,"",IF(AND(P60="O",(OR($L60=1,$L60=2,$L60=3))),"Y",P60))</f>
      </c>
      <c r="R60" t="s" s="462">
        <f>IF(B60="","",IF(OR('Alapanyagok'!H60='Fordítások'!$C$61,'Alapanyagok'!H60='Fordítások'!$B$61),"Y",IF(OR('Alapanyagok'!H60='Fordítások'!$C$167,'Alapanyagok'!H60='Fordítások'!$B$167),"Y","N")))</f>
      </c>
      <c r="S60" s="465"/>
      <c r="T60" s="469"/>
      <c r="U60" s="466"/>
      <c r="V60" s="467"/>
      <c r="W60" s="468"/>
    </row>
    <row r="61" ht="15.75" customHeight="1">
      <c r="A61" s="460">
        <v>50</v>
      </c>
      <c r="B61" t="s" s="461">
        <f>IF('Alapanyagok'!B61="","",'Alapanyagok'!B61)</f>
      </c>
      <c r="C61" t="s" s="461">
        <f>IF('Alapanyagok'!C61="","",'Alapanyagok'!C61)</f>
      </c>
      <c r="D61" t="s" s="462">
        <f>IF('Alapanyagok'!G61="","",'Alapanyagok'!G61)</f>
      </c>
      <c r="E61" s="463"/>
      <c r="F61" t="s" s="372">
        <f>IF(E61&gt;0,VLOOKUP(E61,'DID List'!A1:L461,3,FALSE),"   ")</f>
        <v>285</v>
      </c>
      <c r="G61" t="s" s="372">
        <f>IF('Alapanyagok'!I61="","",'Alapanyagok'!I61)</f>
      </c>
      <c r="H61" s="464"/>
      <c r="I61" s="464"/>
      <c r="J61" s="464"/>
      <c r="K61" s="464"/>
      <c r="L61" s="464"/>
      <c r="M61" t="s" s="372">
        <f>IF($E61=0,"",IF($E61='DID List'!$A$7,H61,VLOOKUP($E61,'DID List'!$A1:$L461,10)))</f>
      </c>
      <c r="N61" t="s" s="372">
        <f>IF($E61=0,"",IF($E61='DID List'!$A$7,I61,VLOOKUP($E61,'DID List'!$A1:$L461,9)))</f>
      </c>
      <c r="O61" t="s" s="372">
        <f>IF($E61=0,"",IF($E61='DID List'!$A$7,J61,VLOOKUP($E61,'DID List'!$A1:$L461,11)))</f>
      </c>
      <c r="P61" t="s" s="372">
        <f>IF($E61=0,"",IF($E61='DID List'!$A$7,K61,VLOOKUP($E61,'DID List'!$A1:$L461,12)))</f>
      </c>
      <c r="Q61" t="s" s="372">
        <f>IF($E61=0,"",IF(AND(P61="O",(OR($L61=1,$L61=2,$L61=3))),"Y",P61))</f>
      </c>
      <c r="R61" t="s" s="462">
        <f>IF(B61="","",IF(OR('Alapanyagok'!H61='Fordítások'!$C$61,'Alapanyagok'!H61='Fordítások'!$B$61),"Y",IF(OR('Alapanyagok'!H61='Fordítások'!$C$167,'Alapanyagok'!H61='Fordítások'!$B$167),"Y","N")))</f>
      </c>
      <c r="S61" s="465"/>
      <c r="T61" s="469"/>
      <c r="U61" s="466"/>
      <c r="V61" s="467"/>
      <c r="W61" s="468"/>
    </row>
    <row r="62" ht="15.75" customHeight="1">
      <c r="A62" s="391"/>
      <c r="B62" t="s" s="470">
        <f>'Összetétel'!B62</f>
        <v>286</v>
      </c>
      <c r="C62" s="393"/>
      <c r="D62" s="471"/>
      <c r="E62" s="472"/>
      <c r="F62" s="473"/>
      <c r="G62" s="474">
        <f>SUM(G12:G61)</f>
        <v>0</v>
      </c>
      <c r="H62" s="475"/>
      <c r="I62" s="476"/>
      <c r="J62" s="475"/>
      <c r="K62" s="475"/>
      <c r="L62" s="69"/>
      <c r="M62" s="471"/>
      <c r="N62" s="471"/>
      <c r="O62" s="471"/>
      <c r="P62" s="477"/>
      <c r="Q62" s="477"/>
      <c r="R62" s="256"/>
      <c r="S62" s="333"/>
      <c r="T62" s="176"/>
      <c r="U62" s="333"/>
      <c r="V62" s="145"/>
      <c r="W62" s="142"/>
    </row>
    <row r="63" ht="15.75" customHeight="1">
      <c r="A63" s="28"/>
      <c r="B63" s="262"/>
      <c r="C63" s="13"/>
      <c r="D63" s="13"/>
      <c r="E63" s="262"/>
      <c r="F63" s="13"/>
      <c r="G63" t="s" s="478">
        <f>'Összetétel'!E63</f>
        <v>287</v>
      </c>
      <c r="H63" s="262"/>
      <c r="I63" s="13"/>
      <c r="J63" s="262"/>
      <c r="K63" s="262"/>
      <c r="L63" s="479"/>
      <c r="M63" s="13"/>
      <c r="N63" s="13"/>
      <c r="O63" s="13"/>
      <c r="P63" s="262"/>
      <c r="Q63" s="262"/>
      <c r="R63" s="480"/>
      <c r="S63" s="333"/>
      <c r="T63" s="176"/>
      <c r="U63" s="333"/>
      <c r="V63" s="145"/>
      <c r="W63" s="142"/>
    </row>
    <row r="64" ht="15.75" customHeight="1">
      <c r="A64" s="28"/>
      <c r="B64" s="262"/>
      <c r="C64" s="13"/>
      <c r="D64" s="13"/>
      <c r="E64" s="262"/>
      <c r="F64" s="13"/>
      <c r="G64" s="481"/>
      <c r="H64" s="262"/>
      <c r="I64" s="13"/>
      <c r="J64" s="262"/>
      <c r="K64" s="262"/>
      <c r="L64" s="479"/>
      <c r="M64" s="13"/>
      <c r="N64" s="13"/>
      <c r="O64" s="13"/>
      <c r="P64" s="262"/>
      <c r="Q64" s="262"/>
      <c r="R64" s="480"/>
      <c r="S64" s="333"/>
      <c r="T64" s="176"/>
      <c r="U64" s="333"/>
      <c r="V64" s="145"/>
      <c r="W64" s="142"/>
    </row>
    <row r="65" ht="30" customHeight="1">
      <c r="A65" s="28"/>
      <c r="B65" t="s" s="482">
        <f>IF('Adatlap'!$L$1='Fordítások'!C3,'Fordítások'!C105,'Fordítások'!B105)</f>
        <v>288</v>
      </c>
      <c r="C65" s="14"/>
      <c r="D65" s="483"/>
      <c r="E65" s="309"/>
      <c r="F65" s="483"/>
      <c r="G65" s="309"/>
      <c r="H65" s="309"/>
      <c r="I65" s="483"/>
      <c r="J65" s="309"/>
      <c r="K65" s="310"/>
      <c r="L65" s="484"/>
      <c r="M65" s="14"/>
      <c r="N65" s="483"/>
      <c r="O65" s="483"/>
      <c r="P65" s="310"/>
      <c r="Q65" s="484"/>
      <c r="R65" s="480"/>
      <c r="S65" s="333"/>
      <c r="T65" s="176"/>
      <c r="U65" s="333"/>
      <c r="V65" s="145"/>
      <c r="W65" s="142"/>
    </row>
    <row r="66" ht="15.75" customHeight="1">
      <c r="A66" s="28"/>
      <c r="B66" t="s" s="485">
        <f>IF('Adatlap'!$L$1='Fordítások'!C3,'Fordítások'!C33,'Fordítások'!B33)</f>
        <v>289</v>
      </c>
      <c r="C66" s="486"/>
      <c r="D66" s="487"/>
      <c r="E66" s="480"/>
      <c r="F66" s="487"/>
      <c r="G66" s="480"/>
      <c r="H66" s="480"/>
      <c r="I66" s="487"/>
      <c r="J66" s="480"/>
      <c r="K66" s="480"/>
      <c r="L66" s="488"/>
      <c r="M66" s="487"/>
      <c r="N66" s="487"/>
      <c r="O66" s="487"/>
      <c r="P66" s="480"/>
      <c r="Q66" s="480"/>
      <c r="R66" s="484"/>
      <c r="S66" s="333"/>
      <c r="T66" s="176"/>
      <c r="U66" s="333"/>
      <c r="V66" s="145"/>
      <c r="W66" s="142"/>
    </row>
    <row r="67" ht="11.25" customHeight="1">
      <c r="A67" s="28"/>
      <c r="B67" s="405"/>
      <c r="C67" s="39"/>
      <c r="D67" s="39"/>
      <c r="E67" s="405"/>
      <c r="F67" s="39"/>
      <c r="G67" s="405"/>
      <c r="H67" s="405"/>
      <c r="I67" s="39"/>
      <c r="J67" s="405"/>
      <c r="K67" s="405"/>
      <c r="L67" s="39"/>
      <c r="M67" s="39"/>
      <c r="N67" s="39"/>
      <c r="O67" s="39"/>
      <c r="P67" s="405"/>
      <c r="Q67" s="405"/>
      <c r="R67" s="262"/>
      <c r="S67" s="333"/>
      <c r="T67" s="176"/>
      <c r="U67" s="333"/>
      <c r="V67" s="145"/>
      <c r="W67" s="142"/>
    </row>
    <row r="68" ht="46.5" customHeight="1">
      <c r="A68" s="406"/>
      <c r="B68" t="s" s="489">
        <f>'Összetétel'!B67:H67</f>
        <v>264</v>
      </c>
      <c r="C68" s="409"/>
      <c r="D68" s="409"/>
      <c r="E68" s="409"/>
      <c r="F68" s="409"/>
      <c r="G68" s="409"/>
      <c r="H68" s="409"/>
      <c r="I68" s="409"/>
      <c r="J68" s="409"/>
      <c r="K68" s="409"/>
      <c r="L68" s="409"/>
      <c r="M68" s="409"/>
      <c r="N68" s="409"/>
      <c r="O68" s="409"/>
      <c r="P68" s="409"/>
      <c r="Q68" s="409"/>
      <c r="R68" s="255"/>
      <c r="S68" s="333"/>
      <c r="T68" s="176"/>
      <c r="U68" s="333"/>
      <c r="V68" s="145"/>
      <c r="W68" s="142"/>
    </row>
    <row r="69" ht="15.75" customHeight="1">
      <c r="A69" s="28"/>
      <c r="B69" s="256"/>
      <c r="C69" s="69"/>
      <c r="D69" s="69"/>
      <c r="E69" s="256"/>
      <c r="F69" s="69"/>
      <c r="G69" s="256"/>
      <c r="H69" s="256"/>
      <c r="I69" s="69"/>
      <c r="J69" s="256"/>
      <c r="K69" s="256"/>
      <c r="L69" s="69"/>
      <c r="M69" s="69"/>
      <c r="N69" s="69"/>
      <c r="O69" s="69"/>
      <c r="P69" s="256"/>
      <c r="Q69" s="256"/>
      <c r="R69" s="262"/>
      <c r="S69" s="333"/>
      <c r="T69" s="176"/>
      <c r="U69" s="333"/>
      <c r="V69" s="145"/>
      <c r="W69" s="142"/>
    </row>
    <row r="70" ht="15.75" customHeight="1">
      <c r="A70" s="28"/>
      <c r="B70" s="262"/>
      <c r="C70" s="13"/>
      <c r="D70" s="13"/>
      <c r="E70" t="s" s="490">
        <v>290</v>
      </c>
      <c r="F70" s="13"/>
      <c r="G70" s="262"/>
      <c r="H70" s="262"/>
      <c r="I70" s="13"/>
      <c r="J70" s="262"/>
      <c r="K70" s="262"/>
      <c r="L70" s="13"/>
      <c r="M70" s="13"/>
      <c r="N70" s="13"/>
      <c r="O70" s="13"/>
      <c r="P70" s="262"/>
      <c r="Q70" s="262"/>
      <c r="R70" s="262"/>
      <c r="S70" s="333"/>
      <c r="T70" s="176"/>
      <c r="U70" s="333"/>
      <c r="V70" s="145"/>
      <c r="W70" s="142"/>
    </row>
    <row r="71" ht="12.75" customHeight="1">
      <c r="A71" s="28"/>
      <c r="B71" s="401"/>
      <c r="C71" s="29"/>
      <c r="D71" s="13"/>
      <c r="E71" t="s" s="490">
        <v>291</v>
      </c>
      <c r="F71" t="s" s="491">
        <f>IF('Adatlap'!$L$1='Fordítások'!C3,'Fordítások'!C80,'Fordítások'!B80)</f>
        <v>292</v>
      </c>
      <c r="G71" s="401"/>
      <c r="H71" s="401"/>
      <c r="I71" s="13"/>
      <c r="J71" s="401"/>
      <c r="K71" s="401"/>
      <c r="L71" s="492"/>
      <c r="M71" s="13"/>
      <c r="N71" s="13"/>
      <c r="O71" s="13"/>
      <c r="P71" s="401"/>
      <c r="Q71" s="401"/>
      <c r="R71" s="401"/>
      <c r="S71" s="492"/>
      <c r="T71" s="493"/>
      <c r="U71" s="492"/>
      <c r="V71" s="145"/>
      <c r="W71" s="142"/>
    </row>
    <row r="72" ht="12.75" customHeight="1">
      <c r="A72" s="28"/>
      <c r="B72" s="401"/>
      <c r="C72" s="29"/>
      <c r="D72" s="13"/>
      <c r="E72" t="s" s="490">
        <v>293</v>
      </c>
      <c r="F72" t="s" s="491">
        <f>IF('Adatlap'!$L$1='Fordítások'!C3,'Fordítások'!C81,'Fordítások'!B81)</f>
        <v>294</v>
      </c>
      <c r="G72" s="401"/>
      <c r="H72" s="401"/>
      <c r="I72" s="13"/>
      <c r="J72" s="401"/>
      <c r="K72" s="401"/>
      <c r="L72" s="492"/>
      <c r="M72" s="13"/>
      <c r="N72" s="13"/>
      <c r="O72" s="13"/>
      <c r="P72" s="401"/>
      <c r="Q72" s="401"/>
      <c r="R72" s="401"/>
      <c r="S72" s="492"/>
      <c r="T72" s="493"/>
      <c r="U72" s="492"/>
      <c r="V72" s="145"/>
      <c r="W72" s="142"/>
    </row>
    <row r="73" ht="12.75" customHeight="1">
      <c r="A73" s="28"/>
      <c r="B73" s="401"/>
      <c r="C73" s="29"/>
      <c r="D73" s="13"/>
      <c r="E73" t="s" s="490">
        <v>295</v>
      </c>
      <c r="F73" t="s" s="491">
        <f>IF('Adatlap'!$L$1='Fordítások'!C3,'Fordítások'!C82,'Fordítások'!B82)</f>
        <v>296</v>
      </c>
      <c r="G73" s="401"/>
      <c r="H73" s="401"/>
      <c r="I73" s="13"/>
      <c r="J73" s="401"/>
      <c r="K73" s="401"/>
      <c r="L73" s="492"/>
      <c r="M73" s="13"/>
      <c r="N73" s="13"/>
      <c r="O73" s="13"/>
      <c r="P73" s="401"/>
      <c r="Q73" s="401"/>
      <c r="R73" s="401"/>
      <c r="S73" s="492"/>
      <c r="T73" s="493"/>
      <c r="U73" s="492"/>
      <c r="V73" s="145"/>
      <c r="W73" s="142"/>
    </row>
    <row r="74" ht="12.75" customHeight="1">
      <c r="A74" s="28"/>
      <c r="B74" s="401"/>
      <c r="C74" s="29"/>
      <c r="D74" s="13"/>
      <c r="E74" t="s" s="490">
        <v>297</v>
      </c>
      <c r="F74" t="s" s="491">
        <f>IF('Adatlap'!$L$1='Fordítások'!C3,'Fordítások'!C83,'Fordítások'!B83)</f>
        <v>298</v>
      </c>
      <c r="G74" s="401"/>
      <c r="H74" s="401"/>
      <c r="I74" s="13"/>
      <c r="J74" s="401"/>
      <c r="K74" s="401"/>
      <c r="L74" s="492"/>
      <c r="M74" s="13"/>
      <c r="N74" s="13"/>
      <c r="O74" s="13"/>
      <c r="P74" s="401"/>
      <c r="Q74" s="401"/>
      <c r="R74" s="401"/>
      <c r="S74" s="492"/>
      <c r="T74" s="493"/>
      <c r="U74" s="492"/>
      <c r="V74" s="145"/>
      <c r="W74" s="142"/>
    </row>
    <row r="75" ht="12.75" customHeight="1">
      <c r="A75" s="28"/>
      <c r="B75" s="401"/>
      <c r="C75" s="29"/>
      <c r="D75" s="13"/>
      <c r="E75" t="s" s="490">
        <v>299</v>
      </c>
      <c r="F75" t="s" s="491">
        <f>IF('Adatlap'!$L$1='Fordítások'!C3,'Fordítások'!C84,'Fordítások'!B84)</f>
        <v>300</v>
      </c>
      <c r="G75" s="401"/>
      <c r="H75" s="401"/>
      <c r="I75" s="13"/>
      <c r="J75" s="401"/>
      <c r="K75" s="401"/>
      <c r="L75" s="492"/>
      <c r="M75" s="13"/>
      <c r="N75" s="13"/>
      <c r="O75" s="13"/>
      <c r="P75" s="401"/>
      <c r="Q75" s="401"/>
      <c r="R75" s="401"/>
      <c r="S75" s="492"/>
      <c r="T75" s="493"/>
      <c r="U75" s="492"/>
      <c r="V75" s="145"/>
      <c r="W75" s="142"/>
    </row>
    <row r="76" ht="12.75" customHeight="1">
      <c r="A76" s="130"/>
      <c r="B76" s="401"/>
      <c r="C76" s="29"/>
      <c r="D76" s="13"/>
      <c r="E76" s="490"/>
      <c r="F76" s="494"/>
      <c r="G76" s="401"/>
      <c r="H76" s="401"/>
      <c r="I76" s="13"/>
      <c r="J76" s="401"/>
      <c r="K76" s="401"/>
      <c r="L76" s="492"/>
      <c r="M76" s="13"/>
      <c r="N76" s="13"/>
      <c r="O76" s="13"/>
      <c r="P76" s="401"/>
      <c r="Q76" s="401"/>
      <c r="R76" s="401"/>
      <c r="S76" s="492"/>
      <c r="T76" s="493"/>
      <c r="U76" s="492"/>
      <c r="V76" s="145"/>
      <c r="W76" s="142"/>
    </row>
    <row r="77" ht="12.75" customHeight="1">
      <c r="A77" s="146"/>
      <c r="B77" s="401"/>
      <c r="C77" s="29"/>
      <c r="D77" s="13"/>
      <c r="E77" t="s" s="490">
        <v>301</v>
      </c>
      <c r="F77" s="494"/>
      <c r="G77" s="401"/>
      <c r="H77" s="401"/>
      <c r="I77" s="13"/>
      <c r="J77" s="401"/>
      <c r="K77" s="401"/>
      <c r="L77" s="492"/>
      <c r="M77" s="13"/>
      <c r="N77" s="13"/>
      <c r="O77" s="13"/>
      <c r="P77" s="401"/>
      <c r="Q77" s="401"/>
      <c r="R77" s="401"/>
      <c r="S77" s="492"/>
      <c r="T77" s="493"/>
      <c r="U77" s="492"/>
      <c r="V77" s="145"/>
      <c r="W77" s="142"/>
    </row>
    <row r="78" ht="12.75" customHeight="1">
      <c r="A78" s="146"/>
      <c r="B78" s="401"/>
      <c r="C78" s="29"/>
      <c r="D78" s="13"/>
      <c r="E78" t="s" s="490">
        <v>302</v>
      </c>
      <c r="F78" t="s" s="491">
        <f>IF('Adatlap'!$L$1='Fordítások'!C3,'Fordítások'!C85,'Fordítások'!B85)</f>
        <v>303</v>
      </c>
      <c r="G78" s="401"/>
      <c r="H78" s="401"/>
      <c r="I78" s="13"/>
      <c r="J78" s="401"/>
      <c r="K78" s="401"/>
      <c r="L78" s="492"/>
      <c r="M78" s="13"/>
      <c r="N78" s="13"/>
      <c r="O78" s="13"/>
      <c r="P78" s="401"/>
      <c r="Q78" s="401"/>
      <c r="R78" s="401"/>
      <c r="S78" s="492"/>
      <c r="T78" s="493"/>
      <c r="U78" s="492"/>
      <c r="V78" s="145"/>
      <c r="W78" s="142"/>
    </row>
    <row r="79" ht="12.75" customHeight="1">
      <c r="A79" s="146"/>
      <c r="B79" s="401"/>
      <c r="C79" s="29"/>
      <c r="D79" s="13"/>
      <c r="E79" t="s" s="490">
        <v>304</v>
      </c>
      <c r="F79" t="s" s="491">
        <f>IF('Adatlap'!$L$1='Fordítások'!C3,'Fordítások'!C86,'Fordítások'!B86)</f>
        <v>305</v>
      </c>
      <c r="G79" s="401"/>
      <c r="H79" s="401"/>
      <c r="I79" s="13"/>
      <c r="J79" s="401"/>
      <c r="K79" s="401"/>
      <c r="L79" s="492"/>
      <c r="M79" s="13"/>
      <c r="N79" s="13"/>
      <c r="O79" s="13"/>
      <c r="P79" s="401"/>
      <c r="Q79" s="401"/>
      <c r="R79" s="401"/>
      <c r="S79" s="492"/>
      <c r="T79" s="493"/>
      <c r="U79" s="492"/>
      <c r="V79" s="145"/>
      <c r="W79" s="142"/>
    </row>
    <row r="80" ht="12.75" customHeight="1">
      <c r="A80" s="146"/>
      <c r="B80" s="401"/>
      <c r="C80" s="29"/>
      <c r="D80" s="13"/>
      <c r="E80" t="s" s="490">
        <v>306</v>
      </c>
      <c r="F80" t="s" s="491">
        <f>IF('Adatlap'!$L$1='Fordítások'!C3,'Fordítások'!C87,'Fordítások'!B87)</f>
        <v>298</v>
      </c>
      <c r="G80" s="401"/>
      <c r="H80" s="401"/>
      <c r="I80" s="13"/>
      <c r="J80" s="401"/>
      <c r="K80" s="401"/>
      <c r="L80" s="492"/>
      <c r="M80" s="13"/>
      <c r="N80" s="13"/>
      <c r="O80" s="13"/>
      <c r="P80" s="401"/>
      <c r="Q80" s="401"/>
      <c r="R80" s="401"/>
      <c r="S80" s="492"/>
      <c r="T80" s="493"/>
      <c r="U80" s="492"/>
      <c r="V80" s="145"/>
      <c r="W80" s="142"/>
    </row>
    <row r="81" ht="12.75" customHeight="1">
      <c r="A81" s="146"/>
      <c r="B81" s="401"/>
      <c r="C81" s="29"/>
      <c r="D81" s="13"/>
      <c r="E81" t="s" s="490">
        <v>307</v>
      </c>
      <c r="F81" t="s" s="491">
        <f>IF('Adatlap'!$L$1='Fordítások'!C3,'Fordítások'!C88,'Fordítások'!B88)</f>
        <v>308</v>
      </c>
      <c r="G81" s="401"/>
      <c r="H81" s="401"/>
      <c r="I81" s="13"/>
      <c r="J81" s="401"/>
      <c r="K81" s="401"/>
      <c r="L81" s="492"/>
      <c r="M81" s="13"/>
      <c r="N81" s="13"/>
      <c r="O81" s="13"/>
      <c r="P81" s="401"/>
      <c r="Q81" s="401"/>
      <c r="R81" s="401"/>
      <c r="S81" s="492"/>
      <c r="T81" s="493"/>
      <c r="U81" s="492"/>
      <c r="V81" s="145"/>
      <c r="W81" s="142"/>
    </row>
    <row r="82" ht="12.75" customHeight="1">
      <c r="A82" s="146"/>
      <c r="B82" s="401"/>
      <c r="C82" s="29"/>
      <c r="D82" s="13"/>
      <c r="E82" s="401"/>
      <c r="F82" s="13"/>
      <c r="G82" s="401"/>
      <c r="H82" s="401"/>
      <c r="I82" s="13"/>
      <c r="J82" s="401"/>
      <c r="K82" s="401"/>
      <c r="L82" s="492"/>
      <c r="M82" s="13"/>
      <c r="N82" s="13"/>
      <c r="O82" s="13"/>
      <c r="P82" s="401"/>
      <c r="Q82" s="401"/>
      <c r="R82" s="401"/>
      <c r="S82" s="492"/>
      <c r="T82" s="493"/>
      <c r="U82" s="492"/>
      <c r="V82" s="145"/>
      <c r="W82" s="142"/>
    </row>
    <row r="83" ht="12.75" customHeight="1">
      <c r="A83" s="146"/>
      <c r="B83" s="401"/>
      <c r="C83" s="29"/>
      <c r="D83" s="13"/>
      <c r="E83" s="401"/>
      <c r="F83" s="13"/>
      <c r="G83" s="401"/>
      <c r="H83" s="401"/>
      <c r="I83" s="13"/>
      <c r="J83" s="401"/>
      <c r="K83" s="401"/>
      <c r="L83" s="492"/>
      <c r="M83" s="13"/>
      <c r="N83" s="13"/>
      <c r="O83" s="13"/>
      <c r="P83" s="401"/>
      <c r="Q83" s="401"/>
      <c r="R83" s="401"/>
      <c r="S83" s="492"/>
      <c r="T83" s="493"/>
      <c r="U83" s="492"/>
      <c r="V83" s="145"/>
      <c r="W83" s="142"/>
    </row>
    <row r="84" ht="12.75" customHeight="1">
      <c r="A84" s="146"/>
      <c r="B84" s="401"/>
      <c r="C84" s="29"/>
      <c r="D84" s="13"/>
      <c r="E84" s="401"/>
      <c r="F84" s="13"/>
      <c r="G84" s="401"/>
      <c r="H84" s="401"/>
      <c r="I84" s="13"/>
      <c r="J84" s="401"/>
      <c r="K84" s="401"/>
      <c r="L84" s="492"/>
      <c r="M84" s="13"/>
      <c r="N84" s="13"/>
      <c r="O84" s="13"/>
      <c r="P84" s="401"/>
      <c r="Q84" s="401"/>
      <c r="R84" s="401"/>
      <c r="S84" s="492"/>
      <c r="T84" s="493"/>
      <c r="U84" s="492"/>
      <c r="V84" s="145"/>
      <c r="W84" s="142"/>
    </row>
    <row r="85" ht="12.75" customHeight="1">
      <c r="A85" s="143"/>
      <c r="B85" s="309"/>
      <c r="C85" s="483"/>
      <c r="D85" s="483"/>
      <c r="E85" s="309"/>
      <c r="F85" s="483"/>
      <c r="G85" s="309"/>
      <c r="H85" s="309"/>
      <c r="I85" s="483"/>
      <c r="J85" s="309"/>
      <c r="K85" s="309"/>
      <c r="L85" s="483"/>
      <c r="M85" s="483"/>
      <c r="N85" s="483"/>
      <c r="O85" s="483"/>
      <c r="P85" s="309"/>
      <c r="Q85" s="309"/>
      <c r="R85" s="309"/>
      <c r="S85" s="483"/>
      <c r="T85" s="483"/>
      <c r="U85" s="483"/>
      <c r="V85" s="143"/>
      <c r="W85" s="143"/>
    </row>
    <row r="86" ht="12.75" customHeight="1">
      <c r="A86" s="495"/>
      <c r="B86" s="262"/>
      <c r="C86" s="496"/>
      <c r="D86" s="29"/>
      <c r="E86" s="262"/>
      <c r="F86" s="29"/>
      <c r="G86" s="262"/>
      <c r="H86" s="262"/>
      <c r="I86" s="29"/>
      <c r="J86" s="262"/>
      <c r="K86" s="262"/>
      <c r="L86" s="497"/>
      <c r="M86" s="29"/>
      <c r="N86" s="29"/>
      <c r="O86" s="29"/>
      <c r="P86" s="262"/>
      <c r="Q86" s="262"/>
      <c r="R86" s="262"/>
      <c r="S86" s="497"/>
      <c r="T86" s="32"/>
      <c r="U86" s="497"/>
      <c r="V86" s="497"/>
      <c r="W86" s="498"/>
    </row>
    <row r="87" ht="12.75" customHeight="1">
      <c r="A87" s="495"/>
      <c r="B87" s="262"/>
      <c r="C87" s="496"/>
      <c r="D87" s="29"/>
      <c r="E87" s="262"/>
      <c r="F87" s="29"/>
      <c r="G87" s="262"/>
      <c r="H87" s="262"/>
      <c r="I87" s="29"/>
      <c r="J87" s="262"/>
      <c r="K87" s="262"/>
      <c r="L87" s="497"/>
      <c r="M87" s="29"/>
      <c r="N87" s="29"/>
      <c r="O87" s="29"/>
      <c r="P87" s="262"/>
      <c r="Q87" s="262"/>
      <c r="R87" s="262"/>
      <c r="S87" s="497"/>
      <c r="T87" s="32"/>
      <c r="U87" s="497"/>
      <c r="V87" s="497"/>
      <c r="W87" s="498"/>
    </row>
    <row r="88" ht="12.75" customHeight="1">
      <c r="A88" s="495"/>
      <c r="B88" s="262"/>
      <c r="C88" s="496"/>
      <c r="D88" s="29"/>
      <c r="E88" s="262"/>
      <c r="F88" s="29"/>
      <c r="G88" s="262"/>
      <c r="H88" s="262"/>
      <c r="I88" s="29"/>
      <c r="J88" s="262"/>
      <c r="K88" s="262"/>
      <c r="L88" s="497"/>
      <c r="M88" s="29"/>
      <c r="N88" s="29"/>
      <c r="O88" s="29"/>
      <c r="P88" s="262"/>
      <c r="Q88" s="262"/>
      <c r="R88" s="262"/>
      <c r="S88" s="497"/>
      <c r="T88" s="32"/>
      <c r="U88" s="497"/>
      <c r="V88" s="497"/>
      <c r="W88" s="498"/>
    </row>
    <row r="89" ht="12.75" customHeight="1">
      <c r="A89" s="495"/>
      <c r="B89" s="262"/>
      <c r="C89" s="496"/>
      <c r="D89" s="29"/>
      <c r="E89" s="262"/>
      <c r="F89" s="29"/>
      <c r="G89" s="262"/>
      <c r="H89" s="262"/>
      <c r="I89" s="29"/>
      <c r="J89" s="262"/>
      <c r="K89" s="262"/>
      <c r="L89" s="497"/>
      <c r="M89" s="29"/>
      <c r="N89" s="29"/>
      <c r="O89" s="29"/>
      <c r="P89" s="262"/>
      <c r="Q89" s="262"/>
      <c r="R89" s="262"/>
      <c r="S89" s="497"/>
      <c r="T89" s="32"/>
      <c r="U89" s="497"/>
      <c r="V89" s="497"/>
      <c r="W89" s="498"/>
    </row>
    <row r="90" ht="12.75" customHeight="1">
      <c r="A90" s="495"/>
      <c r="B90" s="262"/>
      <c r="C90" s="496"/>
      <c r="D90" s="29"/>
      <c r="E90" s="262"/>
      <c r="F90" s="29"/>
      <c r="G90" s="262"/>
      <c r="H90" s="262"/>
      <c r="I90" s="29"/>
      <c r="J90" s="262"/>
      <c r="K90" s="262"/>
      <c r="L90" s="497"/>
      <c r="M90" s="29"/>
      <c r="N90" s="29"/>
      <c r="O90" s="29"/>
      <c r="P90" s="262"/>
      <c r="Q90" s="262"/>
      <c r="R90" s="262"/>
      <c r="S90" s="497"/>
      <c r="T90" s="32"/>
      <c r="U90" s="497"/>
      <c r="V90" s="497"/>
      <c r="W90" s="498"/>
    </row>
    <row r="91" ht="12.75" customHeight="1">
      <c r="A91" s="495"/>
      <c r="B91" s="262"/>
      <c r="C91" s="496"/>
      <c r="D91" s="29"/>
      <c r="E91" s="262"/>
      <c r="F91" s="29"/>
      <c r="G91" s="262"/>
      <c r="H91" s="262"/>
      <c r="I91" s="29"/>
      <c r="J91" s="262"/>
      <c r="K91" s="262"/>
      <c r="L91" s="497"/>
      <c r="M91" s="29"/>
      <c r="N91" s="29"/>
      <c r="O91" s="29"/>
      <c r="P91" s="262"/>
      <c r="Q91" s="262"/>
      <c r="R91" s="262"/>
      <c r="S91" s="497"/>
      <c r="T91" s="32"/>
      <c r="U91" s="497"/>
      <c r="V91" s="497"/>
      <c r="W91" s="498"/>
    </row>
    <row r="92" ht="12.75" customHeight="1">
      <c r="A92" s="495"/>
      <c r="B92" s="262"/>
      <c r="C92" s="496"/>
      <c r="D92" s="29"/>
      <c r="E92" s="262"/>
      <c r="F92" s="29"/>
      <c r="G92" s="262"/>
      <c r="H92" s="262"/>
      <c r="I92" s="29"/>
      <c r="J92" s="262"/>
      <c r="K92" s="262"/>
      <c r="L92" s="497"/>
      <c r="M92" s="29"/>
      <c r="N92" s="29"/>
      <c r="O92" s="29"/>
      <c r="P92" s="262"/>
      <c r="Q92" s="262"/>
      <c r="R92" s="262"/>
      <c r="S92" s="497"/>
      <c r="T92" s="32"/>
      <c r="U92" s="497"/>
      <c r="V92" s="497"/>
      <c r="W92" s="498"/>
    </row>
    <row r="93" ht="12.75" customHeight="1">
      <c r="A93" s="495"/>
      <c r="B93" s="262"/>
      <c r="C93" s="496"/>
      <c r="D93" s="29"/>
      <c r="E93" s="262"/>
      <c r="F93" s="29"/>
      <c r="G93" s="262"/>
      <c r="H93" s="262"/>
      <c r="I93" s="29"/>
      <c r="J93" s="262"/>
      <c r="K93" s="262"/>
      <c r="L93" s="497"/>
      <c r="M93" s="29"/>
      <c r="N93" s="29"/>
      <c r="O93" s="29"/>
      <c r="P93" s="262"/>
      <c r="Q93" s="262"/>
      <c r="R93" s="262"/>
      <c r="S93" s="497"/>
      <c r="T93" s="32"/>
      <c r="U93" s="497"/>
      <c r="V93" s="497"/>
      <c r="W93" s="498"/>
    </row>
    <row r="94" ht="12.75" customHeight="1">
      <c r="A94" s="495"/>
      <c r="B94" s="262"/>
      <c r="C94" s="496"/>
      <c r="D94" s="29"/>
      <c r="E94" s="262"/>
      <c r="F94" s="29"/>
      <c r="G94" s="262"/>
      <c r="H94" s="262"/>
      <c r="I94" s="29"/>
      <c r="J94" s="262"/>
      <c r="K94" s="262"/>
      <c r="L94" s="497"/>
      <c r="M94" s="29"/>
      <c r="N94" s="29"/>
      <c r="O94" s="29"/>
      <c r="P94" s="262"/>
      <c r="Q94" s="262"/>
      <c r="R94" s="262"/>
      <c r="S94" s="497"/>
      <c r="T94" s="32"/>
      <c r="U94" s="497"/>
      <c r="V94" s="497"/>
      <c r="W94" s="498"/>
    </row>
    <row r="95" ht="12.75" customHeight="1">
      <c r="A95" s="495"/>
      <c r="B95" s="262"/>
      <c r="C95" s="496"/>
      <c r="D95" s="29"/>
      <c r="E95" s="262"/>
      <c r="F95" s="29"/>
      <c r="G95" s="262"/>
      <c r="H95" s="262"/>
      <c r="I95" s="29"/>
      <c r="J95" s="262"/>
      <c r="K95" s="262"/>
      <c r="L95" s="497"/>
      <c r="M95" s="29"/>
      <c r="N95" s="29"/>
      <c r="O95" s="29"/>
      <c r="P95" s="262"/>
      <c r="Q95" s="262"/>
      <c r="R95" s="262"/>
      <c r="S95" s="497"/>
      <c r="T95" s="32"/>
      <c r="U95" s="497"/>
      <c r="V95" s="497"/>
      <c r="W95" s="498"/>
    </row>
    <row r="96" ht="12.75" customHeight="1">
      <c r="A96" s="499"/>
      <c r="B96" s="500"/>
      <c r="C96" s="501"/>
      <c r="D96" s="502"/>
      <c r="E96" s="500"/>
      <c r="F96" s="502"/>
      <c r="G96" s="500"/>
      <c r="H96" s="500"/>
      <c r="I96" s="502"/>
      <c r="J96" s="500"/>
      <c r="K96" s="500"/>
      <c r="L96" s="503"/>
      <c r="M96" s="502"/>
      <c r="N96" s="502"/>
      <c r="O96" s="502"/>
      <c r="P96" s="500"/>
      <c r="Q96" s="500"/>
      <c r="R96" s="500"/>
      <c r="S96" s="503"/>
      <c r="T96" s="504"/>
      <c r="U96" s="503"/>
      <c r="V96" s="503"/>
      <c r="W96" s="505"/>
    </row>
  </sheetData>
  <mergeCells count="22">
    <mergeCell ref="B68:Q68"/>
    <mergeCell ref="I4:J4"/>
    <mergeCell ref="I5:J5"/>
    <mergeCell ref="A3:B3"/>
    <mergeCell ref="A4:B4"/>
    <mergeCell ref="A5:B5"/>
    <mergeCell ref="O10:Q10"/>
    <mergeCell ref="C3:E3"/>
    <mergeCell ref="C4:E4"/>
    <mergeCell ref="C5:E5"/>
    <mergeCell ref="C6:E6"/>
    <mergeCell ref="C7:E7"/>
    <mergeCell ref="G4:H4"/>
    <mergeCell ref="G1:I1"/>
    <mergeCell ref="R10:R11"/>
    <mergeCell ref="B65:P65"/>
    <mergeCell ref="H10:K10"/>
    <mergeCell ref="A6:B6"/>
    <mergeCell ref="A7:B7"/>
    <mergeCell ref="C10:C11"/>
    <mergeCell ref="J1:R1"/>
    <mergeCell ref="G5:H5"/>
  </mergeCells>
  <dataValidations count="5">
    <dataValidation type="list" allowBlank="1" showInputMessage="1" showErrorMessage="1" sqref="E13:E61">
      <formula1>"nem szerepel,2001,2002,2003,2004,2005,2006,2007,2008,2009,2010,2011,2012,2013,2014,2015,2016,2017,2018,2019,2020,2021,2022,2023,2024,2025,2026,2027,2028,2029,2030,2031,2032,2107,2108,2112,2113,2114,2115,2130,2131,2132,2133,2134,2135,2136,2137,2138,2139"</formula1>
    </dataValidation>
    <dataValidation type="list" allowBlank="1" showInputMessage="1" showErrorMessage="1" sqref="H13:H61">
      <formula1>"1"</formula1>
    </dataValidation>
    <dataValidation type="list" allowBlank="1" showInputMessage="1" showErrorMessage="1" sqref="J13:J61">
      <formula1>"R,I,P,O,NA"</formula1>
    </dataValidation>
    <dataValidation type="list" allowBlank="1" showInputMessage="1" showErrorMessage="1" sqref="K13:K61">
      <formula1>"Y,N,O,NA"</formula1>
    </dataValidation>
    <dataValidation type="list" allowBlank="1" showInputMessage="1" showErrorMessage="1" sqref="L13:L61">
      <formula1>"nincs,1. az anyag könnyen lebomlik és adszorpciója alacsony szintű (A &lt; 25 %),2. az anyag könnyen lebomlik és deszorpciója magas szintű (D &gt; 75 %),3. az anyag könnyen lebomlik és nem bioakkumulatív"</formula1>
    </dataValidation>
  </dataValidations>
  <pageMargins left="0.590551" right="0.590551" top="0.984252" bottom="0.984252" header="0.511811" footer="0.511811"/>
  <pageSetup firstPageNumber="1" fitToHeight="1" fitToWidth="1" scale="60"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AW158"/>
  <sheetViews>
    <sheetView workbookViewId="0" showGridLines="0" defaultGridColor="1"/>
  </sheetViews>
  <sheetFormatPr defaultColWidth="11.5" defaultRowHeight="12.75" customHeight="1" outlineLevelRow="0" outlineLevelCol="0"/>
  <cols>
    <col min="1" max="1" width="3.67188" style="506" customWidth="1"/>
    <col min="2" max="2" width="35.3516" style="506" customWidth="1"/>
    <col min="3" max="3" width="17.3516" style="506" customWidth="1"/>
    <col min="4" max="4" width="11.6719" style="506" customWidth="1"/>
    <col min="5" max="5" width="13.5" style="506" customWidth="1"/>
    <col min="6" max="6" width="12.3516" style="506" customWidth="1"/>
    <col min="7" max="7" width="12.8516" style="506" customWidth="1"/>
    <col min="8" max="9" width="18.1719" style="506" customWidth="1"/>
    <col min="10" max="49" width="11.5" style="506" customWidth="1"/>
    <col min="50" max="16384" width="11.5" style="506" customWidth="1"/>
  </cols>
  <sheetData>
    <row r="1" ht="15.75" customHeight="1">
      <c r="A1" s="321"/>
      <c r="B1" s="507"/>
      <c r="C1" s="508"/>
      <c r="D1" t="s" s="134">
        <f>'Termék'!A1</f>
        <v>165</v>
      </c>
      <c r="E1" s="425"/>
      <c r="F1" s="135"/>
      <c r="G1" t="s" s="509">
        <f>'Termék'!C1</f>
        <v>166</v>
      </c>
      <c r="H1" s="510"/>
      <c r="I1" s="510"/>
      <c r="J1" s="510"/>
      <c r="K1" s="510"/>
      <c r="L1" s="323"/>
      <c r="M1" s="323"/>
      <c r="N1" s="323"/>
      <c r="O1" s="323"/>
      <c r="P1" s="323"/>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10"/>
    </row>
    <row r="2" ht="15.75" customHeight="1">
      <c r="A2" s="495"/>
      <c r="B2" s="13"/>
      <c r="C2" s="13"/>
      <c r="D2" s="511"/>
      <c r="E2" s="512"/>
      <c r="F2" s="513"/>
      <c r="G2" s="29"/>
      <c r="H2" s="514"/>
      <c r="I2" s="39"/>
      <c r="J2" s="151"/>
      <c r="K2" s="151"/>
      <c r="L2" s="151"/>
      <c r="M2" s="151"/>
      <c r="N2" s="151"/>
      <c r="O2" s="151"/>
      <c r="P2" s="151"/>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4"/>
    </row>
    <row r="3" ht="15.75" customHeight="1">
      <c r="A3" s="515"/>
      <c r="B3" s="39"/>
      <c r="C3" s="39"/>
      <c r="D3" s="516"/>
      <c r="E3" s="517"/>
      <c r="F3" s="518"/>
      <c r="G3" s="519"/>
      <c r="H3" t="s" s="147">
        <f>'Termék'!A3</f>
        <v>167</v>
      </c>
      <c r="I3" t="s" s="338">
        <f>IF('Termék'!B3="","",'Termék'!B3)</f>
      </c>
      <c r="J3" s="149"/>
      <c r="K3" s="151"/>
      <c r="L3" s="151"/>
      <c r="M3" s="151"/>
      <c r="N3" s="151"/>
      <c r="O3" s="151"/>
      <c r="P3" s="151"/>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4"/>
    </row>
    <row r="4" ht="15.75" customHeight="1">
      <c r="A4" t="s" s="161">
        <f>'Termék'!A6</f>
        <v>168</v>
      </c>
      <c r="B4" s="162"/>
      <c r="C4" s="520">
        <f>'Termék'!C6</f>
        <v>0</v>
      </c>
      <c r="D4" s="521"/>
      <c r="E4" s="521"/>
      <c r="F4" s="521"/>
      <c r="G4" s="522"/>
      <c r="H4" t="s" s="147">
        <f>'Termék'!A4</f>
        <v>169</v>
      </c>
      <c r="I4" t="s" s="338">
        <f>IF('Termék'!B4="","",'Termék'!B4)</f>
      </c>
      <c r="J4" s="149"/>
      <c r="K4" s="151"/>
      <c r="L4" s="151"/>
      <c r="M4" s="151"/>
      <c r="N4" s="151"/>
      <c r="O4" s="151"/>
      <c r="P4" s="151"/>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4"/>
    </row>
    <row r="5" ht="15.75" customHeight="1">
      <c r="A5" t="s" s="161">
        <f>'Termék'!A7</f>
        <v>170</v>
      </c>
      <c r="B5" s="162"/>
      <c r="C5" t="s" s="523">
        <f>'Termék'!C7</f>
      </c>
      <c r="D5" s="521"/>
      <c r="E5" s="521"/>
      <c r="F5" s="521"/>
      <c r="G5" s="524"/>
      <c r="H5" s="69"/>
      <c r="I5" s="69"/>
      <c r="J5" s="151"/>
      <c r="K5" s="151"/>
      <c r="L5" s="151"/>
      <c r="M5" s="151"/>
      <c r="N5" s="151"/>
      <c r="O5" s="151"/>
      <c r="P5" s="151"/>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4"/>
    </row>
    <row r="6" ht="15.75" customHeight="1">
      <c r="A6" t="s" s="161">
        <f>'Termék'!A8</f>
        <v>133</v>
      </c>
      <c r="B6" s="162"/>
      <c r="C6" s="520">
        <f>'Termék'!C8</f>
        <v>0</v>
      </c>
      <c r="D6" s="521"/>
      <c r="E6" s="521"/>
      <c r="F6" s="521"/>
      <c r="G6" s="525"/>
      <c r="H6" s="13"/>
      <c r="I6" s="13"/>
      <c r="J6" s="151"/>
      <c r="K6" s="151"/>
      <c r="L6" s="151"/>
      <c r="M6" s="151"/>
      <c r="N6" s="151"/>
      <c r="O6" s="151"/>
      <c r="P6" s="151"/>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4"/>
    </row>
    <row r="7" ht="15.75" customHeight="1">
      <c r="A7" t="s" s="161">
        <f>'Termék'!A24</f>
        <v>171</v>
      </c>
      <c r="B7" s="162"/>
      <c r="C7" s="520">
        <f>'Termék'!C24</f>
        <v>0</v>
      </c>
      <c r="D7" s="521"/>
      <c r="E7" s="521"/>
      <c r="F7" s="521"/>
      <c r="G7" s="525"/>
      <c r="H7" s="13"/>
      <c r="I7" s="13"/>
      <c r="J7" s="151"/>
      <c r="K7" s="151"/>
      <c r="L7" s="151"/>
      <c r="M7" s="151"/>
      <c r="N7" s="151"/>
      <c r="O7" s="151"/>
      <c r="P7" s="151"/>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4"/>
    </row>
    <row r="8" ht="15.75" customHeight="1">
      <c r="A8" t="s" s="161">
        <f>'Termék'!A26</f>
        <v>172</v>
      </c>
      <c r="B8" s="162"/>
      <c r="C8" s="520">
        <f>'Termék'!C26</f>
        <v>0</v>
      </c>
      <c r="D8" s="521"/>
      <c r="E8" s="521"/>
      <c r="F8" s="521"/>
      <c r="G8" s="526"/>
      <c r="H8" s="527"/>
      <c r="I8" s="527"/>
      <c r="J8" s="527"/>
      <c r="K8" s="527"/>
      <c r="L8" s="527"/>
      <c r="M8" s="527"/>
      <c r="N8" s="151"/>
      <c r="O8" s="151"/>
      <c r="P8" s="151"/>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4"/>
    </row>
    <row r="9" ht="15" customHeight="1">
      <c r="A9" s="344"/>
      <c r="B9" s="346"/>
      <c r="C9" s="346"/>
      <c r="D9" s="346"/>
      <c r="E9" s="346"/>
      <c r="F9" s="346"/>
      <c r="G9" s="348"/>
      <c r="H9" s="348"/>
      <c r="I9" s="348"/>
      <c r="J9" s="348"/>
      <c r="K9" s="348"/>
      <c r="L9" s="342"/>
      <c r="M9" s="342"/>
      <c r="N9" s="342"/>
      <c r="O9" s="151"/>
      <c r="P9" s="151"/>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4"/>
    </row>
    <row r="10" ht="71.25" customHeight="1">
      <c r="A10" t="s" s="350">
        <f>'Alapanyagok'!A10</f>
        <v>199</v>
      </c>
      <c r="B10" t="s" s="350">
        <f>'Alapanyagok'!B10</f>
        <v>266</v>
      </c>
      <c r="C10" t="s" s="272">
        <f>'Alapanyagok_DID'!G10</f>
        <v>270</v>
      </c>
      <c r="D10" t="s" s="443">
        <f>IF('Adatlap'!$L$1='Fordítások'!C3,'Fordítások'!C51,'Fordítások'!B51)</f>
        <v>310</v>
      </c>
      <c r="E10" t="s" s="443">
        <f>IF('Adatlap'!$L$1='Fordítások'!C3,'Fordítások'!C91,'Fordítások'!B91)</f>
        <v>311</v>
      </c>
      <c r="F10" t="s" s="443">
        <f>IF('Adatlap'!$L$1='Fordítások'!C3,'Fordítások'!C97,'Fordítások'!B97)</f>
        <v>312</v>
      </c>
      <c r="G10" t="s" s="443">
        <f>IF('Adatlap'!$L$1='Fordítások'!C3,'Fordítások'!C98,'Fordítások'!B98)</f>
        <v>313</v>
      </c>
      <c r="H10" t="s" s="443">
        <f>IF('Adatlap'!$L$1='Fordítások'!C3,'Fordítások'!C43,'Fordítások'!B43)</f>
        <v>314</v>
      </c>
      <c r="I10" t="s" s="443">
        <f>IF('Adatlap'!$L$1='Fordítások'!C3,'Fordítások'!C44,'Fordítások'!B44)</f>
        <v>315</v>
      </c>
      <c r="J10" t="s" s="443">
        <v>316</v>
      </c>
      <c r="K10" t="s" s="443">
        <f>'Alapanyagok'!V10</f>
        <v>317</v>
      </c>
      <c r="L10" s="149"/>
      <c r="M10" s="151"/>
      <c r="N10" s="151"/>
      <c r="O10" s="151"/>
      <c r="P10" s="151"/>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4"/>
    </row>
    <row r="11" ht="30.75" customHeight="1">
      <c r="A11" t="s" s="359">
        <f>'Alapanyagok'!A11</f>
        <v>220</v>
      </c>
      <c r="B11" t="s" s="359">
        <f>'Alapanyagok'!B11</f>
        <v>276</v>
      </c>
      <c r="C11" t="s" s="279">
        <f>'Alapanyagok_DID'!G11</f>
        <v>228</v>
      </c>
      <c r="D11" t="s" s="528">
        <f>IF('Adatlap'!$L$1='Fordítások'!C3,'Fordítások'!C52,'Fordítások'!B52)</f>
        <v>318</v>
      </c>
      <c r="E11" t="s" s="528">
        <f>IF('Adatlap'!$L$1='Fordítások'!C3,'Fordítások'!C99,'Fordítások'!B99)</f>
        <v>319</v>
      </c>
      <c r="F11" t="s" s="528">
        <f>C11</f>
        <v>228</v>
      </c>
      <c r="G11" t="s" s="528">
        <f>C11</f>
        <v>228</v>
      </c>
      <c r="H11" t="s" s="528">
        <f>D11</f>
        <v>320</v>
      </c>
      <c r="I11" t="s" s="528">
        <f>H11</f>
        <v>320</v>
      </c>
      <c r="J11" t="s" s="528">
        <f>I11</f>
        <v>320</v>
      </c>
      <c r="K11" t="s" s="528">
        <f>J11</f>
        <v>320</v>
      </c>
      <c r="L11" s="149"/>
      <c r="M11" s="151"/>
      <c r="N11" s="151"/>
      <c r="O11" s="151"/>
      <c r="P11" s="151"/>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4"/>
    </row>
    <row r="12" ht="12.75" customHeight="1">
      <c r="A12" s="371">
        <v>1</v>
      </c>
      <c r="B12" t="s" s="529">
        <f>'Összetétel'!B12</f>
        <v>254</v>
      </c>
      <c r="C12" t="s" s="372">
        <f>'Alapanyagok_DID'!G12</f>
      </c>
      <c r="D12" t="s" s="372">
        <v>190</v>
      </c>
      <c r="E12" t="s" s="530">
        <v>190</v>
      </c>
      <c r="F12" t="s" s="530">
        <v>190</v>
      </c>
      <c r="G12" t="s" s="372">
        <v>190</v>
      </c>
      <c r="H12" t="s" s="530">
        <v>190</v>
      </c>
      <c r="I12" t="s" s="530">
        <v>190</v>
      </c>
      <c r="J12" t="s" s="530">
        <v>190</v>
      </c>
      <c r="K12" t="s" s="530">
        <v>190</v>
      </c>
      <c r="L12" s="149"/>
      <c r="M12" s="151"/>
      <c r="N12" s="151"/>
      <c r="O12" s="151"/>
      <c r="P12" s="151"/>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4"/>
    </row>
    <row r="13" ht="15.75" customHeight="1">
      <c r="A13" s="371">
        <v>2</v>
      </c>
      <c r="B13" t="s" s="531">
        <f>IF('Alapanyagok_DID'!B13="","",'Alapanyagok_DID'!B13)</f>
      </c>
      <c r="C13" t="s" s="372">
        <f>IF('Alapanyagok_DID'!G13="","",'Alapanyagok_DID'!G13)</f>
      </c>
      <c r="D13" t="s" s="372">
        <f>IF(B13="","",C13*'Termék'!$C$40/100)</f>
      </c>
      <c r="E13" t="s" s="530">
        <f>IF(B13="","",D13*'Alapanyagok_DID'!M13/'Alapanyagok_DID'!N13*1000)</f>
      </c>
      <c r="F13" t="s" s="372">
        <f>IF(OR('Alapanyagok'!Q13="N",'Alapanyagok_DID'!O13="R"),"",C13)</f>
      </c>
      <c r="G13" t="s" s="372">
        <f>IF(OR('Alapanyagok'!T13="N",'Alapanyagok_DID'!P13="Y"),"",C13)</f>
      </c>
      <c r="H13" t="s" s="372">
        <f>IF(B13="","",(IF(OR('Alapanyagok'!O13='Auswahldaten'!$A$13,'Alapanyagok_DID'!O13="R"),"",D13)))</f>
      </c>
      <c r="I13" t="s" s="372">
        <f>IF(B13="","",IF(OR('Alapanyagok'!O13='Auswahldaten'!$A$13,'Alapanyagok_DID'!Q13="Y"),"",D13))</f>
      </c>
      <c r="J13" t="s" s="372">
        <f>IF(B13="","",IF('Alapanyagok'!U13="Y",D13,""))</f>
      </c>
      <c r="K13" t="s" s="372">
        <f>IF('Alapanyagok'!V13="","",'Alapanyagok'!V13*D13/100)</f>
      </c>
      <c r="L13" s="149"/>
      <c r="M13" s="151"/>
      <c r="N13" s="151"/>
      <c r="O13" s="151"/>
      <c r="P13" s="151"/>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4"/>
    </row>
    <row r="14" ht="15.75" customHeight="1">
      <c r="A14" s="371">
        <v>3</v>
      </c>
      <c r="B14" t="s" s="531">
        <f>IF('Alapanyagok_DID'!B14="","",'Alapanyagok_DID'!B14)</f>
      </c>
      <c r="C14" t="s" s="372">
        <f>IF('Alapanyagok_DID'!G14="","",'Alapanyagok_DID'!G14)</f>
      </c>
      <c r="D14" t="s" s="372">
        <f>IF(B14="","",C14*'Termék'!$C$40/100)</f>
      </c>
      <c r="E14" t="s" s="530">
        <f>IF(B14="","",D14*'Alapanyagok_DID'!M14/'Alapanyagok_DID'!N14*1000)</f>
      </c>
      <c r="F14" t="s" s="372">
        <f>IF(OR('Alapanyagok'!Q14="N",'Alapanyagok_DID'!O14="R"),"",C14)</f>
      </c>
      <c r="G14" t="s" s="372">
        <f>IF(OR('Alapanyagok'!T14="N",'Alapanyagok_DID'!P14="Y"),"",C14)</f>
      </c>
      <c r="H14" t="s" s="372">
        <f>IF(B14="","",(IF(OR('Alapanyagok'!O14='Auswahldaten'!$A$13,'Alapanyagok_DID'!O14="R"),"",D14)))</f>
      </c>
      <c r="I14" t="s" s="372">
        <f>IF(B14="","",IF(OR('Alapanyagok'!O14='Auswahldaten'!$A$13,'Alapanyagok_DID'!Q14="Y"),"",D14))</f>
      </c>
      <c r="J14" t="s" s="372">
        <f>IF(B14="","",IF('Alapanyagok'!U14="Y",D14,""))</f>
      </c>
      <c r="K14" t="s" s="372">
        <f>IF('Alapanyagok'!V14="","",'Alapanyagok'!V14*D14/100)</f>
      </c>
      <c r="L14" s="149"/>
      <c r="M14" s="151"/>
      <c r="N14" s="151"/>
      <c r="O14" s="151"/>
      <c r="P14" s="151"/>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4"/>
    </row>
    <row r="15" ht="15.75" customHeight="1">
      <c r="A15" s="371">
        <v>4</v>
      </c>
      <c r="B15" t="s" s="531">
        <f>IF('Alapanyagok_DID'!B15="","",'Alapanyagok_DID'!B15)</f>
      </c>
      <c r="C15" t="s" s="372">
        <f>IF('Alapanyagok_DID'!G15="","",'Alapanyagok_DID'!G15)</f>
      </c>
      <c r="D15" t="s" s="372">
        <f>IF(B15="","",C15*'Termék'!$C$40/100)</f>
      </c>
      <c r="E15" t="s" s="530">
        <f>IF(B15="","",D15*'Alapanyagok_DID'!M15/'Alapanyagok_DID'!N15*1000)</f>
      </c>
      <c r="F15" t="s" s="372">
        <f>IF(OR('Alapanyagok'!Q15="N",'Alapanyagok_DID'!O15="R"),"",C15)</f>
      </c>
      <c r="G15" t="s" s="372">
        <f>IF(OR('Alapanyagok'!T15="N",'Alapanyagok_DID'!P15="Y"),"",C15)</f>
      </c>
      <c r="H15" t="s" s="372">
        <f>IF(B15="","",(IF(OR('Alapanyagok'!O15='Auswahldaten'!$A$13,'Alapanyagok_DID'!O15="R"),"",D15)))</f>
      </c>
      <c r="I15" t="s" s="372">
        <f>IF(B15="","",IF(OR('Alapanyagok'!O15='Auswahldaten'!$A$13,'Alapanyagok_DID'!Q15="Y"),"",D15))</f>
      </c>
      <c r="J15" t="s" s="372">
        <f>IF(B15="","",IF('Alapanyagok'!U15="Y",D15,""))</f>
      </c>
      <c r="K15" t="s" s="372">
        <f>IF('Alapanyagok'!V15="","",'Alapanyagok'!V15*D15/100)</f>
      </c>
      <c r="L15" s="149"/>
      <c r="M15" s="151"/>
      <c r="N15" s="151"/>
      <c r="O15" s="151"/>
      <c r="P15" s="151"/>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4"/>
    </row>
    <row r="16" ht="15.75" customHeight="1">
      <c r="A16" s="371">
        <v>5</v>
      </c>
      <c r="B16" t="s" s="531">
        <f>IF('Alapanyagok_DID'!B16="","",'Alapanyagok_DID'!B16)</f>
      </c>
      <c r="C16" t="s" s="372">
        <f>IF('Alapanyagok_DID'!G16="","",'Alapanyagok_DID'!G16)</f>
      </c>
      <c r="D16" t="s" s="372">
        <f>IF(B16="","",C16*'Termék'!$C$40/100)</f>
      </c>
      <c r="E16" t="s" s="530">
        <f>IF(B16="","",D16*'Alapanyagok_DID'!M16/'Alapanyagok_DID'!N16*1000)</f>
      </c>
      <c r="F16" t="s" s="372">
        <f>IF(OR('Alapanyagok'!Q16="N",'Alapanyagok_DID'!O16="R"),"",C16)</f>
      </c>
      <c r="G16" t="s" s="372">
        <f>IF(OR('Alapanyagok'!T16="N",'Alapanyagok_DID'!P16="Y"),"",C16)</f>
      </c>
      <c r="H16" t="s" s="372">
        <f>IF(B16="","",(IF(OR('Alapanyagok'!O16='Auswahldaten'!$A$13,'Alapanyagok_DID'!O16="R"),"",D16)))</f>
      </c>
      <c r="I16" t="s" s="372">
        <f>IF(B16="","",IF(OR('Alapanyagok'!O16='Auswahldaten'!$A$13,'Alapanyagok_DID'!Q16="Y"),"",D16))</f>
      </c>
      <c r="J16" t="s" s="372">
        <f>IF(B16="","",IF('Alapanyagok'!U16="Y",D16,""))</f>
      </c>
      <c r="K16" t="s" s="372">
        <f>IF('Alapanyagok'!V16="","",'Alapanyagok'!V16*D16/100)</f>
      </c>
      <c r="L16" s="149"/>
      <c r="M16" s="151"/>
      <c r="N16" s="151"/>
      <c r="O16" s="151"/>
      <c r="P16" s="151"/>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4"/>
    </row>
    <row r="17" ht="15.75" customHeight="1">
      <c r="A17" s="371">
        <v>6</v>
      </c>
      <c r="B17" t="s" s="531">
        <f>IF('Alapanyagok_DID'!B17="","",'Alapanyagok_DID'!B17)</f>
      </c>
      <c r="C17" t="s" s="372">
        <f>IF('Alapanyagok_DID'!G17="","",'Alapanyagok_DID'!G17)</f>
      </c>
      <c r="D17" t="s" s="372">
        <f>IF(B17="","",C17*'Termék'!$C$40/100)</f>
      </c>
      <c r="E17" t="s" s="530">
        <f>IF(B17="","",D17*'Alapanyagok_DID'!M17/'Alapanyagok_DID'!N17*1000)</f>
      </c>
      <c r="F17" t="s" s="372">
        <f>IF(OR('Alapanyagok'!Q17="N",'Alapanyagok_DID'!O17="R"),"",C17)</f>
      </c>
      <c r="G17" t="s" s="372">
        <f>IF(OR('Alapanyagok'!T17="N",'Alapanyagok_DID'!P17="Y"),"",C17)</f>
      </c>
      <c r="H17" t="s" s="372">
        <f>IF(B17="","",(IF(OR('Alapanyagok'!O17='Auswahldaten'!$A$13,'Alapanyagok_DID'!O17="R"),"",D17)))</f>
      </c>
      <c r="I17" t="s" s="372">
        <f>IF(B17="","",IF(OR('Alapanyagok'!O17='Auswahldaten'!$A$13,'Alapanyagok_DID'!Q17="Y"),"",D17))</f>
      </c>
      <c r="J17" t="s" s="372">
        <f>IF(B17="","",IF('Alapanyagok'!U17="Y",D17,""))</f>
      </c>
      <c r="K17" t="s" s="372">
        <f>IF('Alapanyagok'!V17="","",'Alapanyagok'!V17*D17/100)</f>
      </c>
      <c r="L17" s="149"/>
      <c r="M17" s="151"/>
      <c r="N17" s="151"/>
      <c r="O17" s="151"/>
      <c r="P17" s="151"/>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4"/>
    </row>
    <row r="18" ht="15.75" customHeight="1">
      <c r="A18" s="371">
        <v>7</v>
      </c>
      <c r="B18" t="s" s="531">
        <f>IF('Alapanyagok_DID'!B18="","",'Alapanyagok_DID'!B18)</f>
      </c>
      <c r="C18" t="s" s="372">
        <f>IF('Alapanyagok_DID'!G18="","",'Alapanyagok_DID'!G18)</f>
      </c>
      <c r="D18" t="s" s="372">
        <f>IF(B18="","",C18*'Termék'!$C$40/100)</f>
      </c>
      <c r="E18" t="s" s="530">
        <f>IF(B18="","",D18*'Alapanyagok_DID'!M18/'Alapanyagok_DID'!N18*1000)</f>
      </c>
      <c r="F18" t="s" s="372">
        <f>IF(OR('Alapanyagok'!Q18="N",'Alapanyagok_DID'!O18="R"),"",C18)</f>
      </c>
      <c r="G18" t="s" s="372">
        <f>IF(OR('Alapanyagok'!T18="N",'Alapanyagok_DID'!P18="Y"),"",C18)</f>
      </c>
      <c r="H18" t="s" s="372">
        <f>IF(B18="","",(IF(OR('Alapanyagok'!O18='Auswahldaten'!$A$13,'Alapanyagok_DID'!O18="R"),"",D18)))</f>
      </c>
      <c r="I18" t="s" s="372">
        <f>IF(B18="","",IF(OR('Alapanyagok'!O18='Auswahldaten'!$A$13,'Alapanyagok_DID'!Q18="Y"),"",D18))</f>
      </c>
      <c r="J18" t="s" s="372">
        <f>IF(B18="","",IF('Alapanyagok'!U18="Y",D18,""))</f>
      </c>
      <c r="K18" t="s" s="372">
        <f>IF('Alapanyagok'!V18="","",'Alapanyagok'!V18*D18/100)</f>
      </c>
      <c r="L18" s="149"/>
      <c r="M18" s="151"/>
      <c r="N18" s="151"/>
      <c r="O18" s="151"/>
      <c r="P18" s="151"/>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4"/>
    </row>
    <row r="19" ht="15.75" customHeight="1">
      <c r="A19" s="371">
        <v>8</v>
      </c>
      <c r="B19" t="s" s="531">
        <f>IF('Alapanyagok_DID'!B19="","",'Alapanyagok_DID'!B19)</f>
      </c>
      <c r="C19" t="s" s="372">
        <f>IF('Alapanyagok_DID'!G19="","",'Alapanyagok_DID'!G19)</f>
      </c>
      <c r="D19" t="s" s="372">
        <f>IF(B19="","",C19*'Termék'!$C$40/100)</f>
      </c>
      <c r="E19" t="s" s="530">
        <f>IF(B19="","",D19*'Alapanyagok_DID'!M19/'Alapanyagok_DID'!N19*1000)</f>
      </c>
      <c r="F19" t="s" s="372">
        <f>IF(OR('Alapanyagok'!Q19="N",'Alapanyagok_DID'!O19="R"),"",C19)</f>
      </c>
      <c r="G19" t="s" s="372">
        <f>IF(OR('Alapanyagok'!T19="N",'Alapanyagok_DID'!P19="Y"),"",C19)</f>
      </c>
      <c r="H19" t="s" s="372">
        <f>IF(B19="","",(IF(OR('Alapanyagok'!O19='Auswahldaten'!$A$13,'Alapanyagok_DID'!O19="R"),"",D19)))</f>
      </c>
      <c r="I19" t="s" s="372">
        <f>IF(B19="","",IF(OR('Alapanyagok'!O19='Auswahldaten'!$A$13,'Alapanyagok_DID'!Q19="Y"),"",D19))</f>
      </c>
      <c r="J19" t="s" s="372">
        <f>IF(B19="","",IF('Alapanyagok'!U19="Y",D19,""))</f>
      </c>
      <c r="K19" t="s" s="372">
        <f>IF('Alapanyagok'!V19="","",'Alapanyagok'!V19*D19/100)</f>
      </c>
      <c r="L19" s="149"/>
      <c r="M19" s="151"/>
      <c r="N19" s="151"/>
      <c r="O19" s="151"/>
      <c r="P19" s="151"/>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4"/>
    </row>
    <row r="20" ht="15.75" customHeight="1">
      <c r="A20" s="371">
        <v>9</v>
      </c>
      <c r="B20" t="s" s="531">
        <f>IF('Alapanyagok_DID'!B20="","",'Alapanyagok_DID'!B20)</f>
      </c>
      <c r="C20" t="s" s="372">
        <f>IF('Alapanyagok_DID'!G20="","",'Alapanyagok_DID'!G20)</f>
      </c>
      <c r="D20" t="s" s="372">
        <f>IF(B20="","",C20*'Termék'!$C$40/100)</f>
      </c>
      <c r="E20" t="s" s="530">
        <f>IF(B20="","",D20*'Alapanyagok_DID'!M20/'Alapanyagok_DID'!N20*1000)</f>
      </c>
      <c r="F20" t="s" s="372">
        <f>IF(OR('Alapanyagok'!Q20="N",'Alapanyagok_DID'!O20="R"),"",C20)</f>
      </c>
      <c r="G20" t="s" s="372">
        <f>IF(OR('Alapanyagok'!T20="N",'Alapanyagok_DID'!P20="Y"),"",C20)</f>
      </c>
      <c r="H20" t="s" s="372">
        <f>IF(B20="","",(IF(OR('Alapanyagok'!O20='Auswahldaten'!$A$13,'Alapanyagok_DID'!O20="R"),"",D20)))</f>
      </c>
      <c r="I20" t="s" s="372">
        <f>IF(B20="","",IF(OR('Alapanyagok'!O20='Auswahldaten'!$A$13,'Alapanyagok_DID'!Q20="Y"),"",D20))</f>
      </c>
      <c r="J20" t="s" s="372">
        <f>IF(B20="","",IF('Alapanyagok'!U20="Y",D20,""))</f>
      </c>
      <c r="K20" t="s" s="372">
        <f>IF('Alapanyagok'!V20="","",'Alapanyagok'!V20*D20/100)</f>
      </c>
      <c r="L20" s="149"/>
      <c r="M20" s="151"/>
      <c r="N20" s="151"/>
      <c r="O20" s="151"/>
      <c r="P20" s="151"/>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4"/>
    </row>
    <row r="21" ht="15.75" customHeight="1">
      <c r="A21" s="371">
        <v>10</v>
      </c>
      <c r="B21" t="s" s="531">
        <f>IF('Alapanyagok_DID'!B21="","",'Alapanyagok_DID'!B21)</f>
      </c>
      <c r="C21" t="s" s="372">
        <f>IF('Alapanyagok_DID'!G21="","",'Alapanyagok_DID'!G21)</f>
      </c>
      <c r="D21" t="s" s="372">
        <f>IF(B21="","",C21*'Termék'!$C$40/100)</f>
      </c>
      <c r="E21" t="s" s="530">
        <f>IF(B21="","",D21*'Alapanyagok_DID'!M21/'Alapanyagok_DID'!N21*1000)</f>
      </c>
      <c r="F21" t="s" s="372">
        <f>IF(OR('Alapanyagok'!Q21="N",'Alapanyagok_DID'!O21="R"),"",C21)</f>
      </c>
      <c r="G21" t="s" s="372">
        <f>IF(OR('Alapanyagok'!T21="N",'Alapanyagok_DID'!P21="Y"),"",C21)</f>
      </c>
      <c r="H21" t="s" s="372">
        <f>IF(B21="","",(IF(OR('Alapanyagok'!O21='Auswahldaten'!$A$13,'Alapanyagok_DID'!O21="R"),"",D21)))</f>
      </c>
      <c r="I21" t="s" s="372">
        <f>IF(B21="","",IF(OR('Alapanyagok'!O21='Auswahldaten'!$A$13,'Alapanyagok_DID'!Q21="Y"),"",D21))</f>
      </c>
      <c r="J21" t="s" s="372">
        <f>IF(B21="","",IF('Alapanyagok'!U21="Y",D21,""))</f>
      </c>
      <c r="K21" t="s" s="372">
        <f>IF('Alapanyagok'!V21="","",'Alapanyagok'!V21*D21/100)</f>
      </c>
      <c r="L21" s="149"/>
      <c r="M21" s="151"/>
      <c r="N21" s="151"/>
      <c r="O21" s="151"/>
      <c r="P21" s="151"/>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4"/>
    </row>
    <row r="22" ht="15.75" customHeight="1">
      <c r="A22" s="371">
        <v>11</v>
      </c>
      <c r="B22" t="s" s="531">
        <f>IF('Alapanyagok_DID'!B22="","",'Alapanyagok_DID'!B22)</f>
      </c>
      <c r="C22" t="s" s="372">
        <f>IF('Alapanyagok_DID'!G22="","",'Alapanyagok_DID'!G22)</f>
      </c>
      <c r="D22" t="s" s="372">
        <f>IF(B22="","",C22*'Termék'!$C$40/100)</f>
      </c>
      <c r="E22" t="s" s="530">
        <f>IF(B22="","",D22*'Alapanyagok_DID'!M22/'Alapanyagok_DID'!N22*1000)</f>
      </c>
      <c r="F22" t="s" s="372">
        <f>IF(OR('Alapanyagok'!Q22="N",'Alapanyagok_DID'!O22="R"),"",C22)</f>
      </c>
      <c r="G22" t="s" s="372">
        <f>IF(OR('Alapanyagok'!T22="N",'Alapanyagok_DID'!P22="Y"),"",C22)</f>
      </c>
      <c r="H22" t="s" s="372">
        <f>IF(B22="","",(IF(OR('Alapanyagok'!O22='Auswahldaten'!$A$13,'Alapanyagok_DID'!O22="R"),"",D22)))</f>
      </c>
      <c r="I22" t="s" s="372">
        <f>IF(B22="","",IF(OR('Alapanyagok'!O22='Auswahldaten'!$A$13,'Alapanyagok_DID'!Q22="Y"),"",D22))</f>
      </c>
      <c r="J22" t="s" s="372">
        <f>IF(B22="","",IF('Alapanyagok'!U22="Y",D22,""))</f>
      </c>
      <c r="K22" t="s" s="372">
        <f>IF('Alapanyagok'!V22="","",'Alapanyagok'!V22*D22/100)</f>
      </c>
      <c r="L22" s="149"/>
      <c r="M22" s="151"/>
      <c r="N22" s="151"/>
      <c r="O22" s="151"/>
      <c r="P22" s="151"/>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4"/>
    </row>
    <row r="23" ht="15.75" customHeight="1">
      <c r="A23" s="371">
        <v>12</v>
      </c>
      <c r="B23" t="s" s="531">
        <f>IF('Alapanyagok_DID'!B23="","",'Alapanyagok_DID'!B23)</f>
      </c>
      <c r="C23" t="s" s="372">
        <f>IF('Alapanyagok_DID'!G23="","",'Alapanyagok_DID'!G23)</f>
      </c>
      <c r="D23" t="s" s="372">
        <f>IF(B23="","",C23*'Termék'!$C$40/100)</f>
      </c>
      <c r="E23" t="s" s="530">
        <f>IF(B23="","",D23*'Alapanyagok_DID'!M23/'Alapanyagok_DID'!N23*1000)</f>
      </c>
      <c r="F23" t="s" s="372">
        <f>IF(OR('Alapanyagok'!Q23="N",'Alapanyagok_DID'!O23="R"),"",C23)</f>
      </c>
      <c r="G23" t="s" s="372">
        <f>IF(OR('Alapanyagok'!T23="N",'Alapanyagok_DID'!P23="Y"),"",C23)</f>
      </c>
      <c r="H23" t="s" s="372">
        <f>IF(B23="","",(IF(OR('Alapanyagok'!O23='Auswahldaten'!$A$13,'Alapanyagok_DID'!O23="R"),"",D23)))</f>
      </c>
      <c r="I23" t="s" s="372">
        <f>IF(B23="","",IF(OR('Alapanyagok'!O23='Auswahldaten'!$A$13,'Alapanyagok_DID'!Q23="Y"),"",D23))</f>
      </c>
      <c r="J23" t="s" s="372">
        <f>IF(B23="","",IF('Alapanyagok'!U23="Y",D23,""))</f>
      </c>
      <c r="K23" t="s" s="372">
        <f>IF('Alapanyagok'!V23="","",'Alapanyagok'!V23*D23/100)</f>
      </c>
      <c r="L23" s="149"/>
      <c r="M23" s="151"/>
      <c r="N23" s="151"/>
      <c r="O23" s="151"/>
      <c r="P23" s="151"/>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4"/>
    </row>
    <row r="24" ht="15.75" customHeight="1">
      <c r="A24" s="371">
        <v>13</v>
      </c>
      <c r="B24" t="s" s="531">
        <f>IF('Alapanyagok_DID'!B24="","",'Alapanyagok_DID'!B24)</f>
      </c>
      <c r="C24" t="s" s="372">
        <f>IF('Alapanyagok_DID'!G24="","",'Alapanyagok_DID'!G24)</f>
      </c>
      <c r="D24" t="s" s="372">
        <f>IF(B24="","",C24*'Termék'!$C$40/100)</f>
      </c>
      <c r="E24" t="s" s="530">
        <f>IF(B24="","",D24*'Alapanyagok_DID'!M24/'Alapanyagok_DID'!N24*1000)</f>
      </c>
      <c r="F24" t="s" s="372">
        <f>IF(OR('Alapanyagok'!Q24="N",'Alapanyagok_DID'!O24="R"),"",C24)</f>
      </c>
      <c r="G24" t="s" s="372">
        <f>IF(OR('Alapanyagok'!T24="N",'Alapanyagok_DID'!P24="Y"),"",C24)</f>
      </c>
      <c r="H24" t="s" s="372">
        <f>IF(B24="","",(IF(OR('Alapanyagok'!O24='Auswahldaten'!$A$13,'Alapanyagok_DID'!O24="R"),"",D24)))</f>
      </c>
      <c r="I24" t="s" s="372">
        <f>IF(B24="","",IF(OR('Alapanyagok'!O24='Auswahldaten'!$A$13,'Alapanyagok_DID'!Q24="Y"),"",D24))</f>
      </c>
      <c r="J24" t="s" s="372">
        <f>IF(B24="","",IF('Alapanyagok'!U24="Y",D24,""))</f>
      </c>
      <c r="K24" t="s" s="372">
        <f>IF('Alapanyagok'!V24="","",'Alapanyagok'!V24*D24/100)</f>
      </c>
      <c r="L24" s="149"/>
      <c r="M24" s="151"/>
      <c r="N24" s="151"/>
      <c r="O24" s="151"/>
      <c r="P24" s="151"/>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4"/>
    </row>
    <row r="25" ht="15.75" customHeight="1">
      <c r="A25" s="371">
        <v>14</v>
      </c>
      <c r="B25" t="s" s="531">
        <f>IF('Alapanyagok_DID'!B25="","",'Alapanyagok_DID'!B25)</f>
      </c>
      <c r="C25" t="s" s="372">
        <f>IF('Alapanyagok_DID'!G25="","",'Alapanyagok_DID'!G25)</f>
      </c>
      <c r="D25" t="s" s="372">
        <f>IF(B25="","",C25*'Termék'!$C$40/100)</f>
      </c>
      <c r="E25" t="s" s="530">
        <f>IF(B25="","",D25*'Alapanyagok_DID'!M25/'Alapanyagok_DID'!N25*1000)</f>
      </c>
      <c r="F25" t="s" s="372">
        <f>IF(OR('Alapanyagok'!Q25="N",'Alapanyagok_DID'!O25="R"),"",C25)</f>
      </c>
      <c r="G25" t="s" s="372">
        <f>IF(OR('Alapanyagok'!T25="N",'Alapanyagok_DID'!P25="Y"),"",C25)</f>
      </c>
      <c r="H25" t="s" s="372">
        <f>IF(B25="","",(IF(OR('Alapanyagok'!O25='Auswahldaten'!$A$13,'Alapanyagok_DID'!O25="R"),"",D25)))</f>
      </c>
      <c r="I25" t="s" s="372">
        <f>IF(B25="","",IF(OR('Alapanyagok'!O25='Auswahldaten'!$A$13,'Alapanyagok_DID'!Q25="Y"),"",D25))</f>
      </c>
      <c r="J25" t="s" s="372">
        <f>IF(B25="","",IF('Alapanyagok'!U25="Y",D25,""))</f>
      </c>
      <c r="K25" t="s" s="372">
        <f>IF('Alapanyagok'!V25="","",'Alapanyagok'!V25*D25/100)</f>
      </c>
      <c r="L25" s="149"/>
      <c r="M25" s="151"/>
      <c r="N25" s="151"/>
      <c r="O25" s="151"/>
      <c r="P25" s="151"/>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4"/>
    </row>
    <row r="26" ht="15.75" customHeight="1">
      <c r="A26" s="371">
        <v>15</v>
      </c>
      <c r="B26" t="s" s="531">
        <f>IF('Alapanyagok_DID'!B26="","",'Alapanyagok_DID'!B26)</f>
      </c>
      <c r="C26" t="s" s="372">
        <f>IF('Alapanyagok_DID'!G26="","",'Alapanyagok_DID'!G26)</f>
      </c>
      <c r="D26" t="s" s="372">
        <f>IF(B26="","",C26*'Termék'!$C$40/100)</f>
      </c>
      <c r="E26" t="s" s="530">
        <f>IF(B26="","",D26*'Alapanyagok_DID'!M26/'Alapanyagok_DID'!N26*1000)</f>
      </c>
      <c r="F26" t="s" s="372">
        <f>IF(OR('Alapanyagok'!Q26="N",'Alapanyagok_DID'!O26="R"),"",C26)</f>
      </c>
      <c r="G26" t="s" s="372">
        <f>IF(OR('Alapanyagok'!T26="N",'Alapanyagok_DID'!P26="Y"),"",C26)</f>
      </c>
      <c r="H26" t="s" s="372">
        <f>IF(B26="","",(IF(OR('Alapanyagok'!O26='Auswahldaten'!$A$13,'Alapanyagok_DID'!O26="R"),"",D26)))</f>
      </c>
      <c r="I26" t="s" s="372">
        <f>IF(B26="","",IF(OR('Alapanyagok'!O26='Auswahldaten'!$A$13,'Alapanyagok_DID'!Q26="Y"),"",D26))</f>
      </c>
      <c r="J26" t="s" s="372">
        <f>IF(B26="","",IF('Alapanyagok'!U26="Y",D26,""))</f>
      </c>
      <c r="K26" t="s" s="372">
        <f>IF('Alapanyagok'!V26="","",'Alapanyagok'!V26*D26/100)</f>
      </c>
      <c r="L26" s="149"/>
      <c r="M26" s="151"/>
      <c r="N26" s="151"/>
      <c r="O26" s="151"/>
      <c r="P26" s="151"/>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4"/>
    </row>
    <row r="27" ht="15.75" customHeight="1">
      <c r="A27" s="371">
        <v>16</v>
      </c>
      <c r="B27" t="s" s="531">
        <f>IF('Alapanyagok_DID'!B27="","",'Alapanyagok_DID'!B27)</f>
      </c>
      <c r="C27" t="s" s="372">
        <f>IF('Alapanyagok_DID'!G27="","",'Alapanyagok_DID'!G27)</f>
      </c>
      <c r="D27" t="s" s="372">
        <f>IF(B27="","",C27*'Termék'!$C$40/100)</f>
      </c>
      <c r="E27" t="s" s="530">
        <f>IF(B27="","",D27*'Alapanyagok_DID'!M27/'Alapanyagok_DID'!N27*1000)</f>
      </c>
      <c r="F27" t="s" s="372">
        <f>IF(OR('Alapanyagok'!Q27="N",'Alapanyagok_DID'!O27="R"),"",C27)</f>
      </c>
      <c r="G27" t="s" s="372">
        <f>IF(OR('Alapanyagok'!T27="N",'Alapanyagok_DID'!P27="Y"),"",C27)</f>
      </c>
      <c r="H27" t="s" s="372">
        <f>IF(B27="","",(IF(OR('Alapanyagok'!O27='Auswahldaten'!$A$13,'Alapanyagok_DID'!O27="R"),"",D27)))</f>
      </c>
      <c r="I27" t="s" s="372">
        <f>IF(B27="","",IF(OR('Alapanyagok'!O27='Auswahldaten'!$A$13,'Alapanyagok_DID'!Q27="Y"),"",D27))</f>
      </c>
      <c r="J27" t="s" s="372">
        <f>IF(B27="","",IF('Alapanyagok'!U27="Y",D27,""))</f>
      </c>
      <c r="K27" t="s" s="372">
        <f>IF('Alapanyagok'!V27="","",'Alapanyagok'!V27*D27/100)</f>
      </c>
      <c r="L27" s="149"/>
      <c r="M27" s="151"/>
      <c r="N27" s="151"/>
      <c r="O27" s="151"/>
      <c r="P27" s="151"/>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4"/>
    </row>
    <row r="28" ht="15.75" customHeight="1">
      <c r="A28" s="371">
        <v>17</v>
      </c>
      <c r="B28" t="s" s="531">
        <f>IF('Alapanyagok_DID'!B28="","",'Alapanyagok_DID'!B28)</f>
      </c>
      <c r="C28" t="s" s="372">
        <f>IF('Alapanyagok_DID'!G28="","",'Alapanyagok_DID'!G28)</f>
      </c>
      <c r="D28" t="s" s="372">
        <f>IF(B28="","",C28*'Termék'!$C$40/100)</f>
      </c>
      <c r="E28" t="s" s="530">
        <f>IF(B28="","",D28*'Alapanyagok_DID'!M28/'Alapanyagok_DID'!N28*1000)</f>
      </c>
      <c r="F28" t="s" s="372">
        <f>IF(OR('Alapanyagok'!Q28="N",'Alapanyagok_DID'!O28="R"),"",C28)</f>
      </c>
      <c r="G28" t="s" s="372">
        <f>IF(OR('Alapanyagok'!T28="N",'Alapanyagok_DID'!P28="Y"),"",C28)</f>
      </c>
      <c r="H28" t="s" s="372">
        <f>IF(B28="","",(IF(OR('Alapanyagok'!O28='Auswahldaten'!$A$13,'Alapanyagok_DID'!O28="R"),"",D28)))</f>
      </c>
      <c r="I28" t="s" s="372">
        <f>IF(B28="","",IF(OR('Alapanyagok'!O28='Auswahldaten'!$A$13,'Alapanyagok_DID'!Q28="Y"),"",D28))</f>
      </c>
      <c r="J28" t="s" s="372">
        <f>IF(B28="","",IF('Alapanyagok'!U28="Y",D28,""))</f>
      </c>
      <c r="K28" t="s" s="372">
        <f>IF('Alapanyagok'!V28="","",'Alapanyagok'!V28*D28/100)</f>
      </c>
      <c r="L28" s="149"/>
      <c r="M28" s="151"/>
      <c r="N28" s="151"/>
      <c r="O28" s="151"/>
      <c r="P28" s="151"/>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4"/>
    </row>
    <row r="29" ht="15.75" customHeight="1">
      <c r="A29" s="371">
        <v>18</v>
      </c>
      <c r="B29" t="s" s="531">
        <f>IF('Alapanyagok_DID'!B29="","",'Alapanyagok_DID'!B29)</f>
      </c>
      <c r="C29" t="s" s="372">
        <f>IF('Alapanyagok_DID'!G29="","",'Alapanyagok_DID'!G29)</f>
      </c>
      <c r="D29" t="s" s="372">
        <f>IF(B29="","",C29*'Termék'!$C$40/100)</f>
      </c>
      <c r="E29" t="s" s="530">
        <f>IF(B29="","",D29*'Alapanyagok_DID'!M29/'Alapanyagok_DID'!N29*1000)</f>
      </c>
      <c r="F29" t="s" s="372">
        <f>IF(OR('Alapanyagok'!Q29="N",'Alapanyagok_DID'!O29="R"),"",C29)</f>
      </c>
      <c r="G29" t="s" s="372">
        <f>IF(OR('Alapanyagok'!T29="N",'Alapanyagok_DID'!P29="Y"),"",C29)</f>
      </c>
      <c r="H29" t="s" s="372">
        <f>IF(B29="","",(IF(OR('Alapanyagok'!O29='Auswahldaten'!$A$13,'Alapanyagok_DID'!O29="R"),"",D29)))</f>
      </c>
      <c r="I29" t="s" s="372">
        <f>IF(B29="","",IF(OR('Alapanyagok'!O29='Auswahldaten'!$A$13,'Alapanyagok_DID'!Q29="Y"),"",D29))</f>
      </c>
      <c r="J29" t="s" s="372">
        <f>IF(B29="","",IF('Alapanyagok'!U29="Y",D29,""))</f>
      </c>
      <c r="K29" t="s" s="372">
        <f>IF('Alapanyagok'!V29="","",'Alapanyagok'!V29*D29/100)</f>
      </c>
      <c r="L29" s="149"/>
      <c r="M29" s="151"/>
      <c r="N29" s="151"/>
      <c r="O29" s="151"/>
      <c r="P29" s="151"/>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4"/>
    </row>
    <row r="30" ht="15.75" customHeight="1">
      <c r="A30" s="371">
        <v>19</v>
      </c>
      <c r="B30" t="s" s="531">
        <f>IF('Alapanyagok_DID'!B30="","",'Alapanyagok_DID'!B30)</f>
      </c>
      <c r="C30" t="s" s="372">
        <f>IF('Alapanyagok_DID'!G30="","",'Alapanyagok_DID'!G30)</f>
      </c>
      <c r="D30" t="s" s="372">
        <f>IF(B30="","",C30*'Termék'!$C$40/100)</f>
      </c>
      <c r="E30" t="s" s="530">
        <f>IF(B30="","",D30*'Alapanyagok_DID'!M30/'Alapanyagok_DID'!N30*1000)</f>
      </c>
      <c r="F30" t="s" s="372">
        <f>IF(OR('Alapanyagok'!Q30="N",'Alapanyagok_DID'!O30="R"),"",C30)</f>
      </c>
      <c r="G30" t="s" s="372">
        <f>IF(OR('Alapanyagok'!T30="N",'Alapanyagok_DID'!P30="Y"),"",C30)</f>
      </c>
      <c r="H30" t="s" s="372">
        <f>IF(B30="","",(IF(OR('Alapanyagok'!O30='Auswahldaten'!$A$13,'Alapanyagok_DID'!O30="R"),"",D30)))</f>
      </c>
      <c r="I30" t="s" s="372">
        <f>IF(B30="","",IF(OR('Alapanyagok'!O30='Auswahldaten'!$A$13,'Alapanyagok_DID'!Q30="Y"),"",D30))</f>
      </c>
      <c r="J30" t="s" s="372">
        <f>IF(B30="","",IF('Alapanyagok'!U30="Y",D30,""))</f>
      </c>
      <c r="K30" t="s" s="372">
        <f>IF('Alapanyagok'!V30="","",'Alapanyagok'!V30*D30/100)</f>
      </c>
      <c r="L30" s="149"/>
      <c r="M30" s="151"/>
      <c r="N30" s="151"/>
      <c r="O30" s="151"/>
      <c r="P30" s="151"/>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4"/>
    </row>
    <row r="31" ht="15.75" customHeight="1">
      <c r="A31" s="371">
        <v>20</v>
      </c>
      <c r="B31" t="s" s="531">
        <f>IF('Alapanyagok_DID'!B31="","",'Alapanyagok_DID'!B31)</f>
      </c>
      <c r="C31" t="s" s="372">
        <f>IF('Alapanyagok_DID'!G31="","",'Alapanyagok_DID'!G31)</f>
      </c>
      <c r="D31" t="s" s="372">
        <f>IF(B31="","",C31*'Termék'!$C$40/100)</f>
      </c>
      <c r="E31" t="s" s="530">
        <f>IF(B31="","",D31*'Alapanyagok_DID'!M31/'Alapanyagok_DID'!N31*1000)</f>
      </c>
      <c r="F31" t="s" s="372">
        <f>IF(OR('Alapanyagok'!Q31="N",'Alapanyagok_DID'!O31="R"),"",C31)</f>
      </c>
      <c r="G31" t="s" s="372">
        <f>IF(OR('Alapanyagok'!T31="N",'Alapanyagok_DID'!P31="Y"),"",C31)</f>
      </c>
      <c r="H31" t="s" s="372">
        <f>IF(B31="","",(IF(OR('Alapanyagok'!O31='Auswahldaten'!$A$13,'Alapanyagok_DID'!O31="R"),"",D31)))</f>
      </c>
      <c r="I31" t="s" s="372">
        <f>IF(B31="","",IF(OR('Alapanyagok'!O31='Auswahldaten'!$A$13,'Alapanyagok_DID'!Q31="Y"),"",D31))</f>
      </c>
      <c r="J31" t="s" s="372">
        <f>IF(B31="","",IF('Alapanyagok'!U31="Y",D31,""))</f>
      </c>
      <c r="K31" t="s" s="372">
        <f>IF('Alapanyagok'!V31="","",'Alapanyagok'!V31*D31/100)</f>
      </c>
      <c r="L31" s="149"/>
      <c r="M31" s="151"/>
      <c r="N31" s="151"/>
      <c r="O31" s="151"/>
      <c r="P31" s="151"/>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4"/>
    </row>
    <row r="32" ht="15.75" customHeight="1">
      <c r="A32" s="371">
        <v>21</v>
      </c>
      <c r="B32" t="s" s="531">
        <f>IF('Alapanyagok_DID'!B32="","",'Alapanyagok_DID'!B32)</f>
      </c>
      <c r="C32" t="s" s="372">
        <f>IF('Alapanyagok_DID'!G32="","",'Alapanyagok_DID'!G32)</f>
      </c>
      <c r="D32" t="s" s="372">
        <f>IF(B32="","",C32*'Termék'!$C$40/100)</f>
      </c>
      <c r="E32" t="s" s="530">
        <f>IF(B32="","",D32*'Alapanyagok_DID'!M32/'Alapanyagok_DID'!N32*1000)</f>
      </c>
      <c r="F32" t="s" s="372">
        <f>IF(OR('Alapanyagok'!Q32="N",'Alapanyagok_DID'!O32="R"),"",C32)</f>
      </c>
      <c r="G32" t="s" s="372">
        <f>IF(OR('Alapanyagok'!T32="N",'Alapanyagok_DID'!P32="Y"),"",C32)</f>
      </c>
      <c r="H32" t="s" s="372">
        <f>IF(B32="","",(IF(OR('Alapanyagok'!O32='Auswahldaten'!$A$13,'Alapanyagok_DID'!O32="R"),"",D32)))</f>
      </c>
      <c r="I32" t="s" s="372">
        <f>IF(B32="","",IF(OR('Alapanyagok'!O32='Auswahldaten'!$A$13,'Alapanyagok_DID'!Q32="Y"),"",D32))</f>
      </c>
      <c r="J32" t="s" s="372">
        <f>IF(B32="","",IF('Alapanyagok'!U32="Y",D32,""))</f>
      </c>
      <c r="K32" t="s" s="372">
        <f>IF('Alapanyagok'!V32="","",'Alapanyagok'!V32*D32/100)</f>
      </c>
      <c r="L32" s="149"/>
      <c r="M32" s="151"/>
      <c r="N32" s="151"/>
      <c r="O32" s="151"/>
      <c r="P32" s="151"/>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4"/>
    </row>
    <row r="33" ht="15.75" customHeight="1">
      <c r="A33" s="371">
        <v>22</v>
      </c>
      <c r="B33" t="s" s="531">
        <f>IF('Alapanyagok_DID'!B33="","",'Alapanyagok_DID'!B33)</f>
      </c>
      <c r="C33" t="s" s="372">
        <f>IF('Alapanyagok_DID'!G33="","",'Alapanyagok_DID'!G33)</f>
      </c>
      <c r="D33" t="s" s="372">
        <f>IF(B33="","",C33*'Termék'!$C$40/100)</f>
      </c>
      <c r="E33" t="s" s="530">
        <f>IF(B33="","",D33*'Alapanyagok_DID'!M33/'Alapanyagok_DID'!N33*1000)</f>
      </c>
      <c r="F33" t="s" s="372">
        <f>IF(OR('Alapanyagok'!Q33="N",'Alapanyagok_DID'!O33="R"),"",C33)</f>
      </c>
      <c r="G33" t="s" s="372">
        <f>IF(OR('Alapanyagok'!T33="N",'Alapanyagok_DID'!P33="Y"),"",C33)</f>
      </c>
      <c r="H33" t="s" s="372">
        <f>IF(B33="","",(IF(OR('Alapanyagok'!O33='Auswahldaten'!$A$13,'Alapanyagok_DID'!O33="R"),"",D33)))</f>
      </c>
      <c r="I33" t="s" s="372">
        <f>IF(B33="","",IF(OR('Alapanyagok'!O33='Auswahldaten'!$A$13,'Alapanyagok_DID'!Q33="Y"),"",D33))</f>
      </c>
      <c r="J33" t="s" s="372">
        <f>IF(B33="","",IF('Alapanyagok'!U33="Y",D33,""))</f>
      </c>
      <c r="K33" t="s" s="372">
        <f>IF('Alapanyagok'!V33="","",'Alapanyagok'!V33*D33/100)</f>
      </c>
      <c r="L33" s="149"/>
      <c r="M33" s="151"/>
      <c r="N33" s="151"/>
      <c r="O33" s="151"/>
      <c r="P33" s="151"/>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4"/>
    </row>
    <row r="34" ht="15.75" customHeight="1">
      <c r="A34" s="371">
        <v>23</v>
      </c>
      <c r="B34" t="s" s="531">
        <f>IF('Alapanyagok_DID'!B34="","",'Alapanyagok_DID'!B34)</f>
      </c>
      <c r="C34" t="s" s="372">
        <f>IF('Alapanyagok_DID'!G34="","",'Alapanyagok_DID'!G34)</f>
      </c>
      <c r="D34" t="s" s="372">
        <f>IF(B34="","",C34*'Termék'!$C$40/100)</f>
      </c>
      <c r="E34" t="s" s="530">
        <f>IF(B34="","",D34*'Alapanyagok_DID'!M34/'Alapanyagok_DID'!N34*1000)</f>
      </c>
      <c r="F34" t="s" s="372">
        <f>IF(OR('Alapanyagok'!Q34="N",'Alapanyagok_DID'!O34="R"),"",C34)</f>
      </c>
      <c r="G34" t="s" s="372">
        <f>IF(OR('Alapanyagok'!T34="N",'Alapanyagok_DID'!P34="Y"),"",C34)</f>
      </c>
      <c r="H34" t="s" s="372">
        <f>IF(B34="","",(IF(OR('Alapanyagok'!O34='Auswahldaten'!$A$13,'Alapanyagok_DID'!O34="R"),"",D34)))</f>
      </c>
      <c r="I34" t="s" s="372">
        <f>IF(B34="","",IF(OR('Alapanyagok'!O34='Auswahldaten'!$A$13,'Alapanyagok_DID'!Q34="Y"),"",D34))</f>
      </c>
      <c r="J34" t="s" s="372">
        <f>IF(B34="","",IF('Alapanyagok'!U34="Y",D34,""))</f>
      </c>
      <c r="K34" t="s" s="372">
        <f>IF('Alapanyagok'!V34="","",'Alapanyagok'!V34*D34/100)</f>
      </c>
      <c r="L34" s="149"/>
      <c r="M34" s="151"/>
      <c r="N34" s="151"/>
      <c r="O34" s="151"/>
      <c r="P34" s="151"/>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4"/>
    </row>
    <row r="35" ht="15.75" customHeight="1">
      <c r="A35" s="371">
        <v>24</v>
      </c>
      <c r="B35" t="s" s="531">
        <f>IF('Alapanyagok_DID'!B35="","",'Alapanyagok_DID'!B35)</f>
      </c>
      <c r="C35" t="s" s="372">
        <f>IF('Alapanyagok_DID'!G35="","",'Alapanyagok_DID'!G35)</f>
      </c>
      <c r="D35" t="s" s="372">
        <f>IF(B35="","",C35*'Termék'!$C$40/100)</f>
      </c>
      <c r="E35" t="s" s="530">
        <f>IF(B35="","",D35*'Alapanyagok_DID'!M35/'Alapanyagok_DID'!N35*1000)</f>
      </c>
      <c r="F35" t="s" s="372">
        <f>IF(OR('Alapanyagok'!Q35="N",'Alapanyagok_DID'!O35="R"),"",C35)</f>
      </c>
      <c r="G35" t="s" s="372">
        <f>IF(OR('Alapanyagok'!T35="N",'Alapanyagok_DID'!P35="Y"),"",C35)</f>
      </c>
      <c r="H35" t="s" s="372">
        <f>IF(B35="","",(IF(OR('Alapanyagok'!O35='Auswahldaten'!$A$13,'Alapanyagok_DID'!O35="R"),"",D35)))</f>
      </c>
      <c r="I35" t="s" s="372">
        <f>IF(B35="","",IF(OR('Alapanyagok'!O35='Auswahldaten'!$A$13,'Alapanyagok_DID'!Q35="Y"),"",D35))</f>
      </c>
      <c r="J35" t="s" s="372">
        <f>IF(B35="","",IF('Alapanyagok'!U35="Y",D35,""))</f>
      </c>
      <c r="K35" t="s" s="372">
        <f>IF('Alapanyagok'!V35="","",'Alapanyagok'!V35*D35/100)</f>
      </c>
      <c r="L35" s="149"/>
      <c r="M35" s="151"/>
      <c r="N35" s="151"/>
      <c r="O35" s="151"/>
      <c r="P35" s="151"/>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4"/>
    </row>
    <row r="36" ht="15.75" customHeight="1">
      <c r="A36" s="371">
        <v>25</v>
      </c>
      <c r="B36" t="s" s="531">
        <f>IF('Alapanyagok_DID'!B36="","",'Alapanyagok_DID'!B36)</f>
      </c>
      <c r="C36" t="s" s="372">
        <f>IF('Alapanyagok_DID'!G36="","",'Alapanyagok_DID'!G36)</f>
      </c>
      <c r="D36" t="s" s="372">
        <f>IF(B36="","",C36*'Termék'!$C$40/100)</f>
      </c>
      <c r="E36" t="s" s="530">
        <f>IF(B36="","",D36*'Alapanyagok_DID'!M36/'Alapanyagok_DID'!N36*1000)</f>
      </c>
      <c r="F36" t="s" s="372">
        <f>IF(OR('Alapanyagok'!Q36="N",'Alapanyagok_DID'!O36="R"),"",C36)</f>
      </c>
      <c r="G36" t="s" s="372">
        <f>IF(OR('Alapanyagok'!T36="N",'Alapanyagok_DID'!P36="Y"),"",C36)</f>
      </c>
      <c r="H36" t="s" s="372">
        <f>IF(B36="","",(IF(OR('Alapanyagok'!O36='Auswahldaten'!$A$13,'Alapanyagok_DID'!O36="R"),"",D36)))</f>
      </c>
      <c r="I36" t="s" s="372">
        <f>IF(B36="","",IF(OR('Alapanyagok'!O36='Auswahldaten'!$A$13,'Alapanyagok_DID'!Q36="Y"),"",D36))</f>
      </c>
      <c r="J36" t="s" s="372">
        <f>IF(B36="","",IF('Alapanyagok'!U36="Y",D36,""))</f>
      </c>
      <c r="K36" t="s" s="372">
        <f>IF('Alapanyagok'!V36="","",'Alapanyagok'!V36*D36/100)</f>
      </c>
      <c r="L36" s="149"/>
      <c r="M36" s="151"/>
      <c r="N36" s="151"/>
      <c r="O36" s="151"/>
      <c r="P36" s="151"/>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4"/>
    </row>
    <row r="37" ht="15.75" customHeight="1">
      <c r="A37" s="371">
        <v>26</v>
      </c>
      <c r="B37" t="s" s="531">
        <f>IF('Alapanyagok_DID'!B37="","",'Alapanyagok_DID'!B37)</f>
      </c>
      <c r="C37" t="s" s="372">
        <f>IF('Alapanyagok_DID'!G37="","",'Alapanyagok_DID'!G37)</f>
      </c>
      <c r="D37" t="s" s="372">
        <f>IF(B37="","",C37*'Termék'!$C$40/100)</f>
      </c>
      <c r="E37" t="s" s="530">
        <f>IF(B37="","",D37*'Alapanyagok_DID'!M37/'Alapanyagok_DID'!N37*1000)</f>
      </c>
      <c r="F37" t="s" s="372">
        <f>IF(OR('Alapanyagok'!Q37="N",'Alapanyagok_DID'!O37="R"),"",C37)</f>
      </c>
      <c r="G37" t="s" s="372">
        <f>IF(OR('Alapanyagok'!T37="N",'Alapanyagok_DID'!P37="Y"),"",C37)</f>
      </c>
      <c r="H37" t="s" s="372">
        <f>IF(B37="","",(IF(OR('Alapanyagok'!O37='Auswahldaten'!$A$13,'Alapanyagok_DID'!O37="R"),"",D37)))</f>
      </c>
      <c r="I37" t="s" s="372">
        <f>IF(B37="","",IF(OR('Alapanyagok'!O37='Auswahldaten'!$A$13,'Alapanyagok_DID'!Q37="Y"),"",D37))</f>
      </c>
      <c r="J37" t="s" s="372">
        <f>IF(B37="","",IF('Alapanyagok'!U37="Y",D37,""))</f>
      </c>
      <c r="K37" t="s" s="372">
        <f>IF('Alapanyagok'!V37="","",'Alapanyagok'!V37*D37/100)</f>
      </c>
      <c r="L37" s="149"/>
      <c r="M37" s="151"/>
      <c r="N37" s="151"/>
      <c r="O37" s="151"/>
      <c r="P37" s="151"/>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4"/>
    </row>
    <row r="38" ht="15.75" customHeight="1">
      <c r="A38" s="371">
        <v>27</v>
      </c>
      <c r="B38" t="s" s="531">
        <f>IF('Alapanyagok_DID'!B38="","",'Alapanyagok_DID'!B38)</f>
      </c>
      <c r="C38" t="s" s="372">
        <f>IF('Alapanyagok_DID'!G38="","",'Alapanyagok_DID'!G38)</f>
      </c>
      <c r="D38" t="s" s="372">
        <f>IF(B38="","",C38*'Termék'!$C$40/100)</f>
      </c>
      <c r="E38" t="s" s="530">
        <f>IF(B38="","",D38*'Alapanyagok_DID'!M38/'Alapanyagok_DID'!N38*1000)</f>
      </c>
      <c r="F38" t="s" s="372">
        <f>IF(OR('Alapanyagok'!Q38="N",'Alapanyagok_DID'!O38="R"),"",C38)</f>
      </c>
      <c r="G38" t="s" s="372">
        <f>IF(OR('Alapanyagok'!T38="N",'Alapanyagok_DID'!P38="Y"),"",C38)</f>
      </c>
      <c r="H38" t="s" s="372">
        <f>IF(B38="","",(IF(OR('Alapanyagok'!O38='Auswahldaten'!$A$13,'Alapanyagok_DID'!O38="R"),"",D38)))</f>
      </c>
      <c r="I38" t="s" s="372">
        <f>IF(B38="","",IF(OR('Alapanyagok'!O38='Auswahldaten'!$A$13,'Alapanyagok_DID'!Q38="Y"),"",D38))</f>
      </c>
      <c r="J38" t="s" s="372">
        <f>IF(B38="","",IF('Alapanyagok'!U38="Y",D38,""))</f>
      </c>
      <c r="K38" t="s" s="372">
        <f>IF('Alapanyagok'!V38="","",'Alapanyagok'!V38*D38/100)</f>
      </c>
      <c r="L38" s="149"/>
      <c r="M38" s="151"/>
      <c r="N38" s="151"/>
      <c r="O38" s="151"/>
      <c r="P38" s="151"/>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4"/>
    </row>
    <row r="39" ht="15.75" customHeight="1">
      <c r="A39" s="371">
        <v>28</v>
      </c>
      <c r="B39" t="s" s="531">
        <f>IF('Alapanyagok_DID'!B39="","",'Alapanyagok_DID'!B39)</f>
      </c>
      <c r="C39" t="s" s="372">
        <f>IF('Alapanyagok_DID'!G39="","",'Alapanyagok_DID'!G39)</f>
      </c>
      <c r="D39" t="s" s="372">
        <f>IF(B39="","",C39*'Termék'!$C$40/100)</f>
      </c>
      <c r="E39" t="s" s="530">
        <f>IF(B39="","",D39*'Alapanyagok_DID'!M39/'Alapanyagok_DID'!N39*1000)</f>
      </c>
      <c r="F39" t="s" s="372">
        <f>IF(OR('Alapanyagok'!Q39="N",'Alapanyagok_DID'!O39="R"),"",C39)</f>
      </c>
      <c r="G39" t="s" s="372">
        <f>IF(OR('Alapanyagok'!T39="N",'Alapanyagok_DID'!P39="Y"),"",C39)</f>
      </c>
      <c r="H39" t="s" s="372">
        <f>IF(B39="","",(IF(OR('Alapanyagok'!O39='Auswahldaten'!$A$13,'Alapanyagok_DID'!O39="R"),"",D39)))</f>
      </c>
      <c r="I39" t="s" s="372">
        <f>IF(B39="","",IF(OR('Alapanyagok'!O39='Auswahldaten'!$A$13,'Alapanyagok_DID'!Q39="Y"),"",D39))</f>
      </c>
      <c r="J39" t="s" s="372">
        <f>IF(B39="","",IF('Alapanyagok'!U39="Y",D39,""))</f>
      </c>
      <c r="K39" t="s" s="372">
        <f>IF('Alapanyagok'!V39="","",'Alapanyagok'!V39*D39/100)</f>
      </c>
      <c r="L39" s="149"/>
      <c r="M39" s="151"/>
      <c r="N39" s="151"/>
      <c r="O39" s="151"/>
      <c r="P39" s="151"/>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4"/>
    </row>
    <row r="40" ht="15.75" customHeight="1">
      <c r="A40" s="371">
        <v>29</v>
      </c>
      <c r="B40" t="s" s="531">
        <f>IF('Alapanyagok_DID'!B40="","",'Alapanyagok_DID'!B40)</f>
      </c>
      <c r="C40" t="s" s="372">
        <f>IF('Alapanyagok_DID'!G40="","",'Alapanyagok_DID'!G40)</f>
      </c>
      <c r="D40" t="s" s="372">
        <f>IF(B40="","",C40*'Termék'!$C$40/100)</f>
      </c>
      <c r="E40" t="s" s="530">
        <f>IF(B40="","",D40*'Alapanyagok_DID'!M40/'Alapanyagok_DID'!N40*1000)</f>
      </c>
      <c r="F40" t="s" s="372">
        <f>IF(OR('Alapanyagok'!Q40="N",'Alapanyagok_DID'!O40="R"),"",C40)</f>
      </c>
      <c r="G40" t="s" s="372">
        <f>IF(OR('Alapanyagok'!T40="N",'Alapanyagok_DID'!P40="Y"),"",C40)</f>
      </c>
      <c r="H40" t="s" s="372">
        <f>IF(B40="","",(IF(OR('Alapanyagok'!O40='Auswahldaten'!$A$13,'Alapanyagok_DID'!O40="R"),"",D40)))</f>
      </c>
      <c r="I40" t="s" s="372">
        <f>IF(B40="","",IF(OR('Alapanyagok'!O40='Auswahldaten'!$A$13,'Alapanyagok_DID'!Q40="Y"),"",D40))</f>
      </c>
      <c r="J40" t="s" s="372">
        <f>IF(B40="","",IF('Alapanyagok'!U40="Y",D40,""))</f>
      </c>
      <c r="K40" t="s" s="372">
        <f>IF('Alapanyagok'!V40="","",'Alapanyagok'!V40*D40/100)</f>
      </c>
      <c r="L40" s="149"/>
      <c r="M40" s="151"/>
      <c r="N40" s="151"/>
      <c r="O40" s="151"/>
      <c r="P40" s="151"/>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4"/>
    </row>
    <row r="41" ht="15.75" customHeight="1">
      <c r="A41" s="371">
        <v>30</v>
      </c>
      <c r="B41" t="s" s="531">
        <f>IF('Alapanyagok_DID'!B41="","",'Alapanyagok_DID'!B41)</f>
      </c>
      <c r="C41" t="s" s="372">
        <f>IF('Alapanyagok_DID'!G41="","",'Alapanyagok_DID'!G41)</f>
      </c>
      <c r="D41" t="s" s="372">
        <f>IF(B41="","",C41*'Termék'!$C$40/100)</f>
      </c>
      <c r="E41" t="s" s="530">
        <f>IF(B41="","",D41*'Alapanyagok_DID'!M41/'Alapanyagok_DID'!N41*1000)</f>
      </c>
      <c r="F41" t="s" s="372">
        <f>IF(OR('Alapanyagok'!Q41="N",'Alapanyagok_DID'!O41="R"),"",C41)</f>
      </c>
      <c r="G41" t="s" s="372">
        <f>IF(OR('Alapanyagok'!T41="N",'Alapanyagok_DID'!P41="Y"),"",C41)</f>
      </c>
      <c r="H41" t="s" s="372">
        <f>IF(B41="","",(IF(OR('Alapanyagok'!O41='Auswahldaten'!$A$13,'Alapanyagok_DID'!O41="R"),"",D41)))</f>
      </c>
      <c r="I41" t="s" s="372">
        <f>IF(B41="","",IF(OR('Alapanyagok'!O41='Auswahldaten'!$A$13,'Alapanyagok_DID'!Q41="Y"),"",D41))</f>
      </c>
      <c r="J41" t="s" s="372">
        <f>IF(B41="","",IF('Alapanyagok'!U41="Y",D41,""))</f>
      </c>
      <c r="K41" t="s" s="372">
        <f>IF('Alapanyagok'!V41="","",'Alapanyagok'!V41*D41/100)</f>
      </c>
      <c r="L41" s="149"/>
      <c r="M41" s="151"/>
      <c r="N41" s="151"/>
      <c r="O41" s="151"/>
      <c r="P41" s="151"/>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4"/>
    </row>
    <row r="42" ht="15.75" customHeight="1">
      <c r="A42" s="371">
        <v>31</v>
      </c>
      <c r="B42" t="s" s="531">
        <f>IF('Alapanyagok_DID'!B42="","",'Alapanyagok_DID'!B42)</f>
      </c>
      <c r="C42" t="s" s="372">
        <f>IF('Alapanyagok_DID'!G42="","",'Alapanyagok_DID'!G42)</f>
      </c>
      <c r="D42" t="s" s="372">
        <f>IF(B42="","",C42*'Termék'!$C$40/100)</f>
      </c>
      <c r="E42" t="s" s="530">
        <f>IF(B42="","",D42*'Alapanyagok_DID'!M42/'Alapanyagok_DID'!N42*1000)</f>
      </c>
      <c r="F42" t="s" s="372">
        <f>IF(OR('Alapanyagok'!Q42="N",'Alapanyagok_DID'!O42="R"),"",C42)</f>
      </c>
      <c r="G42" t="s" s="372">
        <f>IF(OR('Alapanyagok'!T42="N",'Alapanyagok_DID'!P42="Y"),"",C42)</f>
      </c>
      <c r="H42" t="s" s="372">
        <f>IF(B42="","",(IF(OR('Alapanyagok'!O42='Auswahldaten'!$A$13,'Alapanyagok_DID'!O42="R"),"",D42)))</f>
      </c>
      <c r="I42" t="s" s="372">
        <f>IF(B42="","",IF(OR('Alapanyagok'!O42='Auswahldaten'!$A$13,'Alapanyagok_DID'!Q42="Y"),"",D42))</f>
      </c>
      <c r="J42" t="s" s="372">
        <f>IF(B42="","",IF('Alapanyagok'!U42="Y",D42,""))</f>
      </c>
      <c r="K42" t="s" s="372">
        <f>IF('Alapanyagok'!V42="","",'Alapanyagok'!V42*D42/100)</f>
      </c>
      <c r="L42" s="149"/>
      <c r="M42" s="151"/>
      <c r="N42" s="151"/>
      <c r="O42" s="151"/>
      <c r="P42" s="151"/>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4"/>
    </row>
    <row r="43" ht="15.75" customHeight="1">
      <c r="A43" s="371">
        <v>32</v>
      </c>
      <c r="B43" t="s" s="531">
        <f>IF('Alapanyagok_DID'!B43="","",'Alapanyagok_DID'!B43)</f>
      </c>
      <c r="C43" t="s" s="372">
        <f>IF('Alapanyagok_DID'!G43="","",'Alapanyagok_DID'!G43)</f>
      </c>
      <c r="D43" t="s" s="372">
        <f>IF(B43="","",C43*'Termék'!$C$40/100)</f>
      </c>
      <c r="E43" t="s" s="530">
        <f>IF(B43="","",D43*'Alapanyagok_DID'!M43/'Alapanyagok_DID'!N43*1000)</f>
      </c>
      <c r="F43" t="s" s="372">
        <f>IF(OR('Alapanyagok'!Q43="N",'Alapanyagok_DID'!O43="R"),"",C43)</f>
      </c>
      <c r="G43" t="s" s="372">
        <f>IF(OR('Alapanyagok'!T43="N",'Alapanyagok_DID'!P43="Y"),"",C43)</f>
      </c>
      <c r="H43" t="s" s="372">
        <f>IF(B43="","",(IF(OR('Alapanyagok'!O43='Auswahldaten'!$A$13,'Alapanyagok_DID'!O43="R"),"",D43)))</f>
      </c>
      <c r="I43" t="s" s="372">
        <f>IF(B43="","",IF(OR('Alapanyagok'!O43='Auswahldaten'!$A$13,'Alapanyagok_DID'!Q43="Y"),"",D43))</f>
      </c>
      <c r="J43" t="s" s="372">
        <f>IF(B43="","",IF('Alapanyagok'!U43="Y",D43,""))</f>
      </c>
      <c r="K43" t="s" s="372">
        <f>IF('Alapanyagok'!V43="","",'Alapanyagok'!V43*D43/100)</f>
      </c>
      <c r="L43" s="149"/>
      <c r="M43" s="151"/>
      <c r="N43" s="151"/>
      <c r="O43" s="151"/>
      <c r="P43" s="151"/>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4"/>
    </row>
    <row r="44" ht="15.75" customHeight="1">
      <c r="A44" s="371">
        <v>33</v>
      </c>
      <c r="B44" t="s" s="531">
        <f>IF('Alapanyagok_DID'!B44="","",'Alapanyagok_DID'!B44)</f>
      </c>
      <c r="C44" t="s" s="372">
        <f>IF('Alapanyagok_DID'!G44="","",'Alapanyagok_DID'!G44)</f>
      </c>
      <c r="D44" t="s" s="372">
        <f>IF(B44="","",C44*'Termék'!$C$40/100)</f>
      </c>
      <c r="E44" t="s" s="530">
        <f>IF(B44="","",D44*'Alapanyagok_DID'!M44/'Alapanyagok_DID'!N44*1000)</f>
      </c>
      <c r="F44" t="s" s="372">
        <f>IF(OR('Alapanyagok'!Q44="N",'Alapanyagok_DID'!O44="R"),"",C44)</f>
      </c>
      <c r="G44" t="s" s="372">
        <f>IF(OR('Alapanyagok'!T44="N",'Alapanyagok_DID'!P44="Y"),"",C44)</f>
      </c>
      <c r="H44" t="s" s="372">
        <f>IF(B44="","",(IF(OR('Alapanyagok'!O44='Auswahldaten'!$A$13,'Alapanyagok_DID'!O44="R"),"",D44)))</f>
      </c>
      <c r="I44" t="s" s="372">
        <f>IF(B44="","",IF(OR('Alapanyagok'!O44='Auswahldaten'!$A$13,'Alapanyagok_DID'!Q44="Y"),"",D44))</f>
      </c>
      <c r="J44" t="s" s="372">
        <f>IF(B44="","",IF('Alapanyagok'!U44="Y",D44,""))</f>
      </c>
      <c r="K44" t="s" s="372">
        <f>IF('Alapanyagok'!V44="","",'Alapanyagok'!V44*D44/100)</f>
      </c>
      <c r="L44" s="149"/>
      <c r="M44" s="151"/>
      <c r="N44" s="151"/>
      <c r="O44" s="151"/>
      <c r="P44" s="151"/>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4"/>
    </row>
    <row r="45" ht="15.75" customHeight="1">
      <c r="A45" s="371">
        <v>34</v>
      </c>
      <c r="B45" t="s" s="531">
        <f>IF('Alapanyagok_DID'!B45="","",'Alapanyagok_DID'!B45)</f>
      </c>
      <c r="C45" t="s" s="372">
        <f>IF('Alapanyagok_DID'!G45="","",'Alapanyagok_DID'!G45)</f>
      </c>
      <c r="D45" t="s" s="372">
        <f>IF(B45="","",C45*'Termék'!$C$40/100)</f>
      </c>
      <c r="E45" t="s" s="530">
        <f>IF(B45="","",D45*'Alapanyagok_DID'!M45/'Alapanyagok_DID'!N45*1000)</f>
      </c>
      <c r="F45" t="s" s="372">
        <f>IF(OR('Alapanyagok'!Q45="N",'Alapanyagok_DID'!O45="R"),"",C45)</f>
      </c>
      <c r="G45" t="s" s="372">
        <f>IF(OR('Alapanyagok'!T45="N",'Alapanyagok_DID'!P45="Y"),"",C45)</f>
      </c>
      <c r="H45" t="s" s="372">
        <f>IF(B45="","",(IF(OR('Alapanyagok'!O45='Auswahldaten'!$A$13,'Alapanyagok_DID'!O45="R"),"",D45)))</f>
      </c>
      <c r="I45" t="s" s="372">
        <f>IF(B45="","",IF(OR('Alapanyagok'!O45='Auswahldaten'!$A$13,'Alapanyagok_DID'!Q45="Y"),"",D45))</f>
      </c>
      <c r="J45" t="s" s="372">
        <f>IF(B45="","",IF('Alapanyagok'!U45="Y",D45,""))</f>
      </c>
      <c r="K45" t="s" s="372">
        <f>IF('Alapanyagok'!V45="","",'Alapanyagok'!V45*D45/100)</f>
      </c>
      <c r="L45" s="149"/>
      <c r="M45" s="151"/>
      <c r="N45" s="151"/>
      <c r="O45" s="151"/>
      <c r="P45" s="151"/>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4"/>
    </row>
    <row r="46" ht="15.75" customHeight="1">
      <c r="A46" s="371">
        <v>35</v>
      </c>
      <c r="B46" s="532"/>
      <c r="C46" s="533"/>
      <c r="D46" s="533"/>
      <c r="E46" s="534"/>
      <c r="F46" s="535"/>
      <c r="G46" s="535"/>
      <c r="H46" t="s" s="372">
        <f>IF(B46="","",(IF(OR('Alapanyagok'!O46='Auswahldaten'!$A$13,'Alapanyagok_DID'!O46="R"),"",D46)))</f>
      </c>
      <c r="I46" t="s" s="372">
        <f>IF(B46="","",IF(OR('Alapanyagok'!O46='Auswahldaten'!$A$13,'Alapanyagok_DID'!Q46="Y"),"",D46))</f>
      </c>
      <c r="J46" t="s" s="372">
        <f>IF(B46="","",IF('Alapanyagok'!U46="Y",D46,""))</f>
      </c>
      <c r="K46" t="s" s="372">
        <f>IF('Alapanyagok'!V46="","",'Alapanyagok'!V46*D46/100)</f>
      </c>
      <c r="L46" s="149"/>
      <c r="M46" s="151"/>
      <c r="N46" s="151"/>
      <c r="O46" s="151"/>
      <c r="P46" s="151"/>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4"/>
    </row>
    <row r="47" ht="15.75" customHeight="1">
      <c r="A47" s="371">
        <v>36</v>
      </c>
      <c r="B47" t="s" s="531">
        <f>IF('Alapanyagok_DID'!B47="","",'Alapanyagok_DID'!B47)</f>
      </c>
      <c r="C47" t="s" s="372">
        <f>IF('Alapanyagok_DID'!G47="","",'Alapanyagok_DID'!G47)</f>
      </c>
      <c r="D47" t="s" s="372">
        <f>IF(B47="","",C47*'Termék'!$C$40/100)</f>
      </c>
      <c r="E47" t="s" s="530">
        <f>IF(B47="","",D47*'Alapanyagok_DID'!M47/'Alapanyagok_DID'!N47*1000)</f>
      </c>
      <c r="F47" t="s" s="372">
        <f>IF(OR('Alapanyagok'!Q47="N",'Alapanyagok_DID'!O47="R"),"",C47)</f>
      </c>
      <c r="G47" t="s" s="372">
        <f>IF(OR('Alapanyagok'!T47="N",'Alapanyagok_DID'!P47="Y"),"",C47)</f>
      </c>
      <c r="H47" t="s" s="372">
        <f>IF(B47="","",(IF(OR('Alapanyagok'!O47='Auswahldaten'!$A$13,'Alapanyagok_DID'!O47="R"),"",D47)))</f>
      </c>
      <c r="I47" t="s" s="372">
        <f>IF(B47="","",IF(OR('Alapanyagok'!O47='Auswahldaten'!$A$13,'Alapanyagok_DID'!Q47="Y"),"",D47))</f>
      </c>
      <c r="J47" t="s" s="372">
        <f>IF(B47="","",IF('Alapanyagok'!U47="Y",D47,""))</f>
      </c>
      <c r="K47" t="s" s="372">
        <f>IF('Alapanyagok'!V47="","",'Alapanyagok'!V47*D47/100)</f>
      </c>
      <c r="L47" s="149"/>
      <c r="M47" s="151"/>
      <c r="N47" s="151"/>
      <c r="O47" s="151"/>
      <c r="P47" s="151"/>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4"/>
    </row>
    <row r="48" ht="15.75" customHeight="1">
      <c r="A48" s="371">
        <v>37</v>
      </c>
      <c r="B48" t="s" s="531">
        <f>IF('Alapanyagok_DID'!B48="","",'Alapanyagok_DID'!B48)</f>
      </c>
      <c r="C48" t="s" s="372">
        <f>IF('Alapanyagok_DID'!G48="","",'Alapanyagok_DID'!G48)</f>
      </c>
      <c r="D48" t="s" s="372">
        <f>IF(B48="","",C48*'Termék'!$C$40/100)</f>
      </c>
      <c r="E48" t="s" s="530">
        <f>IF(B48="","",D48*'Alapanyagok_DID'!M48/'Alapanyagok_DID'!N48*1000)</f>
      </c>
      <c r="F48" t="s" s="372">
        <f>IF(OR('Alapanyagok'!Q48="N",'Alapanyagok_DID'!O48="R"),"",C48)</f>
      </c>
      <c r="G48" t="s" s="372">
        <f>IF(OR('Alapanyagok'!T48="N",'Alapanyagok_DID'!P48="Y"),"",C48)</f>
      </c>
      <c r="H48" t="s" s="372">
        <f>IF(B48="","",(IF(OR('Alapanyagok'!O48='Auswahldaten'!$A$13,'Alapanyagok_DID'!O48="R"),"",D48)))</f>
      </c>
      <c r="I48" t="s" s="372">
        <f>IF(B48="","",IF(OR('Alapanyagok'!O48='Auswahldaten'!$A$13,'Alapanyagok_DID'!Q48="Y"),"",D48))</f>
      </c>
      <c r="J48" t="s" s="372">
        <f>IF(B48="","",IF('Alapanyagok'!U48="Y",D48,""))</f>
      </c>
      <c r="K48" t="s" s="372">
        <f>IF('Alapanyagok'!V48="","",'Alapanyagok'!V48*D48/100)</f>
      </c>
      <c r="L48" s="149"/>
      <c r="M48" s="151"/>
      <c r="N48" s="151"/>
      <c r="O48" s="151"/>
      <c r="P48" s="151"/>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4"/>
    </row>
    <row r="49" ht="15.75" customHeight="1">
      <c r="A49" s="371">
        <v>38</v>
      </c>
      <c r="B49" t="s" s="531">
        <f>IF('Alapanyagok_DID'!B49="","",'Alapanyagok_DID'!B49)</f>
      </c>
      <c r="C49" t="s" s="372">
        <f>IF('Alapanyagok_DID'!G49="","",'Alapanyagok_DID'!G49)</f>
      </c>
      <c r="D49" t="s" s="372">
        <f>IF(B49="","",C49*'Termék'!$C$40/100)</f>
      </c>
      <c r="E49" t="s" s="530">
        <f>IF(B49="","",D49*'Alapanyagok_DID'!M49/'Alapanyagok_DID'!N49*1000)</f>
      </c>
      <c r="F49" t="s" s="372">
        <f>IF(OR('Alapanyagok'!Q49="N",'Alapanyagok_DID'!O49="R"),"",C49)</f>
      </c>
      <c r="G49" t="s" s="372">
        <f>IF(OR('Alapanyagok'!T49="N",'Alapanyagok_DID'!P49="Y"),"",C49)</f>
      </c>
      <c r="H49" t="s" s="372">
        <f>IF(B49="","",(IF(OR('Alapanyagok'!O49='Auswahldaten'!$A$13,'Alapanyagok_DID'!O49="R"),"",D49)))</f>
      </c>
      <c r="I49" t="s" s="372">
        <f>IF(B49="","",IF(OR('Alapanyagok'!O49='Auswahldaten'!$A$13,'Alapanyagok_DID'!Q49="Y"),"",D49))</f>
      </c>
      <c r="J49" t="s" s="372">
        <f>IF(B49="","",IF('Alapanyagok'!U49="Y",D49,""))</f>
      </c>
      <c r="K49" t="s" s="372">
        <f>IF('Alapanyagok'!V49="","",'Alapanyagok'!V49*D49/100)</f>
      </c>
      <c r="L49" s="149"/>
      <c r="M49" s="151"/>
      <c r="N49" s="151"/>
      <c r="O49" s="151"/>
      <c r="P49" s="151"/>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4"/>
    </row>
    <row r="50" ht="15.75" customHeight="1">
      <c r="A50" s="371">
        <v>39</v>
      </c>
      <c r="B50" t="s" s="531">
        <f>IF('Alapanyagok_DID'!B50="","",'Alapanyagok_DID'!B50)</f>
      </c>
      <c r="C50" t="s" s="372">
        <f>IF('Alapanyagok_DID'!G50="","",'Alapanyagok_DID'!G50)</f>
      </c>
      <c r="D50" t="s" s="372">
        <f>IF(B50="","",C50*'Termék'!$C$40/100)</f>
      </c>
      <c r="E50" t="s" s="530">
        <f>IF(B50="","",D50*'Alapanyagok_DID'!M50/'Alapanyagok_DID'!N50*1000)</f>
      </c>
      <c r="F50" t="s" s="372">
        <f>IF(OR('Alapanyagok'!Q50="N",'Alapanyagok_DID'!O50="R"),"",C50)</f>
      </c>
      <c r="G50" t="s" s="372">
        <f>IF(OR('Alapanyagok'!T50="N",'Alapanyagok_DID'!P50="Y"),"",C50)</f>
      </c>
      <c r="H50" t="s" s="372">
        <f>IF(B50="","",(IF(OR('Alapanyagok'!O50='Auswahldaten'!$A$13,'Alapanyagok_DID'!O50="R"),"",D50)))</f>
      </c>
      <c r="I50" t="s" s="372">
        <f>IF(B50="","",IF(OR('Alapanyagok'!O50='Auswahldaten'!$A$13,'Alapanyagok_DID'!Q50="Y"),"",D50))</f>
      </c>
      <c r="J50" t="s" s="372">
        <f>IF(B50="","",IF('Alapanyagok'!U50="Y",D50,""))</f>
      </c>
      <c r="K50" t="s" s="372">
        <f>IF('Alapanyagok'!V50="","",'Alapanyagok'!V50*D50/100)</f>
      </c>
      <c r="L50" s="149"/>
      <c r="M50" s="151"/>
      <c r="N50" s="151"/>
      <c r="O50" s="151"/>
      <c r="P50" s="151"/>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4"/>
    </row>
    <row r="51" ht="15.75" customHeight="1">
      <c r="A51" s="371">
        <v>40</v>
      </c>
      <c r="B51" t="s" s="531">
        <f>IF('Alapanyagok_DID'!B51="","",'Alapanyagok_DID'!B51)</f>
      </c>
      <c r="C51" t="s" s="372">
        <f>IF('Alapanyagok_DID'!G51="","",'Alapanyagok_DID'!G51)</f>
      </c>
      <c r="D51" t="s" s="372">
        <f>IF(B51="","",C51*'Termék'!$C$40/100)</f>
      </c>
      <c r="E51" t="s" s="530">
        <f>IF(B51="","",D51*'Alapanyagok_DID'!M51/'Alapanyagok_DID'!N51*1000)</f>
      </c>
      <c r="F51" t="s" s="372">
        <f>IF(OR('Alapanyagok'!Q51="N",'Alapanyagok_DID'!O51="R"),"",C51)</f>
      </c>
      <c r="G51" t="s" s="372">
        <f>IF(OR('Alapanyagok'!T51="N",'Alapanyagok_DID'!P51="Y"),"",C51)</f>
      </c>
      <c r="H51" t="s" s="372">
        <f>IF(B51="","",(IF(OR('Alapanyagok'!O51='Auswahldaten'!$A$13,'Alapanyagok_DID'!O51="R"),"",D51)))</f>
      </c>
      <c r="I51" t="s" s="372">
        <f>IF(B51="","",IF(OR('Alapanyagok'!O51='Auswahldaten'!$A$13,'Alapanyagok_DID'!Q51="Y"),"",D51))</f>
      </c>
      <c r="J51" t="s" s="372">
        <f>IF(B51="","",IF('Alapanyagok'!U51="Y",D51,""))</f>
      </c>
      <c r="K51" t="s" s="372">
        <f>IF('Alapanyagok'!V51="","",'Alapanyagok'!V51*D51/100)</f>
      </c>
      <c r="L51" s="149"/>
      <c r="M51" s="151"/>
      <c r="N51" s="151"/>
      <c r="O51" s="151"/>
      <c r="P51" s="151"/>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4"/>
    </row>
    <row r="52" ht="15.75" customHeight="1">
      <c r="A52" s="371">
        <v>41</v>
      </c>
      <c r="B52" t="s" s="531">
        <f>IF('Alapanyagok_DID'!B52="","",'Alapanyagok_DID'!B52)</f>
      </c>
      <c r="C52" t="s" s="372">
        <f>IF('Alapanyagok_DID'!G52="","",'Alapanyagok_DID'!G52)</f>
      </c>
      <c r="D52" t="s" s="372">
        <f>IF(B52="","",C52*'Termék'!$C$40/100)</f>
      </c>
      <c r="E52" t="s" s="530">
        <f>IF(B52="","",D52*'Alapanyagok_DID'!M52/'Alapanyagok_DID'!N52*1000)</f>
      </c>
      <c r="F52" t="s" s="372">
        <f>IF(OR('Alapanyagok'!Q52="N",'Alapanyagok_DID'!O52="R"),"",C52)</f>
      </c>
      <c r="G52" t="s" s="372">
        <f>IF(OR('Alapanyagok'!T52="N",'Alapanyagok_DID'!P52="Y"),"",C52)</f>
      </c>
      <c r="H52" t="s" s="372">
        <f>IF(B52="","",(IF(OR('Alapanyagok'!O52='Auswahldaten'!$A$13,'Alapanyagok_DID'!O52="R"),"",D52)))</f>
      </c>
      <c r="I52" t="s" s="372">
        <f>IF(B52="","",IF(OR('Alapanyagok'!O52='Auswahldaten'!$A$13,'Alapanyagok_DID'!Q52="Y"),"",D52))</f>
      </c>
      <c r="J52" t="s" s="372">
        <f>IF(B52="","",IF('Alapanyagok'!U52="Y",D52,""))</f>
      </c>
      <c r="K52" t="s" s="372">
        <f>IF('Alapanyagok'!V52="","",'Alapanyagok'!V52*D52/100)</f>
      </c>
      <c r="L52" s="149"/>
      <c r="M52" s="151"/>
      <c r="N52" s="151"/>
      <c r="O52" s="151"/>
      <c r="P52" s="151"/>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4"/>
    </row>
    <row r="53" ht="15.75" customHeight="1">
      <c r="A53" s="371">
        <v>42</v>
      </c>
      <c r="B53" t="s" s="531">
        <f>IF('Alapanyagok_DID'!B53="","",'Alapanyagok_DID'!B53)</f>
      </c>
      <c r="C53" t="s" s="372">
        <f>IF('Alapanyagok_DID'!G53="","",'Alapanyagok_DID'!G53)</f>
      </c>
      <c r="D53" t="s" s="372">
        <f>IF(B53="","",C53*'Termék'!$C$40/100)</f>
      </c>
      <c r="E53" t="s" s="530">
        <f>IF(B53="","",D53*'Alapanyagok_DID'!M53/'Alapanyagok_DID'!N53*1000)</f>
      </c>
      <c r="F53" t="s" s="372">
        <f>IF(OR('Alapanyagok'!Q53="N",'Alapanyagok_DID'!O53="R"),"",C53)</f>
      </c>
      <c r="G53" t="s" s="372">
        <f>IF(OR('Alapanyagok'!T53="N",'Alapanyagok_DID'!P53="Y"),"",C53)</f>
      </c>
      <c r="H53" t="s" s="372">
        <f>IF(B53="","",(IF(OR('Alapanyagok'!O53='Auswahldaten'!$A$13,'Alapanyagok_DID'!O53="R"),"",D53)))</f>
      </c>
      <c r="I53" t="s" s="372">
        <f>IF(B53="","",IF(OR('Alapanyagok'!O53='Auswahldaten'!$A$13,'Alapanyagok_DID'!Q53="Y"),"",D53))</f>
      </c>
      <c r="J53" t="s" s="372">
        <f>IF(B53="","",IF('Alapanyagok'!U53="Y",D53,""))</f>
      </c>
      <c r="K53" t="s" s="372">
        <f>IF('Alapanyagok'!V53="","",'Alapanyagok'!V53*D53/100)</f>
      </c>
      <c r="L53" s="149"/>
      <c r="M53" s="151"/>
      <c r="N53" s="151"/>
      <c r="O53" s="151"/>
      <c r="P53" s="151"/>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4"/>
    </row>
    <row r="54" ht="15.75" customHeight="1">
      <c r="A54" s="371">
        <v>43</v>
      </c>
      <c r="B54" t="s" s="531">
        <f>IF('Alapanyagok_DID'!B54="","",'Alapanyagok_DID'!B54)</f>
      </c>
      <c r="C54" t="s" s="372">
        <f>IF('Alapanyagok_DID'!G54="","",'Alapanyagok_DID'!G54)</f>
      </c>
      <c r="D54" t="s" s="372">
        <f>IF(B54="","",C54*'Termék'!$C$40/100)</f>
      </c>
      <c r="E54" t="s" s="530">
        <f>IF(B54="","",D54*'Alapanyagok_DID'!M54/'Alapanyagok_DID'!N54*1000)</f>
      </c>
      <c r="F54" t="s" s="372">
        <f>IF(OR('Alapanyagok'!Q54="N",'Alapanyagok_DID'!O54="R"),"",C54)</f>
      </c>
      <c r="G54" t="s" s="372">
        <f>IF(OR('Alapanyagok'!T54="N",'Alapanyagok_DID'!P54="Y"),"",C54)</f>
      </c>
      <c r="H54" t="s" s="372">
        <f>IF(B54="","",(IF(OR('Alapanyagok'!O54='Auswahldaten'!$A$13,'Alapanyagok_DID'!O54="R"),"",D54)))</f>
      </c>
      <c r="I54" t="s" s="372">
        <f>IF(B54="","",IF(OR('Alapanyagok'!O54='Auswahldaten'!$A$13,'Alapanyagok_DID'!Q54="Y"),"",D54))</f>
      </c>
      <c r="J54" t="s" s="372">
        <f>IF(B54="","",IF('Alapanyagok'!U54="Y",D54,""))</f>
      </c>
      <c r="K54" t="s" s="372">
        <f>IF('Alapanyagok'!V54="","",'Alapanyagok'!V54*D54/100)</f>
      </c>
      <c r="L54" s="149"/>
      <c r="M54" s="151"/>
      <c r="N54" s="151"/>
      <c r="O54" s="151"/>
      <c r="P54" s="151"/>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4"/>
    </row>
    <row r="55" ht="15.75" customHeight="1">
      <c r="A55" s="371">
        <v>44</v>
      </c>
      <c r="B55" t="s" s="531">
        <f>IF('Alapanyagok_DID'!B55="","",'Alapanyagok_DID'!B55)</f>
      </c>
      <c r="C55" t="s" s="372">
        <f>IF('Alapanyagok_DID'!G55="","",'Alapanyagok_DID'!G55)</f>
      </c>
      <c r="D55" t="s" s="372">
        <f>IF(B55="","",C55*'Termék'!$C$40/100)</f>
      </c>
      <c r="E55" t="s" s="530">
        <f>IF(B55="","",D55*'Alapanyagok_DID'!M55/'Alapanyagok_DID'!N55*1000)</f>
      </c>
      <c r="F55" t="s" s="372">
        <f>IF(OR('Alapanyagok'!Q55="N",'Alapanyagok_DID'!O55="R"),"",C55)</f>
      </c>
      <c r="G55" t="s" s="372">
        <f>IF(OR('Alapanyagok'!T55="N",'Alapanyagok_DID'!P55="Y"),"",C55)</f>
      </c>
      <c r="H55" t="s" s="372">
        <f>IF(B55="","",(IF(OR('Alapanyagok'!O55='Auswahldaten'!$A$13,'Alapanyagok_DID'!O55="R"),"",D55)))</f>
      </c>
      <c r="I55" t="s" s="372">
        <f>IF(B55="","",IF(OR('Alapanyagok'!O55='Auswahldaten'!$A$13,'Alapanyagok_DID'!Q55="Y"),"",D55))</f>
      </c>
      <c r="J55" t="s" s="372">
        <f>IF(B55="","",IF('Alapanyagok'!U55="Y",D55,""))</f>
      </c>
      <c r="K55" t="s" s="372">
        <f>IF('Alapanyagok'!V55="","",'Alapanyagok'!V55*D55/100)</f>
      </c>
      <c r="L55" s="149"/>
      <c r="M55" s="151"/>
      <c r="N55" s="151"/>
      <c r="O55" s="151"/>
      <c r="P55" s="151"/>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4"/>
    </row>
    <row r="56" ht="15.75" customHeight="1">
      <c r="A56" s="371">
        <v>45</v>
      </c>
      <c r="B56" t="s" s="531">
        <f>IF('Alapanyagok_DID'!B56="","",'Alapanyagok_DID'!B56)</f>
      </c>
      <c r="C56" t="s" s="372">
        <f>IF('Alapanyagok_DID'!G56="","",'Alapanyagok_DID'!G56)</f>
      </c>
      <c r="D56" t="s" s="372">
        <f>IF(B56="","",C56*'Termék'!$C$40/100)</f>
      </c>
      <c r="E56" t="s" s="530">
        <f>IF(B56="","",D56*'Alapanyagok_DID'!M56/'Alapanyagok_DID'!N56*1000)</f>
      </c>
      <c r="F56" t="s" s="372">
        <f>IF(OR('Alapanyagok'!Q56="N",'Alapanyagok_DID'!O56="R"),"",C56)</f>
      </c>
      <c r="G56" t="s" s="372">
        <f>IF(OR('Alapanyagok'!T56="N",'Alapanyagok_DID'!P56="Y"),"",C56)</f>
      </c>
      <c r="H56" t="s" s="372">
        <f>IF(B56="","",(IF(OR('Alapanyagok'!O56='Auswahldaten'!$A$13,'Alapanyagok_DID'!O56="R"),"",D56)))</f>
      </c>
      <c r="I56" t="s" s="372">
        <f>IF(B56="","",IF(OR('Alapanyagok'!O56='Auswahldaten'!$A$13,'Alapanyagok_DID'!Q56="Y"),"",D56))</f>
      </c>
      <c r="J56" t="s" s="372">
        <f>IF(B56="","",IF('Alapanyagok'!U56="Y",D56,""))</f>
      </c>
      <c r="K56" t="s" s="372">
        <f>IF('Alapanyagok'!V56="","",'Alapanyagok'!V56*D56/100)</f>
      </c>
      <c r="L56" s="149"/>
      <c r="M56" s="151"/>
      <c r="N56" s="151"/>
      <c r="O56" s="151"/>
      <c r="P56" s="151"/>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4"/>
    </row>
    <row r="57" ht="15.75" customHeight="1">
      <c r="A57" s="371">
        <v>46</v>
      </c>
      <c r="B57" t="s" s="531">
        <f>IF('Alapanyagok_DID'!B57="","",'Alapanyagok_DID'!B57)</f>
      </c>
      <c r="C57" t="s" s="372">
        <f>IF('Alapanyagok_DID'!G57="","",'Alapanyagok_DID'!G57)</f>
      </c>
      <c r="D57" t="s" s="372">
        <f>IF(B57="","",C57*'Termék'!$C$40/100)</f>
      </c>
      <c r="E57" t="s" s="530">
        <f>IF(B57="","",D57*'Alapanyagok_DID'!M57/'Alapanyagok_DID'!N57*1000)</f>
      </c>
      <c r="F57" t="s" s="372">
        <f>IF(OR('Alapanyagok'!Q57="N",'Alapanyagok_DID'!O57="R"),"",C57)</f>
      </c>
      <c r="G57" t="s" s="372">
        <f>IF(OR('Alapanyagok'!T57="N",'Alapanyagok_DID'!P57="Y"),"",C57)</f>
      </c>
      <c r="H57" t="s" s="372">
        <f>IF(B57="","",(IF(OR('Alapanyagok'!O57='Auswahldaten'!$A$13,'Alapanyagok_DID'!O57="R"),"",D57)))</f>
      </c>
      <c r="I57" t="s" s="372">
        <f>IF(B57="","",IF(OR('Alapanyagok'!O57='Auswahldaten'!$A$13,'Alapanyagok_DID'!Q57="Y"),"",D57))</f>
      </c>
      <c r="J57" t="s" s="372">
        <f>IF(B57="","",IF('Alapanyagok'!U57="Y",D57,""))</f>
      </c>
      <c r="K57" t="s" s="372">
        <f>IF('Alapanyagok'!V57="","",'Alapanyagok'!V57*D57/100)</f>
      </c>
      <c r="L57" s="149"/>
      <c r="M57" s="151"/>
      <c r="N57" s="151"/>
      <c r="O57" s="151"/>
      <c r="P57" s="151"/>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4"/>
    </row>
    <row r="58" ht="15.75" customHeight="1">
      <c r="A58" s="371">
        <v>47</v>
      </c>
      <c r="B58" t="s" s="531">
        <f>IF('Alapanyagok_DID'!B58="","",'Alapanyagok_DID'!B58)</f>
      </c>
      <c r="C58" t="s" s="372">
        <f>IF('Alapanyagok_DID'!G58="","",'Alapanyagok_DID'!G58)</f>
      </c>
      <c r="D58" t="s" s="372">
        <f>IF(B58="","",C58*'Termék'!$C$40/100)</f>
      </c>
      <c r="E58" t="s" s="530">
        <f>IF(B58="","",D58*'Alapanyagok_DID'!M58/'Alapanyagok_DID'!N58*1000)</f>
      </c>
      <c r="F58" t="s" s="372">
        <f>IF(OR('Alapanyagok'!Q58="N",'Alapanyagok_DID'!O58="R"),"",C58)</f>
      </c>
      <c r="G58" t="s" s="372">
        <f>IF(OR('Alapanyagok'!T58="N",'Alapanyagok_DID'!P58="Y"),"",C58)</f>
      </c>
      <c r="H58" t="s" s="372">
        <f>IF(B58="","",(IF(OR('Alapanyagok'!O58='Auswahldaten'!$A$13,'Alapanyagok_DID'!O58="R"),"",D58)))</f>
      </c>
      <c r="I58" t="s" s="372">
        <f>IF(B58="","",IF(OR('Alapanyagok'!O58='Auswahldaten'!$A$13,'Alapanyagok_DID'!Q58="Y"),"",D58))</f>
      </c>
      <c r="J58" t="s" s="372">
        <f>IF(B58="","",IF('Alapanyagok'!U58="Y",D58,""))</f>
      </c>
      <c r="K58" t="s" s="372">
        <f>IF('Alapanyagok'!V58="","",'Alapanyagok'!V58*D58/100)</f>
      </c>
      <c r="L58" s="149"/>
      <c r="M58" s="151"/>
      <c r="N58" s="151"/>
      <c r="O58" s="151"/>
      <c r="P58" s="151"/>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4"/>
    </row>
    <row r="59" ht="15.75" customHeight="1">
      <c r="A59" s="371">
        <v>48</v>
      </c>
      <c r="B59" t="s" s="531">
        <f>IF('Alapanyagok_DID'!B59="","",'Alapanyagok_DID'!B59)</f>
      </c>
      <c r="C59" t="s" s="372">
        <f>IF('Alapanyagok_DID'!G59="","",'Alapanyagok_DID'!G59)</f>
      </c>
      <c r="D59" t="s" s="372">
        <f>IF(B59="","",C59*'Termék'!$C$40/100)</f>
      </c>
      <c r="E59" t="s" s="530">
        <f>IF(B59="","",D59*'Alapanyagok_DID'!M59/'Alapanyagok_DID'!N59*1000)</f>
      </c>
      <c r="F59" t="s" s="372">
        <f>IF(OR('Alapanyagok'!Q59="N",'Alapanyagok_DID'!O59="R"),"",C59)</f>
      </c>
      <c r="G59" t="s" s="372">
        <f>IF(OR('Alapanyagok'!T59="N",'Alapanyagok_DID'!P59="Y"),"",C59)</f>
      </c>
      <c r="H59" t="s" s="372">
        <f>IF(B59="","",(IF(OR('Alapanyagok'!O59='Auswahldaten'!$A$13,'Alapanyagok_DID'!O59="R"),"",D59)))</f>
      </c>
      <c r="I59" t="s" s="372">
        <f>IF(B59="","",IF(OR('Alapanyagok'!O59='Auswahldaten'!$A$13,'Alapanyagok_DID'!Q59="Y"),"",D59))</f>
      </c>
      <c r="J59" t="s" s="372">
        <f>IF(B59="","",IF('Alapanyagok'!U59="Y",D59,""))</f>
      </c>
      <c r="K59" t="s" s="372">
        <f>IF('Alapanyagok'!V59="","",'Alapanyagok'!V59*D59/100)</f>
      </c>
      <c r="L59" s="149"/>
      <c r="M59" s="151"/>
      <c r="N59" s="151"/>
      <c r="O59" s="151"/>
      <c r="P59" s="151"/>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4"/>
    </row>
    <row r="60" ht="15.75" customHeight="1">
      <c r="A60" s="371">
        <v>49</v>
      </c>
      <c r="B60" t="s" s="531">
        <f>IF('Alapanyagok_DID'!B60="","",'Alapanyagok_DID'!B60)</f>
      </c>
      <c r="C60" t="s" s="372">
        <f>IF('Alapanyagok_DID'!G60="","",'Alapanyagok_DID'!G60)</f>
      </c>
      <c r="D60" t="s" s="372">
        <f>IF(B60="","",C60*'Termék'!$C$40/100)</f>
      </c>
      <c r="E60" t="s" s="530">
        <f>IF(B60="","",D60*'Alapanyagok_DID'!M60/'Alapanyagok_DID'!N60*1000)</f>
      </c>
      <c r="F60" t="s" s="372">
        <f>IF(OR('Alapanyagok'!Q60="N",'Alapanyagok_DID'!O60="R"),"",C60)</f>
      </c>
      <c r="G60" t="s" s="372">
        <f>IF(OR('Alapanyagok'!T60="N",'Alapanyagok_DID'!P60="Y"),"",C60)</f>
      </c>
      <c r="H60" t="s" s="372">
        <f>IF(B60="","",(IF(OR('Alapanyagok'!O60='Auswahldaten'!$A$13,'Alapanyagok_DID'!O60="R"),"",D60)))</f>
      </c>
      <c r="I60" t="s" s="372">
        <f>IF(B60="","",IF(OR('Alapanyagok'!O60='Auswahldaten'!$A$13,'Alapanyagok_DID'!Q60="Y"),"",D60))</f>
      </c>
      <c r="J60" t="s" s="372">
        <f>IF(B60="","",IF('Alapanyagok'!U60="Y",D60,""))</f>
      </c>
      <c r="K60" t="s" s="372">
        <f>IF('Alapanyagok'!V60="","",'Alapanyagok'!V60*D60/100)</f>
      </c>
      <c r="L60" s="149"/>
      <c r="M60" s="151"/>
      <c r="N60" s="151"/>
      <c r="O60" s="151"/>
      <c r="P60" s="151"/>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4"/>
    </row>
    <row r="61" ht="15.75" customHeight="1">
      <c r="A61" s="371">
        <v>50</v>
      </c>
      <c r="B61" t="s" s="531">
        <f>IF('Alapanyagok_DID'!B61="","",'Alapanyagok_DID'!B61)</f>
      </c>
      <c r="C61" t="s" s="372">
        <f>IF('Alapanyagok_DID'!G61="","",'Alapanyagok_DID'!G61)</f>
      </c>
      <c r="D61" t="s" s="372">
        <f>IF(B61="","",C61*'Termék'!$C$40/100)</f>
      </c>
      <c r="E61" t="s" s="530">
        <f>IF(B61="","",D61*'Alapanyagok_DID'!M61/'Alapanyagok_DID'!N61*1000)</f>
      </c>
      <c r="F61" t="s" s="372">
        <f>IF(OR('Alapanyagok'!Q61="N",'Alapanyagok_DID'!O61="R"),"",C61)</f>
      </c>
      <c r="G61" t="s" s="372">
        <f>IF(OR('Alapanyagok'!T61="N",'Alapanyagok_DID'!P61="Y"),"",C61)</f>
      </c>
      <c r="H61" t="s" s="372">
        <f>IF(B61="","",(IF(OR('Alapanyagok'!O61='Auswahldaten'!$A$13,'Alapanyagok_DID'!O61="R"),"",D61)))</f>
      </c>
      <c r="I61" t="s" s="372">
        <f>IF(B61="","",IF(OR('Alapanyagok'!O61='Auswahldaten'!$A$13,'Alapanyagok_DID'!Q61="Y"),"",D61))</f>
      </c>
      <c r="J61" t="s" s="372">
        <f>IF(B61="","",IF('Alapanyagok'!U61="Y",D61,""))</f>
      </c>
      <c r="K61" t="s" s="372">
        <f>IF('Alapanyagok'!V61="","",'Alapanyagok'!V61*D61/100)</f>
      </c>
      <c r="L61" s="149"/>
      <c r="M61" s="151"/>
      <c r="N61" s="151"/>
      <c r="O61" s="151"/>
      <c r="P61" s="151"/>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4"/>
    </row>
    <row r="62" ht="15.75" customHeight="1">
      <c r="A62" s="536"/>
      <c r="B62" t="s" s="537">
        <f>'Összetétel'!B62</f>
        <v>321</v>
      </c>
      <c r="C62" s="538"/>
      <c r="D62" s="539"/>
      <c r="E62" s="540">
        <f>SUM(E13:E61)</f>
        <v>0</v>
      </c>
      <c r="F62" s="541">
        <f>SUM(F13:F61)</f>
        <v>0</v>
      </c>
      <c r="G62" s="542">
        <f>SUM(G13:G61)</f>
        <v>0</v>
      </c>
      <c r="H62" s="543">
        <f>SUM(H13:H61)</f>
        <v>0</v>
      </c>
      <c r="I62" s="543">
        <f>SUM(I13:I61)</f>
        <v>0</v>
      </c>
      <c r="J62" s="541">
        <f>SUM(J13:J61)</f>
        <v>0</v>
      </c>
      <c r="K62" s="544">
        <f>SUM(K13:K61)</f>
        <v>0</v>
      </c>
      <c r="L62" s="149"/>
      <c r="M62" s="151"/>
      <c r="N62" s="151"/>
      <c r="O62" s="151"/>
      <c r="P62" s="151"/>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4"/>
    </row>
    <row r="63" ht="39.75" customHeight="1">
      <c r="A63" s="28"/>
      <c r="B63" t="s" s="545">
        <v>322</v>
      </c>
      <c r="C63" s="13"/>
      <c r="D63" s="546"/>
      <c r="E63" t="s" s="547">
        <f>"="&amp;E10</f>
        <v>323</v>
      </c>
      <c r="F63" t="s" s="547">
        <f>IF('Adatlap'!$L$1='Fordítások'!C3,'Fordítások'!C47,'Fordítások'!B47)</f>
        <v>324</v>
      </c>
      <c r="G63" t="s" s="547">
        <f>IF('Adatlap'!$L$1='Fordítások'!C3,'Fordítások'!C48,'Fordítások'!B48)</f>
        <v>325</v>
      </c>
      <c r="H63" t="s" s="547">
        <f>IF('Adatlap'!$L$1='Fordítások'!C3,'Fordítások'!C49,'Fordítások'!B49)</f>
        <v>326</v>
      </c>
      <c r="I63" t="s" s="547">
        <f>IF('Adatlap'!$L$1='Fordítások'!C3,'Fordítások'!C50,'Fordítások'!B50)</f>
        <v>327</v>
      </c>
      <c r="J63" t="s" s="547">
        <v>328</v>
      </c>
      <c r="K63" t="s" s="547">
        <v>329</v>
      </c>
      <c r="L63" s="149"/>
      <c r="M63" s="151"/>
      <c r="N63" s="151"/>
      <c r="O63" s="151"/>
      <c r="P63" s="151"/>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4"/>
    </row>
    <row r="64" ht="15.75" customHeight="1">
      <c r="A64" s="28"/>
      <c r="B64" t="s" s="548">
        <v>322</v>
      </c>
      <c r="C64" s="101"/>
      <c r="D64" t="s" s="549">
        <f>IF('Adatlap'!$L$1='Fordítások'!C3,'Fordítások'!C89,'Fordítások'!B89)</f>
        <v>330</v>
      </c>
      <c r="E64" s="550">
        <f>VLOOKUP('Termék'!$C$24,'Auswahldaten'!$A$113:$F$137,2,FALSE)</f>
      </c>
      <c r="F64" s="551">
        <v>0</v>
      </c>
      <c r="G64" s="551">
        <v>0</v>
      </c>
      <c r="H64" s="550">
        <f>VLOOKUP('Termék'!$C$24,'Auswahldaten'!$A$113:$F$137,3,FALSE)</f>
      </c>
      <c r="I64" s="550">
        <f>VLOOKUP('Termék'!$C$24,'Auswahldaten'!$A$113:$F$137,4,FALSE)</f>
      </c>
      <c r="J64" s="550">
        <f>VLOOKUP('Termék'!$C$24,'Auswahldaten'!$A$113:$F$137,5,FALSE)</f>
      </c>
      <c r="K64" s="550">
        <f>VLOOKUP('Termék'!$C$24,'Auswahldaten'!$A$113:$F$137,6,FALSE)</f>
      </c>
      <c r="L64" s="149"/>
      <c r="M64" s="151"/>
      <c r="N64" s="151"/>
      <c r="O64" s="151"/>
      <c r="P64" s="151"/>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4"/>
    </row>
    <row r="65" ht="16.5" customHeight="1">
      <c r="A65" s="28"/>
      <c r="B65" t="s" s="548">
        <v>322</v>
      </c>
      <c r="C65" s="101"/>
      <c r="D65" t="s" s="549">
        <f>IF('Adatlap'!$L$1='Fordítások'!C3,'Fordítások'!C90,'Fordítások'!B90)</f>
        <v>331</v>
      </c>
      <c r="E65" s="207">
        <f>IF(E62&lt;=E64,"ok","not ok")</f>
      </c>
      <c r="F65" t="s" s="552">
        <f>IF(F62=0,"ok","not ok")</f>
        <v>332</v>
      </c>
      <c r="G65" t="s" s="552">
        <f>IF(G62=0,"ok","not ok")</f>
        <v>332</v>
      </c>
      <c r="H65" s="553">
        <f>IF(H62&lt;=H64,"ok","not ok")</f>
      </c>
      <c r="I65" s="207">
        <f>IF(I62&lt;=I64,"ok","not ok")</f>
      </c>
      <c r="J65" s="207">
        <f>IF(J62&lt;=J64,"ok","not ok")</f>
      </c>
      <c r="K65" s="207">
        <f>IF(K62&lt;=K64,"ok","not ok")</f>
      </c>
      <c r="L65" s="149"/>
      <c r="M65" s="151"/>
      <c r="N65" s="151"/>
      <c r="O65" s="151"/>
      <c r="P65" s="151"/>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4"/>
    </row>
    <row r="66" ht="16.5" customHeight="1">
      <c r="A66" s="28"/>
      <c r="B66" s="39"/>
      <c r="C66" s="39"/>
      <c r="D66" s="68"/>
      <c r="E66" s="68"/>
      <c r="F66" s="68"/>
      <c r="G66" s="68"/>
      <c r="H66" s="68"/>
      <c r="I66" s="68"/>
      <c r="J66" s="68"/>
      <c r="K66" s="332"/>
      <c r="L66" s="151"/>
      <c r="M66" s="151"/>
      <c r="N66" s="151"/>
      <c r="O66" s="151"/>
      <c r="P66" s="151"/>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4"/>
    </row>
    <row r="67" ht="46.5" customHeight="1">
      <c r="A67" s="406"/>
      <c r="B67" t="s" s="313">
        <f>'Összetétel'!B12</f>
        <v>333</v>
      </c>
      <c r="C67" s="411"/>
      <c r="D67" s="411"/>
      <c r="E67" s="411"/>
      <c r="F67" s="411"/>
      <c r="G67" s="411"/>
      <c r="H67" s="411"/>
      <c r="I67" s="411"/>
      <c r="J67" s="411"/>
      <c r="K67" s="407"/>
      <c r="L67" s="149"/>
      <c r="M67" s="151"/>
      <c r="N67" s="151"/>
      <c r="O67" s="151"/>
      <c r="P67" s="151"/>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4"/>
    </row>
    <row r="68" ht="15.75" customHeight="1">
      <c r="A68" s="28"/>
      <c r="B68" s="69"/>
      <c r="C68" s="69"/>
      <c r="D68" s="69"/>
      <c r="E68" s="69"/>
      <c r="F68" s="69"/>
      <c r="G68" s="69"/>
      <c r="H68" s="69"/>
      <c r="I68" s="69"/>
      <c r="J68" s="69"/>
      <c r="K68" s="340"/>
      <c r="L68" s="151"/>
      <c r="M68" s="151"/>
      <c r="N68" s="151"/>
      <c r="O68" s="151"/>
      <c r="P68" s="151"/>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4"/>
    </row>
    <row r="69" ht="15.75" customHeight="1">
      <c r="A69" s="28"/>
      <c r="B69" s="13"/>
      <c r="C69" s="13"/>
      <c r="D69" s="13"/>
      <c r="E69" s="13"/>
      <c r="F69" s="13"/>
      <c r="G69" s="13"/>
      <c r="H69" s="13"/>
      <c r="I69" s="13"/>
      <c r="J69" s="13"/>
      <c r="K69" s="151"/>
      <c r="L69" s="151"/>
      <c r="M69" s="151"/>
      <c r="N69" s="151"/>
      <c r="O69" s="151"/>
      <c r="P69" s="151"/>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4"/>
    </row>
    <row r="70" ht="15.75" customHeight="1">
      <c r="A70" s="28"/>
      <c r="B70" s="13"/>
      <c r="C70" s="13"/>
      <c r="D70" s="13"/>
      <c r="E70" s="13"/>
      <c r="F70" s="13"/>
      <c r="G70" s="13"/>
      <c r="H70" s="13"/>
      <c r="I70" s="13"/>
      <c r="J70" s="13"/>
      <c r="K70" s="151"/>
      <c r="L70" s="151"/>
      <c r="M70" s="151"/>
      <c r="N70" s="151"/>
      <c r="O70" s="151"/>
      <c r="P70" s="151"/>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4"/>
    </row>
    <row r="71" ht="15.75" customHeight="1">
      <c r="A71" s="28"/>
      <c r="B71" s="13"/>
      <c r="C71" s="13"/>
      <c r="D71" s="13"/>
      <c r="E71" s="13"/>
      <c r="F71" s="13"/>
      <c r="G71" s="13"/>
      <c r="H71" s="13"/>
      <c r="I71" s="13"/>
      <c r="J71" s="13"/>
      <c r="K71" s="151"/>
      <c r="L71" s="151"/>
      <c r="M71" s="151"/>
      <c r="N71" s="151"/>
      <c r="O71" s="151"/>
      <c r="P71" s="151"/>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4"/>
    </row>
    <row r="72" ht="15.75" customHeight="1">
      <c r="A72" s="28"/>
      <c r="B72" s="13"/>
      <c r="C72" s="13"/>
      <c r="D72" s="13"/>
      <c r="E72" s="13"/>
      <c r="F72" s="13"/>
      <c r="G72" s="13"/>
      <c r="H72" s="13"/>
      <c r="I72" s="13"/>
      <c r="J72" s="13"/>
      <c r="K72" s="151"/>
      <c r="L72" s="151"/>
      <c r="M72" s="151"/>
      <c r="N72" s="151"/>
      <c r="O72" s="151"/>
      <c r="P72" s="151"/>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4"/>
    </row>
    <row r="73" ht="15.75" customHeight="1">
      <c r="A73" s="28"/>
      <c r="B73" s="13"/>
      <c r="C73" s="13"/>
      <c r="D73" s="13"/>
      <c r="E73" s="13"/>
      <c r="F73" s="13"/>
      <c r="G73" s="13"/>
      <c r="H73" s="13"/>
      <c r="I73" s="13"/>
      <c r="J73" s="13"/>
      <c r="K73" s="151"/>
      <c r="L73" s="151"/>
      <c r="M73" s="151"/>
      <c r="N73" s="151"/>
      <c r="O73" s="151"/>
      <c r="P73" s="151"/>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4"/>
    </row>
    <row r="74" ht="15.75" customHeight="1">
      <c r="A74" s="28"/>
      <c r="B74" s="13"/>
      <c r="C74" s="13"/>
      <c r="D74" s="13"/>
      <c r="E74" s="13"/>
      <c r="F74" s="13"/>
      <c r="G74" s="13"/>
      <c r="H74" s="13"/>
      <c r="I74" s="13"/>
      <c r="J74" s="13"/>
      <c r="K74" s="151"/>
      <c r="L74" s="151"/>
      <c r="M74" s="151"/>
      <c r="N74" s="151"/>
      <c r="O74" s="151"/>
      <c r="P74" s="151"/>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4"/>
    </row>
    <row r="75" ht="15.75" customHeight="1">
      <c r="A75" s="28"/>
      <c r="B75" s="13"/>
      <c r="C75" s="13"/>
      <c r="D75" s="13"/>
      <c r="E75" s="13"/>
      <c r="F75" s="13"/>
      <c r="G75" s="13"/>
      <c r="H75" s="13"/>
      <c r="I75" s="13"/>
      <c r="J75" s="13"/>
      <c r="K75" s="151"/>
      <c r="L75" s="151"/>
      <c r="M75" s="151"/>
      <c r="N75" s="151"/>
      <c r="O75" s="151"/>
      <c r="P75" s="151"/>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4"/>
    </row>
    <row r="76" ht="15.75" customHeight="1">
      <c r="A76" s="28"/>
      <c r="B76" s="13"/>
      <c r="C76" s="13"/>
      <c r="D76" s="13"/>
      <c r="E76" s="13"/>
      <c r="F76" s="13"/>
      <c r="G76" s="13"/>
      <c r="H76" s="13"/>
      <c r="I76" s="13"/>
      <c r="J76" s="13"/>
      <c r="K76" s="151"/>
      <c r="L76" s="151"/>
      <c r="M76" s="151"/>
      <c r="N76" s="151"/>
      <c r="O76" s="151"/>
      <c r="P76" s="151"/>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4"/>
    </row>
    <row r="77" ht="15.75" customHeight="1">
      <c r="A77" s="28"/>
      <c r="B77" s="13"/>
      <c r="C77" s="13"/>
      <c r="D77" s="13"/>
      <c r="E77" s="13"/>
      <c r="F77" s="13"/>
      <c r="G77" s="13"/>
      <c r="H77" s="13"/>
      <c r="I77" s="13"/>
      <c r="J77" s="13"/>
      <c r="K77" s="151"/>
      <c r="L77" s="151"/>
      <c r="M77" s="151"/>
      <c r="N77" s="151"/>
      <c r="O77" s="151"/>
      <c r="P77" s="151"/>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4"/>
    </row>
    <row r="78" ht="15.75" customHeight="1">
      <c r="A78" s="28"/>
      <c r="B78" s="13"/>
      <c r="C78" s="13"/>
      <c r="D78" s="13"/>
      <c r="E78" s="13"/>
      <c r="F78" s="13"/>
      <c r="G78" s="13"/>
      <c r="H78" s="13"/>
      <c r="I78" s="13"/>
      <c r="J78" s="13"/>
      <c r="K78" s="151"/>
      <c r="L78" s="151"/>
      <c r="M78" s="151"/>
      <c r="N78" s="151"/>
      <c r="O78" s="151"/>
      <c r="P78" s="151"/>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4"/>
    </row>
    <row r="79" ht="15.75" customHeight="1">
      <c r="A79" s="28"/>
      <c r="B79" s="13"/>
      <c r="C79" s="13"/>
      <c r="D79" s="13"/>
      <c r="E79" s="13"/>
      <c r="F79" s="13"/>
      <c r="G79" s="13"/>
      <c r="H79" s="13"/>
      <c r="I79" s="13"/>
      <c r="J79" s="13"/>
      <c r="K79" s="151"/>
      <c r="L79" s="151"/>
      <c r="M79" s="151"/>
      <c r="N79" s="151"/>
      <c r="O79" s="151"/>
      <c r="P79" s="151"/>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4"/>
    </row>
    <row r="80" ht="15.75" customHeight="1">
      <c r="A80" s="28"/>
      <c r="B80" s="13"/>
      <c r="C80" s="13"/>
      <c r="D80" s="13"/>
      <c r="E80" s="13"/>
      <c r="F80" s="13"/>
      <c r="G80" s="13"/>
      <c r="H80" s="13"/>
      <c r="I80" s="13"/>
      <c r="J80" s="13"/>
      <c r="K80" s="151"/>
      <c r="L80" s="151"/>
      <c r="M80" s="151"/>
      <c r="N80" s="151"/>
      <c r="O80" s="151"/>
      <c r="P80" s="151"/>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4"/>
    </row>
    <row r="81" ht="15.75" customHeight="1">
      <c r="A81" s="28"/>
      <c r="B81" s="13"/>
      <c r="C81" s="13"/>
      <c r="D81" s="13"/>
      <c r="E81" s="13"/>
      <c r="F81" s="13"/>
      <c r="G81" s="13"/>
      <c r="H81" s="13"/>
      <c r="I81" s="13"/>
      <c r="J81" s="13"/>
      <c r="K81" s="151"/>
      <c r="L81" s="151"/>
      <c r="M81" s="151"/>
      <c r="N81" s="151"/>
      <c r="O81" s="151"/>
      <c r="P81" s="151"/>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4"/>
    </row>
    <row r="82" ht="15.75" customHeight="1">
      <c r="A82" s="28"/>
      <c r="B82" s="13"/>
      <c r="C82" s="13"/>
      <c r="D82" s="13"/>
      <c r="E82" s="13"/>
      <c r="F82" s="13"/>
      <c r="G82" s="13"/>
      <c r="H82" s="13"/>
      <c r="I82" s="13"/>
      <c r="J82" s="13"/>
      <c r="K82" s="151"/>
      <c r="L82" s="151"/>
      <c r="M82" s="151"/>
      <c r="N82" s="151"/>
      <c r="O82" s="151"/>
      <c r="P82" s="151"/>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4"/>
    </row>
    <row r="83" ht="15.75" customHeight="1">
      <c r="A83" s="28"/>
      <c r="B83" s="13"/>
      <c r="C83" s="13"/>
      <c r="D83" s="13"/>
      <c r="E83" s="13"/>
      <c r="F83" s="13"/>
      <c r="G83" s="13"/>
      <c r="H83" s="13"/>
      <c r="I83" s="13"/>
      <c r="J83" s="13"/>
      <c r="K83" s="151"/>
      <c r="L83" s="151"/>
      <c r="M83" s="151"/>
      <c r="N83" s="151"/>
      <c r="O83" s="151"/>
      <c r="P83" s="151"/>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4"/>
    </row>
    <row r="84" ht="15.75" customHeight="1">
      <c r="A84" s="28"/>
      <c r="B84" s="13"/>
      <c r="C84" s="13"/>
      <c r="D84" s="13"/>
      <c r="E84" s="13"/>
      <c r="F84" s="13"/>
      <c r="G84" s="13"/>
      <c r="H84" s="13"/>
      <c r="I84" s="13"/>
      <c r="J84" s="13"/>
      <c r="K84" s="151"/>
      <c r="L84" s="151"/>
      <c r="M84" s="151"/>
      <c r="N84" s="151"/>
      <c r="O84" s="151"/>
      <c r="P84" s="151"/>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4"/>
    </row>
    <row r="85" ht="15.75" customHeight="1">
      <c r="A85" s="28"/>
      <c r="B85" s="13"/>
      <c r="C85" s="13"/>
      <c r="D85" s="13"/>
      <c r="E85" s="13"/>
      <c r="F85" s="13"/>
      <c r="G85" s="13"/>
      <c r="H85" s="13"/>
      <c r="I85" s="13"/>
      <c r="J85" s="13"/>
      <c r="K85" s="151"/>
      <c r="L85" s="151"/>
      <c r="M85" s="151"/>
      <c r="N85" s="151"/>
      <c r="O85" s="151"/>
      <c r="P85" s="151"/>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4"/>
    </row>
    <row r="86" ht="15.75" customHeight="1">
      <c r="A86" s="28"/>
      <c r="B86" s="13"/>
      <c r="C86" s="13"/>
      <c r="D86" s="13"/>
      <c r="E86" s="13"/>
      <c r="F86" s="13"/>
      <c r="G86" s="13"/>
      <c r="H86" s="13"/>
      <c r="I86" s="13"/>
      <c r="J86" s="13"/>
      <c r="K86" s="151"/>
      <c r="L86" s="151"/>
      <c r="M86" s="151"/>
      <c r="N86" s="151"/>
      <c r="O86" s="151"/>
      <c r="P86" s="151"/>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4"/>
    </row>
    <row r="87" ht="15.75" customHeight="1">
      <c r="A87" s="28"/>
      <c r="B87" s="13"/>
      <c r="C87" s="13"/>
      <c r="D87" s="13"/>
      <c r="E87" s="13"/>
      <c r="F87" s="13"/>
      <c r="G87" s="13"/>
      <c r="H87" s="13"/>
      <c r="I87" s="13"/>
      <c r="J87" s="13"/>
      <c r="K87" s="151"/>
      <c r="L87" s="151"/>
      <c r="M87" s="151"/>
      <c r="N87" s="151"/>
      <c r="O87" s="151"/>
      <c r="P87" s="151"/>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4"/>
    </row>
    <row r="88" ht="15.75" customHeight="1">
      <c r="A88" s="28"/>
      <c r="B88" s="13"/>
      <c r="C88" s="13"/>
      <c r="D88" s="13"/>
      <c r="E88" s="13"/>
      <c r="F88" s="13"/>
      <c r="G88" s="13"/>
      <c r="H88" s="13"/>
      <c r="I88" s="13"/>
      <c r="J88" s="13"/>
      <c r="K88" s="151"/>
      <c r="L88" s="151"/>
      <c r="M88" s="151"/>
      <c r="N88" s="151"/>
      <c r="O88" s="151"/>
      <c r="P88" s="151"/>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4"/>
    </row>
    <row r="89" ht="15.75" customHeight="1">
      <c r="A89" s="28"/>
      <c r="B89" s="13"/>
      <c r="C89" s="13"/>
      <c r="D89" s="13"/>
      <c r="E89" s="13"/>
      <c r="F89" s="13"/>
      <c r="G89" s="13"/>
      <c r="H89" s="13"/>
      <c r="I89" s="13"/>
      <c r="J89" s="13"/>
      <c r="K89" s="151"/>
      <c r="L89" s="151"/>
      <c r="M89" s="151"/>
      <c r="N89" s="151"/>
      <c r="O89" s="151"/>
      <c r="P89" s="151"/>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4"/>
    </row>
    <row r="90" ht="15.75" customHeight="1">
      <c r="A90" s="227"/>
      <c r="B90" s="227"/>
      <c r="C90" s="227"/>
      <c r="D90" s="227"/>
      <c r="E90" s="227"/>
      <c r="F90" s="227"/>
      <c r="G90" s="227"/>
      <c r="H90" s="227"/>
      <c r="I90" s="130"/>
      <c r="J90" s="13"/>
      <c r="K90" s="151"/>
      <c r="L90" s="151"/>
      <c r="M90" s="151"/>
      <c r="N90" s="151"/>
      <c r="O90" s="151"/>
      <c r="P90" s="151"/>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4"/>
    </row>
    <row r="91" ht="15.75" customHeight="1">
      <c r="A91" s="142"/>
      <c r="B91" s="142"/>
      <c r="C91" s="142"/>
      <c r="D91" s="142"/>
      <c r="E91" s="142"/>
      <c r="F91" s="142"/>
      <c r="G91" s="142"/>
      <c r="H91" s="142"/>
      <c r="I91" s="146"/>
      <c r="J91" s="13"/>
      <c r="K91" s="151"/>
      <c r="L91" s="151"/>
      <c r="M91" s="151"/>
      <c r="N91" s="151"/>
      <c r="O91" s="151"/>
      <c r="P91" s="151"/>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4"/>
    </row>
    <row r="92" ht="15.75" customHeight="1">
      <c r="A92" s="142"/>
      <c r="B92" s="142"/>
      <c r="C92" s="142"/>
      <c r="D92" s="142"/>
      <c r="E92" s="142"/>
      <c r="F92" s="142"/>
      <c r="G92" s="142"/>
      <c r="H92" s="142"/>
      <c r="I92" s="146"/>
      <c r="J92" s="13"/>
      <c r="K92" s="151"/>
      <c r="L92" s="151"/>
      <c r="M92" s="151"/>
      <c r="N92" s="151"/>
      <c r="O92" s="151"/>
      <c r="P92" s="151"/>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4"/>
    </row>
    <row r="93" ht="15.75" customHeight="1">
      <c r="A93" s="142"/>
      <c r="B93" s="142"/>
      <c r="C93" s="142"/>
      <c r="D93" s="142"/>
      <c r="E93" s="142"/>
      <c r="F93" s="142"/>
      <c r="G93" s="142"/>
      <c r="H93" s="142"/>
      <c r="I93" s="146"/>
      <c r="J93" s="13"/>
      <c r="K93" s="151"/>
      <c r="L93" s="151"/>
      <c r="M93" s="151"/>
      <c r="N93" s="151"/>
      <c r="O93" s="151"/>
      <c r="P93" s="151"/>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4"/>
    </row>
    <row r="94" ht="15.75" customHeight="1">
      <c r="A94" s="142"/>
      <c r="B94" s="142"/>
      <c r="C94" s="142"/>
      <c r="D94" s="142"/>
      <c r="E94" s="142"/>
      <c r="F94" s="142"/>
      <c r="G94" s="142"/>
      <c r="H94" s="142"/>
      <c r="I94" s="146"/>
      <c r="J94" s="13"/>
      <c r="K94" s="151"/>
      <c r="L94" s="151"/>
      <c r="M94" s="151"/>
      <c r="N94" s="151"/>
      <c r="O94" s="151"/>
      <c r="P94" s="151"/>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4"/>
    </row>
    <row r="95" ht="15.75" customHeight="1">
      <c r="A95" s="142"/>
      <c r="B95" s="142"/>
      <c r="C95" s="142"/>
      <c r="D95" s="142"/>
      <c r="E95" s="142"/>
      <c r="F95" s="142"/>
      <c r="G95" s="142"/>
      <c r="H95" s="142"/>
      <c r="I95" s="146"/>
      <c r="J95" s="13"/>
      <c r="K95" s="151"/>
      <c r="L95" s="151"/>
      <c r="M95" s="151"/>
      <c r="N95" s="151"/>
      <c r="O95" s="151"/>
      <c r="P95" s="151"/>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4"/>
    </row>
    <row r="96" ht="15.75" customHeight="1">
      <c r="A96" s="142"/>
      <c r="B96" s="142"/>
      <c r="C96" s="142"/>
      <c r="D96" s="142"/>
      <c r="E96" s="142"/>
      <c r="F96" s="142"/>
      <c r="G96" s="142"/>
      <c r="H96" s="142"/>
      <c r="I96" s="146"/>
      <c r="J96" s="13"/>
      <c r="K96" s="151"/>
      <c r="L96" s="151"/>
      <c r="M96" s="151"/>
      <c r="N96" s="151"/>
      <c r="O96" s="151"/>
      <c r="P96" s="151"/>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4"/>
    </row>
    <row r="97" ht="15.75" customHeight="1">
      <c r="A97" s="142"/>
      <c r="B97" s="142"/>
      <c r="C97" s="142"/>
      <c r="D97" s="142"/>
      <c r="E97" s="142"/>
      <c r="F97" s="142"/>
      <c r="G97" s="142"/>
      <c r="H97" s="142"/>
      <c r="I97" s="146"/>
      <c r="J97" s="13"/>
      <c r="K97" s="151"/>
      <c r="L97" s="151"/>
      <c r="M97" s="151"/>
      <c r="N97" s="151"/>
      <c r="O97" s="151"/>
      <c r="P97" s="151"/>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4"/>
    </row>
    <row r="98" ht="15.75" customHeight="1">
      <c r="A98" s="142"/>
      <c r="B98" s="142"/>
      <c r="C98" s="142"/>
      <c r="D98" s="142"/>
      <c r="E98" s="142"/>
      <c r="F98" s="142"/>
      <c r="G98" s="142"/>
      <c r="H98" s="142"/>
      <c r="I98" s="146"/>
      <c r="J98" s="13"/>
      <c r="K98" s="151"/>
      <c r="L98" s="151"/>
      <c r="M98" s="151"/>
      <c r="N98" s="151"/>
      <c r="O98" s="151"/>
      <c r="P98" s="151"/>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4"/>
    </row>
    <row r="99" ht="15.75" customHeight="1">
      <c r="A99" s="142"/>
      <c r="B99" s="142"/>
      <c r="C99" s="142"/>
      <c r="D99" s="142"/>
      <c r="E99" s="142"/>
      <c r="F99" s="142"/>
      <c r="G99" s="142"/>
      <c r="H99" s="142"/>
      <c r="I99" s="146"/>
      <c r="J99" s="13"/>
      <c r="K99" s="151"/>
      <c r="L99" s="151"/>
      <c r="M99" s="151"/>
      <c r="N99" s="151"/>
      <c r="O99" s="151"/>
      <c r="P99" s="151"/>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4"/>
    </row>
    <row r="100" ht="15.75" customHeight="1">
      <c r="A100" s="142"/>
      <c r="B100" s="142"/>
      <c r="C100" s="142"/>
      <c r="D100" s="142"/>
      <c r="E100" s="142"/>
      <c r="F100" s="142"/>
      <c r="G100" s="142"/>
      <c r="H100" s="142"/>
      <c r="I100" s="146"/>
      <c r="J100" s="13"/>
      <c r="K100" s="151"/>
      <c r="L100" s="151"/>
      <c r="M100" s="151"/>
      <c r="N100" s="151"/>
      <c r="O100" s="151"/>
      <c r="P100" s="151"/>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4"/>
    </row>
    <row r="101" ht="15.75" customHeight="1">
      <c r="A101" s="142"/>
      <c r="B101" s="142"/>
      <c r="C101" s="142"/>
      <c r="D101" s="142"/>
      <c r="E101" s="142"/>
      <c r="F101" s="142"/>
      <c r="G101" s="142"/>
      <c r="H101" s="142"/>
      <c r="I101" s="146"/>
      <c r="J101" s="13"/>
      <c r="K101" s="151"/>
      <c r="L101" s="151"/>
      <c r="M101" s="151"/>
      <c r="N101" s="151"/>
      <c r="O101" s="151"/>
      <c r="P101" s="151"/>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4"/>
    </row>
    <row r="102" ht="15.75" customHeight="1">
      <c r="A102" s="142"/>
      <c r="B102" s="142"/>
      <c r="C102" s="142"/>
      <c r="D102" s="142"/>
      <c r="E102" s="142"/>
      <c r="F102" s="142"/>
      <c r="G102" s="142"/>
      <c r="H102" s="142"/>
      <c r="I102" s="146"/>
      <c r="J102" s="13"/>
      <c r="K102" s="151"/>
      <c r="L102" s="151"/>
      <c r="M102" s="151"/>
      <c r="N102" s="151"/>
      <c r="O102" s="151"/>
      <c r="P102" s="151"/>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4"/>
    </row>
    <row r="103" ht="15.75" customHeight="1">
      <c r="A103" s="142"/>
      <c r="B103" s="142"/>
      <c r="C103" s="142"/>
      <c r="D103" s="142"/>
      <c r="E103" s="142"/>
      <c r="F103" s="142"/>
      <c r="G103" s="142"/>
      <c r="H103" s="142"/>
      <c r="I103" s="146"/>
      <c r="J103" s="13"/>
      <c r="K103" s="151"/>
      <c r="L103" s="151"/>
      <c r="M103" s="151"/>
      <c r="N103" s="151"/>
      <c r="O103" s="151"/>
      <c r="P103" s="151"/>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4"/>
    </row>
    <row r="104" ht="15.75" customHeight="1">
      <c r="A104" s="142"/>
      <c r="B104" s="142"/>
      <c r="C104" s="142"/>
      <c r="D104" s="142"/>
      <c r="E104" s="142"/>
      <c r="F104" s="142"/>
      <c r="G104" s="142"/>
      <c r="H104" s="142"/>
      <c r="I104" s="146"/>
      <c r="J104" s="13"/>
      <c r="K104" s="151"/>
      <c r="L104" s="151"/>
      <c r="M104" s="151"/>
      <c r="N104" s="151"/>
      <c r="O104" s="151"/>
      <c r="P104" s="151"/>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4"/>
    </row>
    <row r="105" ht="15.75" customHeight="1">
      <c r="A105" s="142"/>
      <c r="B105" s="142"/>
      <c r="C105" s="142"/>
      <c r="D105" s="142"/>
      <c r="E105" s="142"/>
      <c r="F105" s="142"/>
      <c r="G105" s="142"/>
      <c r="H105" s="142"/>
      <c r="I105" s="146"/>
      <c r="J105" s="13"/>
      <c r="K105" s="151"/>
      <c r="L105" s="151"/>
      <c r="M105" s="151"/>
      <c r="N105" s="151"/>
      <c r="O105" s="151"/>
      <c r="P105" s="151"/>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4"/>
    </row>
    <row r="106" ht="15.75" customHeight="1">
      <c r="A106" s="142"/>
      <c r="B106" s="142"/>
      <c r="C106" s="142"/>
      <c r="D106" s="142"/>
      <c r="E106" s="142"/>
      <c r="F106" s="142"/>
      <c r="G106" s="142"/>
      <c r="H106" s="142"/>
      <c r="I106" s="146"/>
      <c r="J106" s="13"/>
      <c r="K106" s="151"/>
      <c r="L106" s="151"/>
      <c r="M106" s="151"/>
      <c r="N106" s="151"/>
      <c r="O106" s="151"/>
      <c r="P106" s="151"/>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4"/>
    </row>
    <row r="107" ht="15.75" customHeight="1">
      <c r="A107" s="142"/>
      <c r="B107" s="142"/>
      <c r="C107" s="142"/>
      <c r="D107" s="142"/>
      <c r="E107" s="142"/>
      <c r="F107" s="142"/>
      <c r="G107" s="142"/>
      <c r="H107" s="142"/>
      <c r="I107" s="146"/>
      <c r="J107" s="13"/>
      <c r="K107" s="151"/>
      <c r="L107" s="151"/>
      <c r="M107" s="151"/>
      <c r="N107" s="151"/>
      <c r="O107" s="151"/>
      <c r="P107" s="151"/>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4"/>
    </row>
    <row r="108" ht="15.75" customHeight="1">
      <c r="A108" s="142"/>
      <c r="B108" s="142"/>
      <c r="C108" s="142"/>
      <c r="D108" s="142"/>
      <c r="E108" s="142"/>
      <c r="F108" s="142"/>
      <c r="G108" s="142"/>
      <c r="H108" s="142"/>
      <c r="I108" s="146"/>
      <c r="J108" s="13"/>
      <c r="K108" s="151"/>
      <c r="L108" s="151"/>
      <c r="M108" s="151"/>
      <c r="N108" s="151"/>
      <c r="O108" s="151"/>
      <c r="P108" s="151"/>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4"/>
    </row>
    <row r="109" ht="15.75" customHeight="1">
      <c r="A109" s="142"/>
      <c r="B109" s="142"/>
      <c r="C109" s="142"/>
      <c r="D109" s="142"/>
      <c r="E109" s="142"/>
      <c r="F109" s="142"/>
      <c r="G109" s="142"/>
      <c r="H109" s="142"/>
      <c r="I109" s="146"/>
      <c r="J109" s="13"/>
      <c r="K109" s="151"/>
      <c r="L109" s="151"/>
      <c r="M109" s="151"/>
      <c r="N109" s="151"/>
      <c r="O109" s="151"/>
      <c r="P109" s="151"/>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4"/>
    </row>
    <row r="110" ht="15.75" customHeight="1">
      <c r="A110" s="142"/>
      <c r="B110" s="142"/>
      <c r="C110" s="142"/>
      <c r="D110" s="142"/>
      <c r="E110" s="142"/>
      <c r="F110" s="142"/>
      <c r="G110" s="142"/>
      <c r="H110" s="142"/>
      <c r="I110" s="146"/>
      <c r="J110" s="13"/>
      <c r="K110" s="151"/>
      <c r="L110" s="151"/>
      <c r="M110" s="151"/>
      <c r="N110" s="151"/>
      <c r="O110" s="151"/>
      <c r="P110" s="151"/>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4"/>
    </row>
    <row r="111" ht="15.75" customHeight="1">
      <c r="A111" s="142"/>
      <c r="B111" s="142"/>
      <c r="C111" s="142"/>
      <c r="D111" s="142"/>
      <c r="E111" s="142"/>
      <c r="F111" s="142"/>
      <c r="G111" s="142"/>
      <c r="H111" s="142"/>
      <c r="I111" s="146"/>
      <c r="J111" s="13"/>
      <c r="K111" s="151"/>
      <c r="L111" s="151"/>
      <c r="M111" s="151"/>
      <c r="N111" s="151"/>
      <c r="O111" s="151"/>
      <c r="P111" s="151"/>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4"/>
    </row>
    <row r="112" ht="15.75" customHeight="1">
      <c r="A112" s="142"/>
      <c r="B112" s="142"/>
      <c r="C112" s="142"/>
      <c r="D112" s="142"/>
      <c r="E112" s="142"/>
      <c r="F112" s="142"/>
      <c r="G112" s="142"/>
      <c r="H112" s="142"/>
      <c r="I112" s="146"/>
      <c r="J112" s="13"/>
      <c r="K112" s="151"/>
      <c r="L112" s="151"/>
      <c r="M112" s="151"/>
      <c r="N112" s="151"/>
      <c r="O112" s="151"/>
      <c r="P112" s="151"/>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4"/>
    </row>
    <row r="113" ht="15.75" customHeight="1">
      <c r="A113" s="142"/>
      <c r="B113" s="142"/>
      <c r="C113" s="142"/>
      <c r="D113" s="142"/>
      <c r="E113" s="142"/>
      <c r="F113" s="142"/>
      <c r="G113" s="142"/>
      <c r="H113" s="142"/>
      <c r="I113" s="146"/>
      <c r="J113" s="13"/>
      <c r="K113" s="151"/>
      <c r="L113" s="151"/>
      <c r="M113" s="151"/>
      <c r="N113" s="151"/>
      <c r="O113" s="151"/>
      <c r="P113" s="151"/>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4"/>
    </row>
    <row r="114" ht="15.75" customHeight="1">
      <c r="A114" s="142"/>
      <c r="B114" s="142"/>
      <c r="C114" s="142"/>
      <c r="D114" s="142"/>
      <c r="E114" s="142"/>
      <c r="F114" s="142"/>
      <c r="G114" s="142"/>
      <c r="H114" s="142"/>
      <c r="I114" s="146"/>
      <c r="J114" s="13"/>
      <c r="K114" s="151"/>
      <c r="L114" s="151"/>
      <c r="M114" s="151"/>
      <c r="N114" s="151"/>
      <c r="O114" s="151"/>
      <c r="P114" s="151"/>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4"/>
    </row>
    <row r="115" ht="15.75" customHeight="1">
      <c r="A115" s="142"/>
      <c r="B115" s="142"/>
      <c r="C115" s="142"/>
      <c r="D115" s="142"/>
      <c r="E115" s="142"/>
      <c r="F115" s="142"/>
      <c r="G115" s="142"/>
      <c r="H115" s="142"/>
      <c r="I115" s="146"/>
      <c r="J115" s="13"/>
      <c r="K115" s="151"/>
      <c r="L115" s="151"/>
      <c r="M115" s="151"/>
      <c r="N115" s="151"/>
      <c r="O115" s="151"/>
      <c r="P115" s="151"/>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4"/>
    </row>
    <row r="116" ht="15.75" customHeight="1">
      <c r="A116" s="142"/>
      <c r="B116" s="142"/>
      <c r="C116" s="142"/>
      <c r="D116" s="142"/>
      <c r="E116" s="142"/>
      <c r="F116" s="142"/>
      <c r="G116" s="142"/>
      <c r="H116" s="142"/>
      <c r="I116" s="146"/>
      <c r="J116" s="13"/>
      <c r="K116" s="151"/>
      <c r="L116" s="151"/>
      <c r="M116" s="151"/>
      <c r="N116" s="151"/>
      <c r="O116" s="151"/>
      <c r="P116" s="151"/>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4"/>
    </row>
    <row r="117" ht="15.75" customHeight="1">
      <c r="A117" s="142"/>
      <c r="B117" s="142"/>
      <c r="C117" s="142"/>
      <c r="D117" s="142"/>
      <c r="E117" s="142"/>
      <c r="F117" s="142"/>
      <c r="G117" s="142"/>
      <c r="H117" s="142"/>
      <c r="I117" s="146"/>
      <c r="J117" s="13"/>
      <c r="K117" s="151"/>
      <c r="L117" s="151"/>
      <c r="M117" s="151"/>
      <c r="N117" s="151"/>
      <c r="O117" s="151"/>
      <c r="P117" s="151"/>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4"/>
    </row>
    <row r="118" ht="15.75" customHeight="1">
      <c r="A118" s="142"/>
      <c r="B118" s="142"/>
      <c r="C118" s="142"/>
      <c r="D118" s="142"/>
      <c r="E118" s="142"/>
      <c r="F118" s="142"/>
      <c r="G118" s="142"/>
      <c r="H118" s="142"/>
      <c r="I118" s="146"/>
      <c r="J118" s="13"/>
      <c r="K118" s="151"/>
      <c r="L118" s="151"/>
      <c r="M118" s="151"/>
      <c r="N118" s="151"/>
      <c r="O118" s="151"/>
      <c r="P118" s="151"/>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4"/>
    </row>
    <row r="119" ht="15.75" customHeight="1">
      <c r="A119" s="142"/>
      <c r="B119" s="142"/>
      <c r="C119" s="142"/>
      <c r="D119" s="142"/>
      <c r="E119" s="142"/>
      <c r="F119" s="142"/>
      <c r="G119" s="142"/>
      <c r="H119" s="142"/>
      <c r="I119" s="146"/>
      <c r="J119" s="13"/>
      <c r="K119" s="151"/>
      <c r="L119" s="151"/>
      <c r="M119" s="151"/>
      <c r="N119" s="151"/>
      <c r="O119" s="151"/>
      <c r="P119" s="151"/>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4"/>
    </row>
    <row r="120" ht="15.75" customHeight="1">
      <c r="A120" s="142"/>
      <c r="B120" s="142"/>
      <c r="C120" s="142"/>
      <c r="D120" s="142"/>
      <c r="E120" s="142"/>
      <c r="F120" s="142"/>
      <c r="G120" s="142"/>
      <c r="H120" s="142"/>
      <c r="I120" s="146"/>
      <c r="J120" s="13"/>
      <c r="K120" s="151"/>
      <c r="L120" s="151"/>
      <c r="M120" s="151"/>
      <c r="N120" s="151"/>
      <c r="O120" s="151"/>
      <c r="P120" s="151"/>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4"/>
    </row>
    <row r="121" ht="15.75" customHeight="1">
      <c r="A121" s="142"/>
      <c r="B121" s="142"/>
      <c r="C121" s="142"/>
      <c r="D121" s="142"/>
      <c r="E121" s="142"/>
      <c r="F121" s="142"/>
      <c r="G121" s="142"/>
      <c r="H121" s="142"/>
      <c r="I121" s="146"/>
      <c r="J121" s="13"/>
      <c r="K121" s="151"/>
      <c r="L121" s="151"/>
      <c r="M121" s="151"/>
      <c r="N121" s="151"/>
      <c r="O121" s="151"/>
      <c r="P121" s="151"/>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4"/>
    </row>
    <row r="122" ht="15.75" customHeight="1">
      <c r="A122" s="142"/>
      <c r="B122" s="142"/>
      <c r="C122" s="142"/>
      <c r="D122" s="142"/>
      <c r="E122" s="142"/>
      <c r="F122" s="142"/>
      <c r="G122" s="142"/>
      <c r="H122" s="142"/>
      <c r="I122" s="146"/>
      <c r="J122" s="13"/>
      <c r="K122" s="151"/>
      <c r="L122" s="151"/>
      <c r="M122" s="151"/>
      <c r="N122" s="151"/>
      <c r="O122" s="151"/>
      <c r="P122" s="151"/>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4"/>
    </row>
    <row r="123" ht="15.75" customHeight="1">
      <c r="A123" s="142"/>
      <c r="B123" s="142"/>
      <c r="C123" s="142"/>
      <c r="D123" s="142"/>
      <c r="E123" s="142"/>
      <c r="F123" s="142"/>
      <c r="G123" s="142"/>
      <c r="H123" s="142"/>
      <c r="I123" s="146"/>
      <c r="J123" s="13"/>
      <c r="K123" s="151"/>
      <c r="L123" s="151"/>
      <c r="M123" s="151"/>
      <c r="N123" s="151"/>
      <c r="O123" s="151"/>
      <c r="P123" s="151"/>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4"/>
    </row>
    <row r="124" ht="15.75" customHeight="1">
      <c r="A124" s="142"/>
      <c r="B124" s="142"/>
      <c r="C124" s="142"/>
      <c r="D124" s="142"/>
      <c r="E124" s="142"/>
      <c r="F124" s="142"/>
      <c r="G124" s="142"/>
      <c r="H124" s="142"/>
      <c r="I124" s="146"/>
      <c r="J124" s="13"/>
      <c r="K124" s="151"/>
      <c r="L124" s="151"/>
      <c r="M124" s="151"/>
      <c r="N124" s="151"/>
      <c r="O124" s="151"/>
      <c r="P124" s="151"/>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4"/>
    </row>
    <row r="125" ht="15.75" customHeight="1">
      <c r="A125" s="142"/>
      <c r="B125" s="142"/>
      <c r="C125" s="142"/>
      <c r="D125" s="142"/>
      <c r="E125" s="142"/>
      <c r="F125" s="142"/>
      <c r="G125" s="142"/>
      <c r="H125" s="142"/>
      <c r="I125" s="146"/>
      <c r="J125" s="13"/>
      <c r="K125" s="151"/>
      <c r="L125" s="151"/>
      <c r="M125" s="151"/>
      <c r="N125" s="151"/>
      <c r="O125" s="151"/>
      <c r="P125" s="151"/>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4"/>
    </row>
    <row r="126" ht="15.75" customHeight="1">
      <c r="A126" s="142"/>
      <c r="B126" s="142"/>
      <c r="C126" s="142"/>
      <c r="D126" s="142"/>
      <c r="E126" s="142"/>
      <c r="F126" s="142"/>
      <c r="G126" s="142"/>
      <c r="H126" s="142"/>
      <c r="I126" s="146"/>
      <c r="J126" s="13"/>
      <c r="K126" s="151"/>
      <c r="L126" s="151"/>
      <c r="M126" s="151"/>
      <c r="N126" s="151"/>
      <c r="O126" s="151"/>
      <c r="P126" s="151"/>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4"/>
    </row>
    <row r="127" ht="15.75" customHeight="1">
      <c r="A127" s="142"/>
      <c r="B127" s="142"/>
      <c r="C127" s="142"/>
      <c r="D127" s="142"/>
      <c r="E127" s="142"/>
      <c r="F127" s="142"/>
      <c r="G127" s="142"/>
      <c r="H127" s="142"/>
      <c r="I127" s="146"/>
      <c r="J127" s="13"/>
      <c r="K127" s="151"/>
      <c r="L127" s="151"/>
      <c r="M127" s="151"/>
      <c r="N127" s="151"/>
      <c r="O127" s="151"/>
      <c r="P127" s="151"/>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4"/>
    </row>
    <row r="128" ht="15.75" customHeight="1">
      <c r="A128" s="142"/>
      <c r="B128" s="142"/>
      <c r="C128" s="142"/>
      <c r="D128" s="142"/>
      <c r="E128" s="142"/>
      <c r="F128" s="142"/>
      <c r="G128" s="142"/>
      <c r="H128" s="142"/>
      <c r="I128" s="146"/>
      <c r="J128" s="13"/>
      <c r="K128" s="151"/>
      <c r="L128" s="151"/>
      <c r="M128" s="151"/>
      <c r="N128" s="151"/>
      <c r="O128" s="151"/>
      <c r="P128" s="151"/>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4"/>
    </row>
    <row r="129" ht="15.75" customHeight="1">
      <c r="A129" s="142"/>
      <c r="B129" s="142"/>
      <c r="C129" s="142"/>
      <c r="D129" s="142"/>
      <c r="E129" s="142"/>
      <c r="F129" s="142"/>
      <c r="G129" s="142"/>
      <c r="H129" s="142"/>
      <c r="I129" s="146"/>
      <c r="J129" s="13"/>
      <c r="K129" s="151"/>
      <c r="L129" s="151"/>
      <c r="M129" s="151"/>
      <c r="N129" s="151"/>
      <c r="O129" s="151"/>
      <c r="P129" s="151"/>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4"/>
    </row>
    <row r="130" ht="15.75" customHeight="1">
      <c r="A130" s="142"/>
      <c r="B130" s="142"/>
      <c r="C130" s="142"/>
      <c r="D130" s="142"/>
      <c r="E130" s="142"/>
      <c r="F130" s="142"/>
      <c r="G130" s="142"/>
      <c r="H130" s="142"/>
      <c r="I130" s="146"/>
      <c r="J130" s="13"/>
      <c r="K130" s="151"/>
      <c r="L130" s="151"/>
      <c r="M130" s="151"/>
      <c r="N130" s="151"/>
      <c r="O130" s="151"/>
      <c r="P130" s="151"/>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4"/>
    </row>
    <row r="131" ht="15.75" customHeight="1">
      <c r="A131" s="142"/>
      <c r="B131" s="142"/>
      <c r="C131" s="142"/>
      <c r="D131" s="142"/>
      <c r="E131" s="142"/>
      <c r="F131" s="142"/>
      <c r="G131" s="142"/>
      <c r="H131" s="142"/>
      <c r="I131" s="146"/>
      <c r="J131" s="13"/>
      <c r="K131" s="151"/>
      <c r="L131" s="151"/>
      <c r="M131" s="151"/>
      <c r="N131" s="151"/>
      <c r="O131" s="151"/>
      <c r="P131" s="151"/>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4"/>
    </row>
    <row r="132" ht="15.75" customHeight="1">
      <c r="A132" s="142"/>
      <c r="B132" s="142"/>
      <c r="C132" s="142"/>
      <c r="D132" s="142"/>
      <c r="E132" s="142"/>
      <c r="F132" s="142"/>
      <c r="G132" s="142"/>
      <c r="H132" s="142"/>
      <c r="I132" s="146"/>
      <c r="J132" s="13"/>
      <c r="K132" s="151"/>
      <c r="L132" s="151"/>
      <c r="M132" s="151"/>
      <c r="N132" s="151"/>
      <c r="O132" s="151"/>
      <c r="P132" s="151"/>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4"/>
    </row>
    <row r="133" ht="15.75" customHeight="1">
      <c r="A133" s="142"/>
      <c r="B133" s="142"/>
      <c r="C133" s="142"/>
      <c r="D133" s="142"/>
      <c r="E133" s="142"/>
      <c r="F133" s="142"/>
      <c r="G133" s="142"/>
      <c r="H133" s="142"/>
      <c r="I133" s="146"/>
      <c r="J133" s="13"/>
      <c r="K133" s="151"/>
      <c r="L133" s="151"/>
      <c r="M133" s="151"/>
      <c r="N133" s="151"/>
      <c r="O133" s="151"/>
      <c r="P133" s="151"/>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4"/>
    </row>
    <row r="134" ht="15.75" customHeight="1">
      <c r="A134" s="142"/>
      <c r="B134" s="142"/>
      <c r="C134" s="142"/>
      <c r="D134" s="142"/>
      <c r="E134" s="142"/>
      <c r="F134" s="142"/>
      <c r="G134" s="142"/>
      <c r="H134" s="142"/>
      <c r="I134" s="146"/>
      <c r="J134" s="13"/>
      <c r="K134" s="151"/>
      <c r="L134" s="151"/>
      <c r="M134" s="151"/>
      <c r="N134" s="151"/>
      <c r="O134" s="151"/>
      <c r="P134" s="151"/>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4"/>
    </row>
    <row r="135" ht="15.75" customHeight="1">
      <c r="A135" s="142"/>
      <c r="B135" s="142"/>
      <c r="C135" s="142"/>
      <c r="D135" s="142"/>
      <c r="E135" s="142"/>
      <c r="F135" s="142"/>
      <c r="G135" s="142"/>
      <c r="H135" s="142"/>
      <c r="I135" s="146"/>
      <c r="J135" s="13"/>
      <c r="K135" s="151"/>
      <c r="L135" s="151"/>
      <c r="M135" s="151"/>
      <c r="N135" s="151"/>
      <c r="O135" s="151"/>
      <c r="P135" s="151"/>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4"/>
    </row>
    <row r="136" ht="15.75" customHeight="1">
      <c r="A136" s="142"/>
      <c r="B136" s="142"/>
      <c r="C136" s="142"/>
      <c r="D136" s="142"/>
      <c r="E136" s="142"/>
      <c r="F136" s="142"/>
      <c r="G136" s="142"/>
      <c r="H136" s="142"/>
      <c r="I136" s="146"/>
      <c r="J136" s="13"/>
      <c r="K136" s="151"/>
      <c r="L136" s="151"/>
      <c r="M136" s="151"/>
      <c r="N136" s="151"/>
      <c r="O136" s="151"/>
      <c r="P136" s="151"/>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4"/>
    </row>
    <row r="137" ht="15.75" customHeight="1">
      <c r="A137" s="142"/>
      <c r="B137" s="142"/>
      <c r="C137" s="142"/>
      <c r="D137" s="142"/>
      <c r="E137" s="142"/>
      <c r="F137" s="142"/>
      <c r="G137" s="142"/>
      <c r="H137" s="142"/>
      <c r="I137" s="146"/>
      <c r="J137" s="13"/>
      <c r="K137" s="151"/>
      <c r="L137" s="151"/>
      <c r="M137" s="151"/>
      <c r="N137" s="151"/>
      <c r="O137" s="151"/>
      <c r="P137" s="151"/>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4"/>
    </row>
    <row r="138" ht="15.75" customHeight="1">
      <c r="A138" s="142"/>
      <c r="B138" s="142"/>
      <c r="C138" s="142"/>
      <c r="D138" s="142"/>
      <c r="E138" s="142"/>
      <c r="F138" s="142"/>
      <c r="G138" s="142"/>
      <c r="H138" s="142"/>
      <c r="I138" s="146"/>
      <c r="J138" s="13"/>
      <c r="K138" s="151"/>
      <c r="L138" s="151"/>
      <c r="M138" s="151"/>
      <c r="N138" s="151"/>
      <c r="O138" s="151"/>
      <c r="P138" s="151"/>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4"/>
    </row>
    <row r="139" ht="15.75" customHeight="1">
      <c r="A139" s="142"/>
      <c r="B139" s="142"/>
      <c r="C139" s="142"/>
      <c r="D139" s="142"/>
      <c r="E139" s="142"/>
      <c r="F139" s="142"/>
      <c r="G139" s="142"/>
      <c r="H139" s="142"/>
      <c r="I139" s="146"/>
      <c r="J139" s="13"/>
      <c r="K139" s="151"/>
      <c r="L139" s="151"/>
      <c r="M139" s="151"/>
      <c r="N139" s="151"/>
      <c r="O139" s="151"/>
      <c r="P139" s="151"/>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4"/>
    </row>
    <row r="140" ht="15.75" customHeight="1">
      <c r="A140" s="142"/>
      <c r="B140" s="142"/>
      <c r="C140" s="142"/>
      <c r="D140" s="142"/>
      <c r="E140" s="142"/>
      <c r="F140" s="142"/>
      <c r="G140" s="142"/>
      <c r="H140" s="142"/>
      <c r="I140" s="146"/>
      <c r="J140" s="13"/>
      <c r="K140" s="151"/>
      <c r="L140" s="151"/>
      <c r="M140" s="151"/>
      <c r="N140" s="151"/>
      <c r="O140" s="151"/>
      <c r="P140" s="151"/>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4"/>
    </row>
    <row r="141" ht="15.75" customHeight="1">
      <c r="A141" s="142"/>
      <c r="B141" s="142"/>
      <c r="C141" s="142"/>
      <c r="D141" s="142"/>
      <c r="E141" s="142"/>
      <c r="F141" s="142"/>
      <c r="G141" s="142"/>
      <c r="H141" s="142"/>
      <c r="I141" s="146"/>
      <c r="J141" s="13"/>
      <c r="K141" s="151"/>
      <c r="L141" s="151"/>
      <c r="M141" s="151"/>
      <c r="N141" s="151"/>
      <c r="O141" s="151"/>
      <c r="P141" s="151"/>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4"/>
    </row>
    <row r="142" ht="15.75" customHeight="1">
      <c r="A142" s="142"/>
      <c r="B142" s="142"/>
      <c r="C142" s="142"/>
      <c r="D142" s="142"/>
      <c r="E142" s="142"/>
      <c r="F142" s="142"/>
      <c r="G142" s="142"/>
      <c r="H142" s="142"/>
      <c r="I142" s="146"/>
      <c r="J142" s="13"/>
      <c r="K142" s="151"/>
      <c r="L142" s="151"/>
      <c r="M142" s="151"/>
      <c r="N142" s="151"/>
      <c r="O142" s="151"/>
      <c r="P142" s="151"/>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4"/>
    </row>
    <row r="143" ht="15.75" customHeight="1">
      <c r="A143" s="142"/>
      <c r="B143" s="142"/>
      <c r="C143" s="142"/>
      <c r="D143" s="142"/>
      <c r="E143" s="142"/>
      <c r="F143" s="142"/>
      <c r="G143" s="142"/>
      <c r="H143" s="142"/>
      <c r="I143" s="146"/>
      <c r="J143" s="13"/>
      <c r="K143" s="151"/>
      <c r="L143" s="151"/>
      <c r="M143" s="151"/>
      <c r="N143" s="151"/>
      <c r="O143" s="151"/>
      <c r="P143" s="151"/>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4"/>
    </row>
    <row r="144" ht="15.75" customHeight="1">
      <c r="A144" s="142"/>
      <c r="B144" s="142"/>
      <c r="C144" s="142"/>
      <c r="D144" s="142"/>
      <c r="E144" s="142"/>
      <c r="F144" s="142"/>
      <c r="G144" s="142"/>
      <c r="H144" s="142"/>
      <c r="I144" s="146"/>
      <c r="J144" s="13"/>
      <c r="K144" s="151"/>
      <c r="L144" s="151"/>
      <c r="M144" s="151"/>
      <c r="N144" s="151"/>
      <c r="O144" s="151"/>
      <c r="P144" s="151"/>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4"/>
    </row>
    <row r="145" ht="15.75" customHeight="1">
      <c r="A145" s="142"/>
      <c r="B145" s="142"/>
      <c r="C145" s="142"/>
      <c r="D145" s="142"/>
      <c r="E145" s="142"/>
      <c r="F145" s="142"/>
      <c r="G145" s="142"/>
      <c r="H145" s="142"/>
      <c r="I145" s="146"/>
      <c r="J145" s="13"/>
      <c r="K145" s="151"/>
      <c r="L145" s="151"/>
      <c r="M145" s="151"/>
      <c r="N145" s="151"/>
      <c r="O145" s="151"/>
      <c r="P145" s="151"/>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4"/>
    </row>
    <row r="146" ht="15.75" customHeight="1">
      <c r="A146" s="142"/>
      <c r="B146" s="142"/>
      <c r="C146" s="142"/>
      <c r="D146" s="142"/>
      <c r="E146" s="142"/>
      <c r="F146" s="142"/>
      <c r="G146" s="142"/>
      <c r="H146" s="142"/>
      <c r="I146" s="146"/>
      <c r="J146" s="13"/>
      <c r="K146" s="151"/>
      <c r="L146" s="151"/>
      <c r="M146" s="151"/>
      <c r="N146" s="151"/>
      <c r="O146" s="151"/>
      <c r="P146" s="151"/>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4"/>
    </row>
    <row r="147" ht="15.75" customHeight="1">
      <c r="A147" s="142"/>
      <c r="B147" s="142"/>
      <c r="C147" s="142"/>
      <c r="D147" s="142"/>
      <c r="E147" s="142"/>
      <c r="F147" s="142"/>
      <c r="G147" s="142"/>
      <c r="H147" s="142"/>
      <c r="I147" s="146"/>
      <c r="J147" s="13"/>
      <c r="K147" s="151"/>
      <c r="L147" s="151"/>
      <c r="M147" s="151"/>
      <c r="N147" s="151"/>
      <c r="O147" s="151"/>
      <c r="P147" s="151"/>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4"/>
    </row>
    <row r="148" ht="15.75" customHeight="1">
      <c r="A148" s="142"/>
      <c r="B148" s="142"/>
      <c r="C148" s="142"/>
      <c r="D148" s="142"/>
      <c r="E148" s="142"/>
      <c r="F148" s="142"/>
      <c r="G148" s="142"/>
      <c r="H148" s="142"/>
      <c r="I148" s="146"/>
      <c r="J148" s="13"/>
      <c r="K148" s="151"/>
      <c r="L148" s="151"/>
      <c r="M148" s="151"/>
      <c r="N148" s="151"/>
      <c r="O148" s="151"/>
      <c r="P148" s="151"/>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4"/>
    </row>
    <row r="149" ht="15.75" customHeight="1">
      <c r="A149" s="142"/>
      <c r="B149" s="142"/>
      <c r="C149" s="142"/>
      <c r="D149" s="142"/>
      <c r="E149" s="142"/>
      <c r="F149" s="142"/>
      <c r="G149" s="142"/>
      <c r="H149" s="142"/>
      <c r="I149" s="146"/>
      <c r="J149" s="13"/>
      <c r="K149" s="151"/>
      <c r="L149" s="151"/>
      <c r="M149" s="151"/>
      <c r="N149" s="151"/>
      <c r="O149" s="151"/>
      <c r="P149" s="151"/>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4"/>
    </row>
    <row r="150" ht="15.75" customHeight="1">
      <c r="A150" s="142"/>
      <c r="B150" s="142"/>
      <c r="C150" s="142"/>
      <c r="D150" s="142"/>
      <c r="E150" s="142"/>
      <c r="F150" s="142"/>
      <c r="G150" s="142"/>
      <c r="H150" s="142"/>
      <c r="I150" s="146"/>
      <c r="J150" s="13"/>
      <c r="K150" s="18"/>
      <c r="L150" s="130"/>
      <c r="M150" s="151"/>
      <c r="N150" s="151"/>
      <c r="O150" s="151"/>
      <c r="P150" s="151"/>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4"/>
    </row>
    <row r="151" ht="15.75" customHeight="1">
      <c r="A151" s="142"/>
      <c r="B151" s="142"/>
      <c r="C151" s="142"/>
      <c r="D151" s="142"/>
      <c r="E151" s="142"/>
      <c r="F151" s="142"/>
      <c r="G151" s="142"/>
      <c r="H151" s="142"/>
      <c r="I151" s="146"/>
      <c r="J151" s="13"/>
      <c r="K151" s="145"/>
      <c r="L151" s="146"/>
      <c r="M151" s="151"/>
      <c r="N151" s="151"/>
      <c r="O151" s="151"/>
      <c r="P151" s="151"/>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4"/>
    </row>
    <row r="152" ht="15.75" customHeight="1">
      <c r="A152" s="142"/>
      <c r="B152" s="142"/>
      <c r="C152" s="142"/>
      <c r="D152" s="142"/>
      <c r="E152" s="142"/>
      <c r="F152" s="142"/>
      <c r="G152" s="142"/>
      <c r="H152" s="142"/>
      <c r="I152" s="146"/>
      <c r="J152" s="13"/>
      <c r="K152" s="145"/>
      <c r="L152" s="146"/>
      <c r="M152" s="151"/>
      <c r="N152" s="151"/>
      <c r="O152" s="151"/>
      <c r="P152" s="151"/>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4"/>
    </row>
    <row r="153" ht="12.75" customHeight="1">
      <c r="A153" s="142"/>
      <c r="B153" s="142"/>
      <c r="C153" s="142"/>
      <c r="D153" s="142"/>
      <c r="E153" s="142"/>
      <c r="F153" s="142"/>
      <c r="G153" s="142"/>
      <c r="H153" s="142"/>
      <c r="I153" s="146"/>
      <c r="J153" s="13"/>
      <c r="K153" s="145"/>
      <c r="L153" s="142"/>
      <c r="M153" s="227"/>
      <c r="N153" s="227"/>
      <c r="O153" s="227"/>
      <c r="P153" s="130"/>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4"/>
    </row>
    <row r="154" ht="12.75" customHeight="1">
      <c r="A154" s="142"/>
      <c r="B154" s="142"/>
      <c r="C154" s="142"/>
      <c r="D154" s="142"/>
      <c r="E154" s="142"/>
      <c r="F154" s="142"/>
      <c r="G154" s="142"/>
      <c r="H154" s="142"/>
      <c r="I154" s="146"/>
      <c r="J154" s="13"/>
      <c r="K154" s="145"/>
      <c r="L154" s="142"/>
      <c r="M154" s="142"/>
      <c r="N154" s="142"/>
      <c r="O154" s="142"/>
      <c r="P154" s="146"/>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4"/>
    </row>
    <row r="155" ht="12.75" customHeight="1">
      <c r="A155" s="142"/>
      <c r="B155" s="142"/>
      <c r="C155" s="142"/>
      <c r="D155" s="142"/>
      <c r="E155" s="142"/>
      <c r="F155" s="142"/>
      <c r="G155" s="142"/>
      <c r="H155" s="142"/>
      <c r="I155" s="146"/>
      <c r="J155" s="13"/>
      <c r="K155" s="145"/>
      <c r="L155" s="142"/>
      <c r="M155" s="142"/>
      <c r="N155" s="142"/>
      <c r="O155" s="142"/>
      <c r="P155" s="146"/>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4"/>
    </row>
    <row r="156" ht="12.75" customHeight="1">
      <c r="A156" s="142"/>
      <c r="B156" s="142"/>
      <c r="C156" s="142"/>
      <c r="D156" s="142"/>
      <c r="E156" s="142"/>
      <c r="F156" s="142"/>
      <c r="G156" s="142"/>
      <c r="H156" s="142"/>
      <c r="I156" s="146"/>
      <c r="J156" s="13"/>
      <c r="K156" s="145"/>
      <c r="L156" s="142"/>
      <c r="M156" s="142"/>
      <c r="N156" s="142"/>
      <c r="O156" s="142"/>
      <c r="P156" s="146"/>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4"/>
    </row>
    <row r="157" ht="12.75" customHeight="1">
      <c r="A157" s="142"/>
      <c r="B157" s="142"/>
      <c r="C157" s="142"/>
      <c r="D157" s="142"/>
      <c r="E157" s="142"/>
      <c r="F157" s="142"/>
      <c r="G157" s="142"/>
      <c r="H157" s="142"/>
      <c r="I157" s="146"/>
      <c r="J157" s="13"/>
      <c r="K157" s="145"/>
      <c r="L157" s="142"/>
      <c r="M157" s="142"/>
      <c r="N157" s="142"/>
      <c r="O157" s="142"/>
      <c r="P157" s="146"/>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4"/>
    </row>
    <row r="158" ht="12.75" customHeight="1">
      <c r="A158" s="142"/>
      <c r="B158" s="142"/>
      <c r="C158" s="142"/>
      <c r="D158" s="142"/>
      <c r="E158" s="142"/>
      <c r="F158" s="142"/>
      <c r="G158" s="142"/>
      <c r="H158" s="142"/>
      <c r="I158" s="146"/>
      <c r="J158" s="17"/>
      <c r="K158" s="145"/>
      <c r="L158" s="142"/>
      <c r="M158" s="142"/>
      <c r="N158" s="142"/>
      <c r="O158" s="142"/>
      <c r="P158" s="146"/>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8"/>
    </row>
  </sheetData>
  <mergeCells count="13">
    <mergeCell ref="B67:K67"/>
    <mergeCell ref="D1:F1"/>
    <mergeCell ref="C5:F5"/>
    <mergeCell ref="C6:F6"/>
    <mergeCell ref="C4:F4"/>
    <mergeCell ref="A6:B6"/>
    <mergeCell ref="A4:B4"/>
    <mergeCell ref="A5:B5"/>
    <mergeCell ref="A7:B7"/>
    <mergeCell ref="A8:B8"/>
    <mergeCell ref="C7:F7"/>
    <mergeCell ref="C8:F8"/>
    <mergeCell ref="G1:K1"/>
  </mergeCells>
  <conditionalFormatting sqref="E65:K65">
    <cfRule type="beginsWith" dxfId="2" priority="1" stopIfTrue="1" text="not">
      <formula>FIND(UPPER("not"),UPPER(E65))=1</formula>
      <formula>"not"</formula>
    </cfRule>
    <cfRule type="beginsWith" dxfId="3" priority="2" stopIfTrue="1" text="ok">
      <formula>FIND(UPPER("ok"),UPPER(E65))=1</formula>
      <formula>"ok"</formula>
    </cfRule>
  </conditionalFormatting>
  <pageMargins left="0.787402" right="0.787402" top="0.984252" bottom="0.984252" header="0.511811" footer="0.511811"/>
  <pageSetup firstPageNumber="1" fitToHeight="1" fitToWidth="1" scale="74"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BO154"/>
  <sheetViews>
    <sheetView workbookViewId="0" showGridLines="0" defaultGridColor="1"/>
  </sheetViews>
  <sheetFormatPr defaultColWidth="11.5" defaultRowHeight="12.75" customHeight="1" outlineLevelRow="0" outlineLevelCol="0"/>
  <cols>
    <col min="1" max="1" width="3.67188" style="554" customWidth="1"/>
    <col min="2" max="2" width="35.3516" style="554" customWidth="1"/>
    <col min="3" max="4" width="20.6719" style="554" customWidth="1"/>
    <col min="5" max="5" width="23" style="554" customWidth="1"/>
    <col min="6" max="7" width="20.6719" style="554" customWidth="1"/>
    <col min="8" max="67" width="11.5" style="554" customWidth="1"/>
    <col min="68" max="16384" width="11.5" style="554" customWidth="1"/>
  </cols>
  <sheetData>
    <row r="1" ht="17.25" customHeight="1">
      <c r="A1" s="321"/>
      <c r="B1" s="555"/>
      <c r="C1" t="s" s="134">
        <f>'Termék'!A1</f>
        <v>165</v>
      </c>
      <c r="D1" s="135"/>
      <c r="E1" t="s" s="556">
        <f>'Termék'!C1</f>
        <v>335</v>
      </c>
      <c r="F1" s="557"/>
      <c r="G1" s="558"/>
      <c r="H1" s="235"/>
      <c r="I1" s="231"/>
      <c r="J1" s="231"/>
      <c r="K1" s="231"/>
      <c r="L1" s="231"/>
      <c r="M1" s="231"/>
      <c r="N1" s="231"/>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10"/>
    </row>
    <row r="2" ht="15.75" customHeight="1">
      <c r="A2" s="515"/>
      <c r="B2" s="405"/>
      <c r="C2" s="68"/>
      <c r="D2" s="559"/>
      <c r="E2" s="560"/>
      <c r="F2" s="561"/>
      <c r="G2" s="562"/>
      <c r="H2" s="247"/>
      <c r="I2" s="247"/>
      <c r="J2" s="247"/>
      <c r="K2" s="247"/>
      <c r="L2" s="247"/>
      <c r="M2" s="247"/>
      <c r="N2" s="247"/>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4"/>
    </row>
    <row r="3" ht="15.75" customHeight="1">
      <c r="A3" t="s" s="161">
        <f>'Termék'!A6</f>
        <v>168</v>
      </c>
      <c r="B3" s="162"/>
      <c r="C3" s="253">
        <f>'Termék'!C6:E6</f>
        <v>0</v>
      </c>
      <c r="D3" s="164"/>
      <c r="E3" s="165"/>
      <c r="F3" t="s" s="147">
        <f>'Termék'!A3</f>
        <v>167</v>
      </c>
      <c r="G3" t="s" s="563">
        <f>IF('Termék'!B3="","",'Termék'!B3)</f>
      </c>
      <c r="H3" s="252"/>
      <c r="I3" s="247"/>
      <c r="J3" s="247"/>
      <c r="K3" s="247"/>
      <c r="L3" s="247"/>
      <c r="M3" s="247"/>
      <c r="N3" s="247"/>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4"/>
    </row>
    <row r="4" ht="15.75" customHeight="1">
      <c r="A4" t="s" s="161">
        <f>'Termék'!A7</f>
        <v>170</v>
      </c>
      <c r="B4" s="162"/>
      <c r="C4" t="s" s="171">
        <f>'Termék'!C7:E7</f>
      </c>
      <c r="D4" s="164"/>
      <c r="E4" s="165"/>
      <c r="F4" t="s" s="147">
        <f>'Termék'!A4</f>
        <v>169</v>
      </c>
      <c r="G4" t="s" s="563">
        <f>IF('Termék'!B4="","",'Termék'!B4)</f>
      </c>
      <c r="H4" s="252"/>
      <c r="I4" s="247"/>
      <c r="J4" s="247"/>
      <c r="K4" s="247"/>
      <c r="L4" s="247"/>
      <c r="M4" s="247"/>
      <c r="N4" s="247"/>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4"/>
    </row>
    <row r="5" ht="15.75" customHeight="1">
      <c r="A5" t="s" s="161">
        <f>'Termék'!A8</f>
        <v>133</v>
      </c>
      <c r="B5" s="162"/>
      <c r="C5" s="253">
        <f>'Termék'!C8:E8</f>
        <v>0</v>
      </c>
      <c r="D5" s="164"/>
      <c r="E5" s="164"/>
      <c r="F5" s="564"/>
      <c r="G5" s="564"/>
      <c r="H5" s="247"/>
      <c r="I5" s="247"/>
      <c r="J5" s="247"/>
      <c r="K5" s="247"/>
      <c r="L5" s="247"/>
      <c r="M5" s="247"/>
      <c r="N5" s="247"/>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4"/>
    </row>
    <row r="6" ht="22.5" customHeight="1">
      <c r="A6" t="s" s="161">
        <f>'Termék'!A24</f>
        <v>171</v>
      </c>
      <c r="B6" s="162"/>
      <c r="C6" s="520">
        <f>'Termék'!C24</f>
        <v>0</v>
      </c>
      <c r="D6" s="521"/>
      <c r="E6" t="s" s="565">
        <f>IF('Adatlap'!$L$1='Fordítások'!C3,'Fordítások'!C131,'Fordítások'!B131)</f>
        <v>336</v>
      </c>
      <c r="F6" s="566"/>
      <c r="G6" s="567"/>
      <c r="H6" s="252"/>
      <c r="I6" s="247"/>
      <c r="J6" s="247"/>
      <c r="K6" s="247"/>
      <c r="L6" s="247"/>
      <c r="M6" s="247"/>
      <c r="N6" s="247"/>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4"/>
    </row>
    <row r="7" ht="24" customHeight="1">
      <c r="A7" t="s" s="568">
        <f>IF('Adatlap'!$L$1='Fordítások'!C3,'Fordítások'!C125,'Fordítások'!B125)</f>
        <v>337</v>
      </c>
      <c r="B7" s="569"/>
      <c r="C7" s="570"/>
      <c r="D7" s="571"/>
      <c r="E7" t="s" s="572">
        <f>IF('Adatlap'!$L$1='Fordítások'!C3,'Fordítások'!C132,'Fordítások'!B132)</f>
        <v>338</v>
      </c>
      <c r="F7" s="573"/>
      <c r="G7" s="567"/>
      <c r="H7" s="252"/>
      <c r="I7" s="247"/>
      <c r="J7" s="247"/>
      <c r="K7" s="247"/>
      <c r="L7" s="247"/>
      <c r="M7" s="247"/>
      <c r="N7" s="247"/>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4"/>
    </row>
    <row r="8" ht="42" customHeight="1">
      <c r="A8" t="s" s="350">
        <f>'Termék'!A13</f>
        <v>339</v>
      </c>
      <c r="B8" t="s" s="354">
        <f>'Alapanyagok'!B10</f>
        <v>340</v>
      </c>
      <c r="C8" t="s" s="352">
        <f>'Alapanyagok'!I10</f>
        <v>207</v>
      </c>
      <c r="D8" t="s" s="565">
        <f>B8</f>
        <v>340</v>
      </c>
      <c r="E8" t="s" s="565">
        <f>IF('Adatlap'!$L$1='Fordítások'!C3,'Fordítások'!C128,'Fordítások'!B128)</f>
        <v>341</v>
      </c>
      <c r="F8" t="s" s="565">
        <f>IF('Adatlap'!$L$1='Fordítások'!C3,'Fordítások'!C122,'Fordítások'!B122)</f>
        <v>342</v>
      </c>
      <c r="G8" t="s" s="565">
        <f>IF('Adatlap'!$L$1='Fordítások'!C3,'Fordítások'!C126,'Fordítások'!B126)</f>
        <v>343</v>
      </c>
      <c r="H8" s="252"/>
      <c r="I8" s="247"/>
      <c r="J8" s="247"/>
      <c r="K8" s="247"/>
      <c r="L8" s="247"/>
      <c r="M8" s="247"/>
      <c r="N8" s="247"/>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4"/>
    </row>
    <row r="9" ht="45" customHeight="1">
      <c r="A9" t="s" s="359">
        <f>'Termék'!A14</f>
        <v>339</v>
      </c>
      <c r="B9" t="s" s="359">
        <f>'Alapanyagok'!B11</f>
        <v>276</v>
      </c>
      <c r="C9" t="s" s="279">
        <f>'Alapanyagok'!I11</f>
        <v>228</v>
      </c>
      <c r="D9" t="s" s="528">
        <f>IF('Adatlap'!$L$1='Fordítások'!C3,'Fordítások'!C123,'Fordítások'!B123)</f>
        <v>344</v>
      </c>
      <c r="E9" t="s" s="528">
        <f>IF('Adatlap'!$L$1='Fordítások'!C3,'Fordítások'!C135,'Fordítások'!B135)</f>
        <v>227</v>
      </c>
      <c r="F9" t="s" s="528">
        <f>IF('Adatlap'!$L$1='Fordítások'!C3,'Fordítások'!C124,'Fordítások'!B124)</f>
        <v>345</v>
      </c>
      <c r="G9" t="s" s="572">
        <f>IF('Adatlap'!$L$1='Fordítások'!C3,'Fordítások'!C127,'Fordítások'!B127)</f>
        <v>346</v>
      </c>
      <c r="H9" s="252"/>
      <c r="I9" s="247"/>
      <c r="J9" s="247"/>
      <c r="K9" s="247"/>
      <c r="L9" s="247"/>
      <c r="M9" s="247"/>
      <c r="N9" s="247"/>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4"/>
    </row>
    <row r="10" ht="12.75" customHeight="1">
      <c r="A10" s="371">
        <v>1</v>
      </c>
      <c r="B10" s="574"/>
      <c r="C10" s="575"/>
      <c r="D10" s="533"/>
      <c r="E10" s="373"/>
      <c r="F10" s="373"/>
      <c r="G10" s="576"/>
      <c r="H10" s="255"/>
      <c r="I10" s="247"/>
      <c r="J10" s="247"/>
      <c r="K10" s="247"/>
      <c r="L10" s="247"/>
      <c r="M10" s="247"/>
      <c r="N10" s="247"/>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4"/>
    </row>
    <row r="11" ht="15.75" customHeight="1">
      <c r="A11" s="371">
        <v>2</v>
      </c>
      <c r="B11" t="s" s="577">
        <f>IF('Alapanyagok'!P13='Auswahldaten'!$A$12,'Alapanyagok'!B13,"")</f>
      </c>
      <c r="C11" t="s" s="462">
        <f>IF('Alapanyagok'!P13='Auswahldaten'!$A$12,'Alapanyagok'!I13,"")</f>
      </c>
      <c r="D11" t="s" s="462">
        <f>IF('Alapanyagok'!P13='Auswahldaten'!$A$12,'Alapanyagok'!H13,"")</f>
      </c>
      <c r="E11" s="578"/>
      <c r="F11" s="579"/>
      <c r="G11" t="s" s="461">
        <f>IF(OR(E11='Fordítások'!$C$129,E11='Fordítások'!$B$129),($C$7*C11*F11/100)/100,IF(OR(E11='Fordítások'!$C$130,E11='Fordítások'!$B$130),($C$7*(C11/('Alapanyagok'!E13/100)))/100,""))</f>
      </c>
      <c r="H11" s="255"/>
      <c r="I11" s="247"/>
      <c r="J11" s="247"/>
      <c r="K11" s="247"/>
      <c r="L11" s="247"/>
      <c r="M11" s="247"/>
      <c r="N11" s="247"/>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4"/>
    </row>
    <row r="12" ht="15.75" customHeight="1">
      <c r="A12" s="371">
        <v>3</v>
      </c>
      <c r="B12" t="s" s="577">
        <f>IF('Alapanyagok'!P14='Auswahldaten'!$A$12,'Alapanyagok'!B14,"")</f>
      </c>
      <c r="C12" t="s" s="462">
        <f>IF('Alapanyagok'!P14='Auswahldaten'!$A$12,'Alapanyagok'!I14,"")</f>
      </c>
      <c r="D12" t="s" s="462">
        <f>IF('Alapanyagok'!P14='Auswahldaten'!$A$12,'Alapanyagok'!H14,"")</f>
      </c>
      <c r="E12" s="578"/>
      <c r="F12" s="579"/>
      <c r="G12" t="s" s="461">
        <f>IF(OR(E12='Fordítások'!$C$129,E12='Fordítások'!$B$129),($C$7*C12*F12/100)/100,IF(OR(E12='Fordítások'!$C$130,E12='Fordítások'!$B$130),($C$7*(C12/('Alapanyagok'!E14/100)))/100,""))</f>
      </c>
      <c r="H12" s="255"/>
      <c r="I12" s="247"/>
      <c r="J12" s="247"/>
      <c r="K12" s="247"/>
      <c r="L12" s="247"/>
      <c r="M12" s="247"/>
      <c r="N12" s="247"/>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4"/>
    </row>
    <row r="13" ht="15.75" customHeight="1">
      <c r="A13" s="371">
        <v>4</v>
      </c>
      <c r="B13" t="s" s="577">
        <f>IF('Alapanyagok'!P15='Auswahldaten'!$A$12,'Alapanyagok'!B15,"")</f>
      </c>
      <c r="C13" t="s" s="462">
        <f>IF('Alapanyagok'!P15='Auswahldaten'!$A$12,'Alapanyagok'!I15,"")</f>
      </c>
      <c r="D13" t="s" s="462">
        <f>IF('Alapanyagok'!P15='Auswahldaten'!$A$12,'Alapanyagok'!H15,"")</f>
      </c>
      <c r="E13" s="578"/>
      <c r="F13" s="579"/>
      <c r="G13" t="s" s="461">
        <f>IF(OR(E13='Fordítások'!$C$129,E13='Fordítások'!$B$129),($C$7*C13*F13/100)/100,IF(OR(E13='Fordítások'!$C$130,E13='Fordítások'!$B$130),($C$7*(C13/('Alapanyagok'!E15/100)))/100,""))</f>
      </c>
      <c r="H13" s="255"/>
      <c r="I13" s="247"/>
      <c r="J13" s="247"/>
      <c r="K13" s="247"/>
      <c r="L13" s="247"/>
      <c r="M13" s="247"/>
      <c r="N13" s="247"/>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4"/>
    </row>
    <row r="14" ht="15.75" customHeight="1">
      <c r="A14" s="371">
        <v>5</v>
      </c>
      <c r="B14" t="s" s="577">
        <f>IF('Alapanyagok'!P16='Auswahldaten'!$A$12,'Alapanyagok'!B16,"")</f>
      </c>
      <c r="C14" t="s" s="462">
        <f>IF('Alapanyagok'!P16='Auswahldaten'!$A$12,'Alapanyagok'!I16,"")</f>
      </c>
      <c r="D14" t="s" s="462">
        <f>IF('Alapanyagok'!P16='Auswahldaten'!$A$12,'Alapanyagok'!H16,"")</f>
      </c>
      <c r="E14" s="578"/>
      <c r="F14" s="579"/>
      <c r="G14" t="s" s="461">
        <f>IF(OR(E14='Fordítások'!$C$129,E14='Fordítások'!$B$129),($C$7*C14*F14/100)/100,IF(OR(E14='Fordítások'!$C$130,E14='Fordítások'!$B$130),($C$7*(C14/('Alapanyagok'!E16/100)))/100,""))</f>
      </c>
      <c r="H14" s="255"/>
      <c r="I14" s="247"/>
      <c r="J14" s="247"/>
      <c r="K14" s="247"/>
      <c r="L14" s="247"/>
      <c r="M14" s="247"/>
      <c r="N14" s="247"/>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4"/>
    </row>
    <row r="15" ht="15.75" customHeight="1">
      <c r="A15" s="371">
        <v>6</v>
      </c>
      <c r="B15" t="s" s="577">
        <f>IF('Alapanyagok'!P17='Auswahldaten'!$A$12,'Alapanyagok'!B17,"")</f>
      </c>
      <c r="C15" t="s" s="462">
        <f>IF('Alapanyagok'!P17='Auswahldaten'!$A$12,'Alapanyagok'!I17,"")</f>
      </c>
      <c r="D15" t="s" s="462">
        <f>IF('Alapanyagok'!P17='Auswahldaten'!$A$12,'Alapanyagok'!H17,"")</f>
      </c>
      <c r="E15" s="578"/>
      <c r="F15" s="579"/>
      <c r="G15" t="s" s="461">
        <f>IF(OR(E15='Fordítások'!$C$129,E15='Fordítások'!$B$129),($C$7*C15*F15/100)/100,IF(OR(E15='Fordítások'!$C$130,E15='Fordítások'!$B$130),($C$7*(C15/('Alapanyagok'!E17/100)))/100,""))</f>
      </c>
      <c r="H15" s="255"/>
      <c r="I15" s="247"/>
      <c r="J15" s="247"/>
      <c r="K15" s="247"/>
      <c r="L15" s="247"/>
      <c r="M15" s="247"/>
      <c r="N15" s="247"/>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4"/>
    </row>
    <row r="16" ht="15.75" customHeight="1">
      <c r="A16" s="371">
        <v>7</v>
      </c>
      <c r="B16" t="s" s="577">
        <f>IF('Alapanyagok'!P18='Auswahldaten'!$A$12,'Alapanyagok'!B18,"")</f>
      </c>
      <c r="C16" t="s" s="462">
        <f>IF('Alapanyagok'!P18='Auswahldaten'!$A$12,'Alapanyagok'!I18,"")</f>
      </c>
      <c r="D16" t="s" s="462">
        <f>IF('Alapanyagok'!P18='Auswahldaten'!$A$12,'Alapanyagok'!H18,"")</f>
      </c>
      <c r="E16" s="578"/>
      <c r="F16" s="579"/>
      <c r="G16" t="s" s="461">
        <f>IF(OR(E16='Fordítások'!$C$129,E16='Fordítások'!$B$129),($C$7*C16*F16/100)/100,IF(OR(E16='Fordítások'!$C$130,E16='Fordítások'!$B$130),($C$7*(C16/('Alapanyagok'!E18/100)))/100,""))</f>
      </c>
      <c r="H16" s="255"/>
      <c r="I16" s="247"/>
      <c r="J16" s="247"/>
      <c r="K16" s="247"/>
      <c r="L16" s="247"/>
      <c r="M16" s="247"/>
      <c r="N16" s="247"/>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4"/>
    </row>
    <row r="17" ht="15.75" customHeight="1">
      <c r="A17" s="371">
        <v>8</v>
      </c>
      <c r="B17" t="s" s="577">
        <f>IF('Alapanyagok'!P19='Auswahldaten'!$A$12,'Alapanyagok'!B19,"")</f>
      </c>
      <c r="C17" t="s" s="462">
        <f>IF('Alapanyagok'!P19='Auswahldaten'!$A$12,'Alapanyagok'!I19,"")</f>
      </c>
      <c r="D17" t="s" s="462">
        <f>IF('Alapanyagok'!P19='Auswahldaten'!$A$12,'Alapanyagok'!H19,"")</f>
      </c>
      <c r="E17" s="578"/>
      <c r="F17" s="579"/>
      <c r="G17" t="s" s="461">
        <f>IF(OR(E17='Fordítások'!$C$129,E17='Fordítások'!$B$129),($C$7*C17*F17/100)/100,IF(OR(E17='Fordítások'!$C$130,E17='Fordítások'!$B$130),($C$7*(C17/('Alapanyagok'!E19/100)))/100,""))</f>
      </c>
      <c r="H17" s="255"/>
      <c r="I17" s="247"/>
      <c r="J17" s="247"/>
      <c r="K17" s="247"/>
      <c r="L17" s="247"/>
      <c r="M17" s="247"/>
      <c r="N17" s="247"/>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4"/>
    </row>
    <row r="18" ht="15.75" customHeight="1">
      <c r="A18" s="371">
        <v>9</v>
      </c>
      <c r="B18" t="s" s="577">
        <f>IF('Alapanyagok'!P20='Auswahldaten'!$A$12,'Alapanyagok'!B20,"")</f>
      </c>
      <c r="C18" t="s" s="462">
        <f>IF('Alapanyagok'!P20='Auswahldaten'!$A$12,'Alapanyagok'!I20,"")</f>
      </c>
      <c r="D18" t="s" s="462">
        <f>IF('Alapanyagok'!P20='Auswahldaten'!$A$12,'Alapanyagok'!H20,"")</f>
      </c>
      <c r="E18" s="578"/>
      <c r="F18" s="579"/>
      <c r="G18" t="s" s="461">
        <f>IF(OR(E18='Fordítások'!$C$129,E18='Fordítások'!$B$129),($C$7*C18*F18/100)/100,IF(OR(E18='Fordítások'!$C$130,E18='Fordítások'!$B$130),($C$7*(C18/('Alapanyagok'!E20/100)))/100,""))</f>
      </c>
      <c r="H18" s="255"/>
      <c r="I18" s="247"/>
      <c r="J18" s="247"/>
      <c r="K18" s="247"/>
      <c r="L18" s="247"/>
      <c r="M18" s="247"/>
      <c r="N18" s="247"/>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4"/>
    </row>
    <row r="19" ht="15.75" customHeight="1">
      <c r="A19" s="371">
        <v>10</v>
      </c>
      <c r="B19" t="s" s="577">
        <f>IF('Alapanyagok'!P21='Auswahldaten'!$A$12,'Alapanyagok'!B21,"")</f>
      </c>
      <c r="C19" t="s" s="462">
        <f>IF('Alapanyagok'!P21='Auswahldaten'!$A$12,'Alapanyagok'!I21,"")</f>
      </c>
      <c r="D19" t="s" s="462">
        <f>IF('Alapanyagok'!P21='Auswahldaten'!$A$12,'Alapanyagok'!H21,"")</f>
      </c>
      <c r="E19" s="578"/>
      <c r="F19" s="579"/>
      <c r="G19" t="s" s="461">
        <f>IF(OR(E19='Fordítások'!$C$129,E19='Fordítások'!$B$129),($C$7*C19*F19/100)/100,IF(OR(E19='Fordítások'!$C$130,E19='Fordítások'!$B$130),($C$7*(C19/('Alapanyagok'!E21/100)))/100,""))</f>
      </c>
      <c r="H19" s="255"/>
      <c r="I19" s="247"/>
      <c r="J19" s="247"/>
      <c r="K19" s="247"/>
      <c r="L19" s="247"/>
      <c r="M19" s="247"/>
      <c r="N19" s="247"/>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4"/>
    </row>
    <row r="20" ht="15.75" customHeight="1">
      <c r="A20" s="371">
        <v>11</v>
      </c>
      <c r="B20" t="s" s="577">
        <f>IF('Alapanyagok'!P22='Auswahldaten'!$A$12,'Alapanyagok'!B22,"")</f>
      </c>
      <c r="C20" t="s" s="462">
        <f>IF('Alapanyagok'!P22='Auswahldaten'!$A$12,'Alapanyagok'!I22,"")</f>
      </c>
      <c r="D20" t="s" s="462">
        <f>IF('Alapanyagok'!P22='Auswahldaten'!$A$12,'Alapanyagok'!H22,"")</f>
      </c>
      <c r="E20" s="578"/>
      <c r="F20" s="579"/>
      <c r="G20" t="s" s="461">
        <f>IF(OR(E20='Fordítások'!$C$129,E20='Fordítások'!$B$129),($C$7*C20*F20/100)/100,IF(OR(E20='Fordítások'!$C$130,E20='Fordítások'!$B$130),($C$7*(C20/('Alapanyagok'!E22/100)))/100,""))</f>
      </c>
      <c r="H20" s="255"/>
      <c r="I20" s="247"/>
      <c r="J20" s="247"/>
      <c r="K20" s="247"/>
      <c r="L20" s="247"/>
      <c r="M20" s="247"/>
      <c r="N20" s="247"/>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4"/>
    </row>
    <row r="21" ht="15.75" customHeight="1">
      <c r="A21" s="371">
        <v>12</v>
      </c>
      <c r="B21" t="s" s="577">
        <f>IF('Alapanyagok'!P23='Auswahldaten'!$A$12,'Alapanyagok'!B23,"")</f>
      </c>
      <c r="C21" t="s" s="462">
        <f>IF('Alapanyagok'!P23='Auswahldaten'!$A$12,'Alapanyagok'!I23,"")</f>
      </c>
      <c r="D21" t="s" s="462">
        <f>IF('Alapanyagok'!P23='Auswahldaten'!$A$12,'Alapanyagok'!H23,"")</f>
      </c>
      <c r="E21" s="578"/>
      <c r="F21" s="579"/>
      <c r="G21" t="s" s="461">
        <f>IF(OR(E21='Fordítások'!$C$129,E21='Fordítások'!$B$129),($C$7*C21*F21/100)/100,IF(OR(E21='Fordítások'!$C$130,E21='Fordítások'!$B$130),($C$7*(C21/('Alapanyagok'!E23/100)))/100,""))</f>
      </c>
      <c r="H21" s="255"/>
      <c r="I21" s="247"/>
      <c r="J21" s="247"/>
      <c r="K21" s="247"/>
      <c r="L21" s="247"/>
      <c r="M21" s="247"/>
      <c r="N21" s="247"/>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4"/>
    </row>
    <row r="22" ht="15.75" customHeight="1">
      <c r="A22" s="371">
        <v>13</v>
      </c>
      <c r="B22" t="s" s="577">
        <f>IF('Alapanyagok'!P24='Auswahldaten'!$A$12,'Alapanyagok'!B24,"")</f>
      </c>
      <c r="C22" t="s" s="462">
        <f>IF('Alapanyagok'!P24='Auswahldaten'!$A$12,'Alapanyagok'!I24,"")</f>
      </c>
      <c r="D22" t="s" s="462">
        <f>IF('Alapanyagok'!P24='Auswahldaten'!$A$12,'Alapanyagok'!H24,"")</f>
      </c>
      <c r="E22" s="578"/>
      <c r="F22" s="579"/>
      <c r="G22" t="s" s="461">
        <f>IF(OR(E22='Fordítások'!$C$129,E22='Fordítások'!$B$129),($C$7*C22*F22/100)/100,IF(OR(E22='Fordítások'!$C$130,E22='Fordítások'!$B$130),($C$7*(C22/('Alapanyagok'!E24/100)))/100,""))</f>
      </c>
      <c r="H22" s="255"/>
      <c r="I22" s="247"/>
      <c r="J22" s="247"/>
      <c r="K22" s="247"/>
      <c r="L22" s="247"/>
      <c r="M22" s="247"/>
      <c r="N22" s="247"/>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4"/>
    </row>
    <row r="23" ht="15.75" customHeight="1">
      <c r="A23" s="371">
        <v>14</v>
      </c>
      <c r="B23" t="s" s="577">
        <f>IF('Alapanyagok'!P25='Auswahldaten'!$A$12,'Alapanyagok'!B25,"")</f>
      </c>
      <c r="C23" t="s" s="462">
        <f>IF('Alapanyagok'!P25='Auswahldaten'!$A$12,'Alapanyagok'!I25,"")</f>
      </c>
      <c r="D23" t="s" s="462">
        <f>IF('Alapanyagok'!P25='Auswahldaten'!$A$12,'Alapanyagok'!H25,"")</f>
      </c>
      <c r="E23" s="578"/>
      <c r="F23" s="579"/>
      <c r="G23" t="s" s="461">
        <f>IF(OR(E23='Fordítások'!$C$129,E23='Fordítások'!$B$129),($C$7*C23*F23/100)/100,IF(OR(E23='Fordítások'!$C$130,E23='Fordítások'!$B$130),($C$7*(C23/('Alapanyagok'!E25/100)))/100,""))</f>
      </c>
      <c r="H23" s="255"/>
      <c r="I23" s="247"/>
      <c r="J23" s="247"/>
      <c r="K23" s="247"/>
      <c r="L23" s="247"/>
      <c r="M23" s="247"/>
      <c r="N23" s="247"/>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4"/>
    </row>
    <row r="24" ht="15.75" customHeight="1">
      <c r="A24" s="371">
        <v>15</v>
      </c>
      <c r="B24" t="s" s="577">
        <f>IF('Alapanyagok'!P26='Auswahldaten'!$A$12,'Alapanyagok'!B26,"")</f>
      </c>
      <c r="C24" t="s" s="462">
        <f>IF('Alapanyagok'!P26='Auswahldaten'!$A$12,'Alapanyagok'!I26,"")</f>
      </c>
      <c r="D24" t="s" s="462">
        <f>IF('Alapanyagok'!P26='Auswahldaten'!$A$12,'Alapanyagok'!H26,"")</f>
      </c>
      <c r="E24" s="578"/>
      <c r="F24" s="579"/>
      <c r="G24" t="s" s="461">
        <f>IF(OR(E24='Fordítások'!$C$129,E24='Fordítások'!$B$129),($C$7*C24*F24/100)/100,IF(OR(E24='Fordítások'!$C$130,E24='Fordítások'!$B$130),($C$7*(C24/('Alapanyagok'!E26/100)))/100,""))</f>
      </c>
      <c r="H24" s="255"/>
      <c r="I24" s="247"/>
      <c r="J24" s="247"/>
      <c r="K24" s="247"/>
      <c r="L24" s="247"/>
      <c r="M24" s="247"/>
      <c r="N24" s="247"/>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4"/>
    </row>
    <row r="25" ht="15.75" customHeight="1">
      <c r="A25" s="371">
        <v>16</v>
      </c>
      <c r="B25" t="s" s="577">
        <f>IF('Alapanyagok'!P27='Auswahldaten'!$A$12,'Alapanyagok'!B27,"")</f>
      </c>
      <c r="C25" t="s" s="462">
        <f>IF('Alapanyagok'!P27='Auswahldaten'!$A$12,'Alapanyagok'!I27,"")</f>
      </c>
      <c r="D25" t="s" s="462">
        <f>IF('Alapanyagok'!P27='Auswahldaten'!$A$12,'Alapanyagok'!H27,"")</f>
      </c>
      <c r="E25" s="578"/>
      <c r="F25" s="579"/>
      <c r="G25" t="s" s="461">
        <f>IF(OR(E25='Fordítások'!$C$129,E25='Fordítások'!$B$129),($C$7*C25*F25/100)/100,IF(OR(E25='Fordítások'!$C$130,E25='Fordítások'!$B$130),($C$7*(C25/('Alapanyagok'!E27/100)))/100,""))</f>
      </c>
      <c r="H25" s="255"/>
      <c r="I25" s="247"/>
      <c r="J25" s="247"/>
      <c r="K25" s="247"/>
      <c r="L25" s="247"/>
      <c r="M25" s="247"/>
      <c r="N25" s="247"/>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4"/>
    </row>
    <row r="26" ht="15.75" customHeight="1">
      <c r="A26" s="371">
        <v>17</v>
      </c>
      <c r="B26" t="s" s="577">
        <f>IF('Alapanyagok'!P28='Auswahldaten'!$A$12,'Alapanyagok'!B28,"")</f>
      </c>
      <c r="C26" t="s" s="462">
        <f>IF('Alapanyagok'!P28='Auswahldaten'!$A$12,'Alapanyagok'!I28,"")</f>
      </c>
      <c r="D26" t="s" s="462">
        <f>IF('Alapanyagok'!P28='Auswahldaten'!$A$12,'Alapanyagok'!H28,"")</f>
      </c>
      <c r="E26" s="578"/>
      <c r="F26" s="579"/>
      <c r="G26" t="s" s="461">
        <f>IF(OR(E26='Fordítások'!$C$129,E26='Fordítások'!$B$129),($C$7*C26*F26/100)/100,IF(OR(E26='Fordítások'!$C$130,E26='Fordítások'!$B$130),($C$7*(C26/('Alapanyagok'!E28/100)))/100,""))</f>
      </c>
      <c r="H26" s="255"/>
      <c r="I26" s="247"/>
      <c r="J26" s="247"/>
      <c r="K26" s="247"/>
      <c r="L26" s="247"/>
      <c r="M26" s="247"/>
      <c r="N26" s="247"/>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4"/>
    </row>
    <row r="27" ht="15.75" customHeight="1">
      <c r="A27" s="371">
        <v>18</v>
      </c>
      <c r="B27" t="s" s="577">
        <f>IF('Alapanyagok'!P29='Auswahldaten'!$A$12,'Alapanyagok'!B29,"")</f>
      </c>
      <c r="C27" t="s" s="462">
        <f>IF('Alapanyagok'!P29='Auswahldaten'!$A$12,'Alapanyagok'!I29,"")</f>
      </c>
      <c r="D27" t="s" s="462">
        <f>IF('Alapanyagok'!P29='Auswahldaten'!$A$12,'Alapanyagok'!H29,"")</f>
      </c>
      <c r="E27" s="578"/>
      <c r="F27" s="579"/>
      <c r="G27" t="s" s="461">
        <f>IF(OR(E27='Fordítások'!$C$129,E27='Fordítások'!$B$129),($C$7*C27*F27/100)/100,IF(OR(E27='Fordítások'!$C$130,E27='Fordítások'!$B$130),($C$7*(C27/('Alapanyagok'!E29/100)))/100,""))</f>
      </c>
      <c r="H27" s="255"/>
      <c r="I27" s="247"/>
      <c r="J27" s="247"/>
      <c r="K27" s="247"/>
      <c r="L27" s="247"/>
      <c r="M27" s="247"/>
      <c r="N27" s="247"/>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4"/>
    </row>
    <row r="28" ht="15.75" customHeight="1">
      <c r="A28" s="371">
        <v>19</v>
      </c>
      <c r="B28" t="s" s="577">
        <f>IF('Alapanyagok'!P30='Auswahldaten'!$A$12,'Alapanyagok'!B30,"")</f>
      </c>
      <c r="C28" t="s" s="462">
        <f>IF('Alapanyagok'!P30='Auswahldaten'!$A$12,'Alapanyagok'!I30,"")</f>
      </c>
      <c r="D28" t="s" s="462">
        <f>IF('Alapanyagok'!P30='Auswahldaten'!$A$12,'Alapanyagok'!H30,"")</f>
      </c>
      <c r="E28" s="578"/>
      <c r="F28" s="579"/>
      <c r="G28" t="s" s="461">
        <f>IF(OR(E28='Fordítások'!$C$129,E28='Fordítások'!$B$129),($C$7*C28*F28/100)/100,IF(OR(E28='Fordítások'!$C$130,E28='Fordítások'!$B$130),($C$7*(C28/('Alapanyagok'!E30/100)))/100,""))</f>
      </c>
      <c r="H28" s="255"/>
      <c r="I28" s="247"/>
      <c r="J28" s="247"/>
      <c r="K28" s="247"/>
      <c r="L28" s="247"/>
      <c r="M28" s="247"/>
      <c r="N28" s="247"/>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4"/>
    </row>
    <row r="29" ht="15.75" customHeight="1">
      <c r="A29" s="371">
        <v>20</v>
      </c>
      <c r="B29" t="s" s="577">
        <f>IF('Alapanyagok'!P31='Auswahldaten'!$A$12,'Alapanyagok'!B31,"")</f>
      </c>
      <c r="C29" t="s" s="462">
        <f>IF('Alapanyagok'!P31='Auswahldaten'!$A$12,'Alapanyagok'!I31,"")</f>
      </c>
      <c r="D29" t="s" s="462">
        <f>IF('Alapanyagok'!P31='Auswahldaten'!$A$12,'Alapanyagok'!H31,"")</f>
      </c>
      <c r="E29" s="578"/>
      <c r="F29" s="579"/>
      <c r="G29" t="s" s="461">
        <f>IF(OR(E29='Fordítások'!$C$129,E29='Fordítások'!$B$129),($C$7*C29*F29/100)/100,IF(OR(E29='Fordítások'!$C$130,E29='Fordítások'!$B$130),($C$7*(C29/('Alapanyagok'!E31/100)))/100,""))</f>
      </c>
      <c r="H29" s="255"/>
      <c r="I29" s="247"/>
      <c r="J29" s="247"/>
      <c r="K29" s="247"/>
      <c r="L29" s="247"/>
      <c r="M29" s="247"/>
      <c r="N29" s="247"/>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4"/>
    </row>
    <row r="30" ht="15.75" customHeight="1">
      <c r="A30" s="371">
        <v>21</v>
      </c>
      <c r="B30" t="s" s="577">
        <f>IF('Alapanyagok'!P32='Auswahldaten'!$A$12,'Alapanyagok'!B32,"")</f>
      </c>
      <c r="C30" t="s" s="462">
        <f>IF('Alapanyagok'!P32='Auswahldaten'!$A$12,'Alapanyagok'!I32,"")</f>
      </c>
      <c r="D30" t="s" s="462">
        <f>IF('Alapanyagok'!P32='Auswahldaten'!$A$12,'Alapanyagok'!H32,"")</f>
      </c>
      <c r="E30" s="578"/>
      <c r="F30" s="579"/>
      <c r="G30" t="s" s="461">
        <f>IF(OR(E30='Fordítások'!$C$129,E30='Fordítások'!$B$129),($C$7*C30*F30/100)/100,IF(OR(E30='Fordítások'!$C$130,E30='Fordítások'!$B$130),($C$7*(C30/('Alapanyagok'!E32/100)))/100,""))</f>
      </c>
      <c r="H30" s="255"/>
      <c r="I30" s="247"/>
      <c r="J30" s="247"/>
      <c r="K30" s="247"/>
      <c r="L30" s="247"/>
      <c r="M30" s="247"/>
      <c r="N30" s="247"/>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4"/>
    </row>
    <row r="31" ht="15.75" customHeight="1">
      <c r="A31" s="371">
        <v>22</v>
      </c>
      <c r="B31" t="s" s="577">
        <f>IF('Alapanyagok'!P33='Auswahldaten'!$A$12,'Alapanyagok'!B33,"")</f>
      </c>
      <c r="C31" t="s" s="462">
        <f>IF('Alapanyagok'!P33='Auswahldaten'!$A$12,'Alapanyagok'!I33,"")</f>
      </c>
      <c r="D31" t="s" s="462">
        <f>IF('Alapanyagok'!P33='Auswahldaten'!$A$12,'Alapanyagok'!H33,"")</f>
      </c>
      <c r="E31" s="578"/>
      <c r="F31" s="579"/>
      <c r="G31" t="s" s="461">
        <f>IF(OR(E31='Fordítások'!$C$129,E31='Fordítások'!$B$129),($C$7*C31*F31/100)/100,IF(OR(E31='Fordítások'!$C$130,E31='Fordítások'!$B$130),($C$7*(C31/('Alapanyagok'!E33/100)))/100,""))</f>
      </c>
      <c r="H31" s="255"/>
      <c r="I31" s="247"/>
      <c r="J31" s="247"/>
      <c r="K31" s="247"/>
      <c r="L31" s="247"/>
      <c r="M31" s="247"/>
      <c r="N31" s="247"/>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4"/>
    </row>
    <row r="32" ht="15.75" customHeight="1">
      <c r="A32" s="371">
        <v>23</v>
      </c>
      <c r="B32" t="s" s="577">
        <f>IF('Alapanyagok'!P34='Auswahldaten'!$A$12,'Alapanyagok'!B34,"")</f>
      </c>
      <c r="C32" t="s" s="462">
        <f>IF('Alapanyagok'!P34='Auswahldaten'!$A$12,'Alapanyagok'!I34,"")</f>
      </c>
      <c r="D32" t="s" s="462">
        <f>IF('Alapanyagok'!P34='Auswahldaten'!$A$12,'Alapanyagok'!H34,"")</f>
      </c>
      <c r="E32" s="578"/>
      <c r="F32" s="579"/>
      <c r="G32" t="s" s="461">
        <f>IF(OR(E32='Fordítások'!$C$129,E32='Fordítások'!$B$129),($C$7*C32*F32/100)/100,IF(OR(E32='Fordítások'!$C$130,E32='Fordítások'!$B$130),($C$7*(C32/('Alapanyagok'!E34/100)))/100,""))</f>
      </c>
      <c r="H32" s="255"/>
      <c r="I32" s="247"/>
      <c r="J32" s="247"/>
      <c r="K32" s="247"/>
      <c r="L32" s="247"/>
      <c r="M32" s="247"/>
      <c r="N32" s="247"/>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4"/>
    </row>
    <row r="33" ht="15.75" customHeight="1">
      <c r="A33" s="371">
        <v>24</v>
      </c>
      <c r="B33" t="s" s="577">
        <f>IF('Alapanyagok'!P35='Auswahldaten'!$A$12,'Alapanyagok'!B35,"")</f>
      </c>
      <c r="C33" t="s" s="462">
        <f>IF('Alapanyagok'!P35='Auswahldaten'!$A$12,'Alapanyagok'!I35,"")</f>
      </c>
      <c r="D33" t="s" s="462">
        <f>IF('Alapanyagok'!P35='Auswahldaten'!$A$12,'Alapanyagok'!H35,"")</f>
      </c>
      <c r="E33" s="578"/>
      <c r="F33" s="579"/>
      <c r="G33" t="s" s="461">
        <f>IF(OR(E33='Fordítások'!$C$129,E33='Fordítások'!$B$129),($C$7*C33*F33/100)/100,IF(OR(E33='Fordítások'!$C$130,E33='Fordítások'!$B$130),($C$7*(C33/('Alapanyagok'!E35/100)))/100,""))</f>
      </c>
      <c r="H33" s="255"/>
      <c r="I33" s="247"/>
      <c r="J33" s="247"/>
      <c r="K33" s="247"/>
      <c r="L33" s="247"/>
      <c r="M33" s="247"/>
      <c r="N33" s="247"/>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4"/>
    </row>
    <row r="34" ht="15.75" customHeight="1">
      <c r="A34" s="371">
        <v>25</v>
      </c>
      <c r="B34" t="s" s="577">
        <f>IF('Alapanyagok'!P36='Auswahldaten'!$A$12,'Alapanyagok'!B36,"")</f>
      </c>
      <c r="C34" t="s" s="462">
        <f>IF('Alapanyagok'!P36='Auswahldaten'!$A$12,'Alapanyagok'!I36,"")</f>
      </c>
      <c r="D34" t="s" s="462">
        <f>IF('Alapanyagok'!P36='Auswahldaten'!$A$12,'Alapanyagok'!H36,"")</f>
      </c>
      <c r="E34" s="578"/>
      <c r="F34" s="579"/>
      <c r="G34" t="s" s="461">
        <f>IF(OR(E34='Fordítások'!$C$129,E34='Fordítások'!$B$129),($C$7*C34*F34/100)/100,IF(OR(E34='Fordítások'!$C$130,E34='Fordítások'!$B$130),($C$7*(C34/('Alapanyagok'!E36/100)))/100,""))</f>
      </c>
      <c r="H34" s="255"/>
      <c r="I34" s="247"/>
      <c r="J34" s="247"/>
      <c r="K34" s="247"/>
      <c r="L34" s="247"/>
      <c r="M34" s="247"/>
      <c r="N34" s="247"/>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4"/>
    </row>
    <row r="35" ht="15.75" customHeight="1">
      <c r="A35" s="371">
        <v>26</v>
      </c>
      <c r="B35" t="s" s="577">
        <f>IF('Alapanyagok'!P37='Auswahldaten'!$A$12,'Alapanyagok'!B37,"")</f>
      </c>
      <c r="C35" t="s" s="462">
        <f>IF('Alapanyagok'!P37='Auswahldaten'!$A$12,'Alapanyagok'!I37,"")</f>
      </c>
      <c r="D35" t="s" s="462">
        <f>IF('Alapanyagok'!P37='Auswahldaten'!$A$12,'Alapanyagok'!H37,"")</f>
      </c>
      <c r="E35" s="578"/>
      <c r="F35" s="579"/>
      <c r="G35" t="s" s="461">
        <f>IF(OR(E35='Fordítások'!$C$129,E35='Fordítások'!$B$129),($C$7*C35*F35/100)/100,IF(OR(E35='Fordítások'!$C$130,E35='Fordítások'!$B$130),($C$7*(C35/('Alapanyagok'!E37/100)))/100,""))</f>
      </c>
      <c r="H35" s="255"/>
      <c r="I35" s="247"/>
      <c r="J35" s="247"/>
      <c r="K35" s="247"/>
      <c r="L35" s="247"/>
      <c r="M35" s="247"/>
      <c r="N35" s="247"/>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4"/>
    </row>
    <row r="36" ht="15.75" customHeight="1">
      <c r="A36" s="371">
        <v>27</v>
      </c>
      <c r="B36" t="s" s="577">
        <f>IF('Alapanyagok'!P38='Auswahldaten'!$A$12,'Alapanyagok'!B38,"")</f>
      </c>
      <c r="C36" t="s" s="462">
        <f>IF('Alapanyagok'!P38='Auswahldaten'!$A$12,'Alapanyagok'!I38,"")</f>
      </c>
      <c r="D36" t="s" s="462">
        <f>IF('Alapanyagok'!P38='Auswahldaten'!$A$12,'Alapanyagok'!H38,"")</f>
      </c>
      <c r="E36" s="578"/>
      <c r="F36" s="579"/>
      <c r="G36" t="s" s="461">
        <f>IF(OR(E36='Fordítások'!$C$129,E36='Fordítások'!$B$129),($C$7*C36*F36/100)/100,IF(OR(E36='Fordítások'!$C$130,E36='Fordítások'!$B$130),($C$7*(C36/('Alapanyagok'!E38/100)))/100,""))</f>
      </c>
      <c r="H36" s="255"/>
      <c r="I36" s="247"/>
      <c r="J36" s="247"/>
      <c r="K36" s="247"/>
      <c r="L36" s="247"/>
      <c r="M36" s="247"/>
      <c r="N36" s="247"/>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4"/>
    </row>
    <row r="37" ht="15.75" customHeight="1">
      <c r="A37" s="371">
        <v>28</v>
      </c>
      <c r="B37" t="s" s="577">
        <f>IF('Alapanyagok'!P39='Auswahldaten'!$A$12,'Alapanyagok'!B39,"")</f>
      </c>
      <c r="C37" t="s" s="462">
        <f>IF('Alapanyagok'!P39='Auswahldaten'!$A$12,'Alapanyagok'!I39,"")</f>
      </c>
      <c r="D37" t="s" s="462">
        <f>IF('Alapanyagok'!P39='Auswahldaten'!$A$12,'Alapanyagok'!H39,"")</f>
      </c>
      <c r="E37" s="578"/>
      <c r="F37" s="579"/>
      <c r="G37" t="s" s="461">
        <f>IF(OR(E37='Fordítások'!$C$129,E37='Fordítások'!$B$129),($C$7*C37*F37/100)/100,IF(OR(E37='Fordítások'!$C$130,E37='Fordítások'!$B$130),($C$7*(C37/('Alapanyagok'!E39/100)))/100,""))</f>
      </c>
      <c r="H37" s="255"/>
      <c r="I37" s="247"/>
      <c r="J37" s="247"/>
      <c r="K37" s="247"/>
      <c r="L37" s="247"/>
      <c r="M37" s="247"/>
      <c r="N37" s="247"/>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4"/>
    </row>
    <row r="38" ht="15.75" customHeight="1">
      <c r="A38" s="371">
        <v>29</v>
      </c>
      <c r="B38" t="s" s="577">
        <f>IF('Alapanyagok'!P40='Auswahldaten'!$A$12,'Alapanyagok'!B40,"")</f>
      </c>
      <c r="C38" t="s" s="462">
        <f>IF('Alapanyagok'!P40='Auswahldaten'!$A$12,'Alapanyagok'!I40,"")</f>
      </c>
      <c r="D38" t="s" s="462">
        <f>IF('Alapanyagok'!P40='Auswahldaten'!$A$12,'Alapanyagok'!H40,"")</f>
      </c>
      <c r="E38" s="578"/>
      <c r="F38" s="579"/>
      <c r="G38" t="s" s="461">
        <f>IF(OR(E38='Fordítások'!$C$129,E38='Fordítások'!$B$129),($C$7*C38*F38/100)/100,IF(OR(E38='Fordítások'!$C$130,E38='Fordítások'!$B$130),($C$7*(C38/('Alapanyagok'!E40/100)))/100,""))</f>
      </c>
      <c r="H38" s="255"/>
      <c r="I38" s="247"/>
      <c r="J38" s="247"/>
      <c r="K38" s="247"/>
      <c r="L38" s="247"/>
      <c r="M38" s="247"/>
      <c r="N38" s="247"/>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4"/>
    </row>
    <row r="39" ht="15.75" customHeight="1">
      <c r="A39" s="371">
        <v>30</v>
      </c>
      <c r="B39" t="s" s="577">
        <f>IF('Alapanyagok'!P41='Auswahldaten'!$A$12,'Alapanyagok'!B41,"")</f>
      </c>
      <c r="C39" t="s" s="462">
        <f>IF('Alapanyagok'!P41='Auswahldaten'!$A$12,'Alapanyagok'!I41,"")</f>
      </c>
      <c r="D39" t="s" s="462">
        <f>IF('Alapanyagok'!P41='Auswahldaten'!$A$12,'Alapanyagok'!H41,"")</f>
      </c>
      <c r="E39" s="578"/>
      <c r="F39" s="579"/>
      <c r="G39" t="s" s="461">
        <f>IF(OR(E39='Fordítások'!$C$129,E39='Fordítások'!$B$129),($C$7*C39*F39/100)/100,IF(OR(E39='Fordítások'!$C$130,E39='Fordítások'!$B$130),($C$7*(C39/('Alapanyagok'!E41/100)))/100,""))</f>
      </c>
      <c r="H39" s="255"/>
      <c r="I39" s="247"/>
      <c r="J39" s="247"/>
      <c r="K39" s="247"/>
      <c r="L39" s="247"/>
      <c r="M39" s="247"/>
      <c r="N39" s="247"/>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4"/>
    </row>
    <row r="40" ht="15.75" customHeight="1">
      <c r="A40" s="371">
        <v>31</v>
      </c>
      <c r="B40" t="s" s="577">
        <f>IF('Alapanyagok'!P42='Auswahldaten'!$A$12,'Alapanyagok'!B42,"")</f>
      </c>
      <c r="C40" t="s" s="462">
        <f>IF('Alapanyagok'!P42='Auswahldaten'!$A$12,'Alapanyagok'!I42,"")</f>
      </c>
      <c r="D40" t="s" s="462">
        <f>IF('Alapanyagok'!P42='Auswahldaten'!$A$12,'Alapanyagok'!H42,"")</f>
      </c>
      <c r="E40" s="578"/>
      <c r="F40" s="579"/>
      <c r="G40" t="s" s="461">
        <f>IF(OR(E40='Fordítások'!$C$129,E40='Fordítások'!$B$129),($C$7*C40*F40/100)/100,IF(OR(E40='Fordítások'!$C$130,E40='Fordítások'!$B$130),($C$7*(C40/('Alapanyagok'!E42/100)))/100,""))</f>
      </c>
      <c r="H40" s="255"/>
      <c r="I40" s="247"/>
      <c r="J40" s="247"/>
      <c r="K40" s="247"/>
      <c r="L40" s="247"/>
      <c r="M40" s="247"/>
      <c r="N40" s="247"/>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4"/>
    </row>
    <row r="41" ht="15.75" customHeight="1">
      <c r="A41" s="371">
        <v>32</v>
      </c>
      <c r="B41" t="s" s="577">
        <f>IF('Alapanyagok'!P43='Auswahldaten'!$A$12,'Alapanyagok'!B43,"")</f>
      </c>
      <c r="C41" t="s" s="462">
        <f>IF('Alapanyagok'!P43='Auswahldaten'!$A$12,'Alapanyagok'!I43,"")</f>
      </c>
      <c r="D41" t="s" s="462">
        <f>IF('Alapanyagok'!P43='Auswahldaten'!$A$12,'Alapanyagok'!H43,"")</f>
      </c>
      <c r="E41" s="578"/>
      <c r="F41" s="579"/>
      <c r="G41" t="s" s="461">
        <f>IF(OR(E41='Fordítások'!$C$129,E41='Fordítások'!$B$129),($C$7*C41*F41/100)/100,IF(OR(E41='Fordítások'!$C$130,E41='Fordítások'!$B$130),($C$7*(C41/('Alapanyagok'!E43/100)))/100,""))</f>
      </c>
      <c r="H41" s="255"/>
      <c r="I41" s="247"/>
      <c r="J41" s="247"/>
      <c r="K41" s="247"/>
      <c r="L41" s="247"/>
      <c r="M41" s="247"/>
      <c r="N41" s="247"/>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4"/>
    </row>
    <row r="42" ht="15.75" customHeight="1">
      <c r="A42" s="371">
        <v>33</v>
      </c>
      <c r="B42" t="s" s="577">
        <f>IF('Alapanyagok'!P44='Auswahldaten'!$A$12,'Alapanyagok'!B44,"")</f>
      </c>
      <c r="C42" t="s" s="462">
        <f>IF('Alapanyagok'!P44='Auswahldaten'!$A$12,'Alapanyagok'!I44,"")</f>
      </c>
      <c r="D42" t="s" s="462">
        <f>IF('Alapanyagok'!P44='Auswahldaten'!$A$12,'Alapanyagok'!H44,"")</f>
      </c>
      <c r="E42" s="578"/>
      <c r="F42" s="579"/>
      <c r="G42" t="s" s="461">
        <f>IF(OR(E42='Fordítások'!$C$129,E42='Fordítások'!$B$129),($C$7*C42*F42/100)/100,IF(OR(E42='Fordítások'!$C$130,E42='Fordítások'!$B$130),($C$7*(C42/('Alapanyagok'!E44/100)))/100,""))</f>
      </c>
      <c r="H42" s="255"/>
      <c r="I42" s="247"/>
      <c r="J42" s="247"/>
      <c r="K42" s="247"/>
      <c r="L42" s="247"/>
      <c r="M42" s="247"/>
      <c r="N42" s="247"/>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4"/>
    </row>
    <row r="43" ht="15.75" customHeight="1">
      <c r="A43" s="371">
        <v>34</v>
      </c>
      <c r="B43" t="s" s="577">
        <f>IF('Alapanyagok'!P45='Auswahldaten'!$A$12,'Alapanyagok'!B45,"")</f>
      </c>
      <c r="C43" t="s" s="462">
        <f>IF('Alapanyagok'!P45='Auswahldaten'!$A$12,'Alapanyagok'!I45,"")</f>
      </c>
      <c r="D43" t="s" s="462">
        <f>IF('Alapanyagok'!P45='Auswahldaten'!$A$12,'Alapanyagok'!H45,"")</f>
      </c>
      <c r="E43" s="578"/>
      <c r="F43" s="579"/>
      <c r="G43" t="s" s="461">
        <f>IF(OR(E43='Fordítások'!$C$129,E43='Fordítások'!$B$129),($C$7*C43*F43/100)/100,IF(OR(E43='Fordítások'!$C$130,E43='Fordítások'!$B$130),($C$7*(C43/('Alapanyagok'!E45/100)))/100,""))</f>
      </c>
      <c r="H43" s="255"/>
      <c r="I43" s="247"/>
      <c r="J43" s="247"/>
      <c r="K43" s="247"/>
      <c r="L43" s="247"/>
      <c r="M43" s="247"/>
      <c r="N43" s="247"/>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4"/>
    </row>
    <row r="44" ht="15.75" customHeight="1">
      <c r="A44" s="371">
        <v>35</v>
      </c>
      <c r="B44" s="574"/>
      <c r="C44" t="s" s="462">
        <f>IF('Alapanyagok'!P46='Auswahldaten'!$A$12,'Alapanyagok'!I46,"")</f>
      </c>
      <c r="D44" s="580"/>
      <c r="E44" s="578"/>
      <c r="F44" s="579"/>
      <c r="G44" t="s" s="461">
        <f>IF(OR(E44='Fordítások'!$C$129,E44='Fordítások'!$B$129),($C$7*C44*F44/100)/100,IF(OR(E44='Fordítások'!$C$130,E44='Fordítások'!$B$130),($C$7*(C44/('Alapanyagok'!E46/100)))/100,""))</f>
      </c>
      <c r="H44" s="255"/>
      <c r="I44" s="247"/>
      <c r="J44" s="247"/>
      <c r="K44" s="247"/>
      <c r="L44" s="247"/>
      <c r="M44" s="247"/>
      <c r="N44" s="247"/>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4"/>
    </row>
    <row r="45" ht="15.75" customHeight="1">
      <c r="A45" s="371">
        <v>36</v>
      </c>
      <c r="B45" t="s" s="577">
        <f>IF('Alapanyagok'!P47='Auswahldaten'!$A$12,'Alapanyagok'!B47,"")</f>
      </c>
      <c r="C45" t="s" s="462">
        <f>IF('Alapanyagok'!P47='Auswahldaten'!$A$12,'Alapanyagok'!I47,"")</f>
      </c>
      <c r="D45" t="s" s="462">
        <f>IF('Alapanyagok'!P47='Auswahldaten'!$A$12,'Alapanyagok'!H47,"")</f>
      </c>
      <c r="E45" s="578"/>
      <c r="F45" s="579"/>
      <c r="G45" t="s" s="461">
        <f>IF(OR(E45='Fordítások'!$C$129,E45='Fordítások'!$B$129),($C$7*C45*F45/100)/100,IF(OR(E45='Fordítások'!$C$130,E45='Fordítások'!$B$130),($C$7*(C45/('Alapanyagok'!E47/100)))/100,""))</f>
      </c>
      <c r="H45" s="255"/>
      <c r="I45" s="247"/>
      <c r="J45" s="247"/>
      <c r="K45" s="247"/>
      <c r="L45" s="247"/>
      <c r="M45" s="247"/>
      <c r="N45" s="247"/>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4"/>
    </row>
    <row r="46" ht="15.75" customHeight="1">
      <c r="A46" s="371">
        <v>37</v>
      </c>
      <c r="B46" t="s" s="577">
        <f>IF('Alapanyagok'!P48='Auswahldaten'!$A$12,'Alapanyagok'!B48,"")</f>
      </c>
      <c r="C46" t="s" s="462">
        <f>IF('Alapanyagok'!P48='Auswahldaten'!$A$12,'Alapanyagok'!I48,"")</f>
      </c>
      <c r="D46" t="s" s="462">
        <f>IF('Alapanyagok'!P48='Auswahldaten'!$A$12,'Alapanyagok'!H48,"")</f>
      </c>
      <c r="E46" s="578"/>
      <c r="F46" s="579"/>
      <c r="G46" t="s" s="461">
        <f>IF(OR(E46='Fordítások'!$C$129,E46='Fordítások'!$B$129),($C$7*C46*F46/100)/100,IF(OR(E46='Fordítások'!$C$130,E46='Fordítások'!$B$130),($C$7*(C46/('Alapanyagok'!E48/100)))/100,""))</f>
      </c>
      <c r="H46" s="255"/>
      <c r="I46" s="247"/>
      <c r="J46" s="247"/>
      <c r="K46" s="247"/>
      <c r="L46" s="247"/>
      <c r="M46" s="247"/>
      <c r="N46" s="247"/>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4"/>
    </row>
    <row r="47" ht="15.75" customHeight="1">
      <c r="A47" s="371">
        <v>38</v>
      </c>
      <c r="B47" t="s" s="577">
        <f>IF('Alapanyagok'!P49='Auswahldaten'!$A$12,'Alapanyagok'!B49,"")</f>
      </c>
      <c r="C47" t="s" s="462">
        <f>IF('Alapanyagok'!P49='Auswahldaten'!$A$12,'Alapanyagok'!I49,"")</f>
      </c>
      <c r="D47" t="s" s="462">
        <f>IF('Alapanyagok'!P49='Auswahldaten'!$A$12,'Alapanyagok'!H49,"")</f>
      </c>
      <c r="E47" s="578"/>
      <c r="F47" s="579"/>
      <c r="G47" t="s" s="461">
        <f>IF(OR(E47='Fordítások'!$C$129,E47='Fordítások'!$B$129),($C$7*C47*F47/100)/100,IF(OR(E47='Fordítások'!$C$130,E47='Fordítások'!$B$130),($C$7*(C47/('Alapanyagok'!E49/100)))/100,""))</f>
      </c>
      <c r="H47" s="255"/>
      <c r="I47" s="247"/>
      <c r="J47" s="247"/>
      <c r="K47" s="247"/>
      <c r="L47" s="247"/>
      <c r="M47" s="247"/>
      <c r="N47" s="247"/>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4"/>
    </row>
    <row r="48" ht="15.75" customHeight="1">
      <c r="A48" s="371">
        <v>39</v>
      </c>
      <c r="B48" t="s" s="577">
        <f>IF('Alapanyagok'!P50='Auswahldaten'!$A$12,'Alapanyagok'!B50,"")</f>
      </c>
      <c r="C48" t="s" s="462">
        <f>IF('Alapanyagok'!P50='Auswahldaten'!$A$12,'Alapanyagok'!I50,"")</f>
      </c>
      <c r="D48" t="s" s="462">
        <f>IF('Alapanyagok'!P50='Auswahldaten'!$A$12,'Alapanyagok'!H50,"")</f>
      </c>
      <c r="E48" s="578"/>
      <c r="F48" s="579"/>
      <c r="G48" t="s" s="461">
        <f>IF(OR(E48='Fordítások'!$C$129,E48='Fordítások'!$B$129),($C$7*C48*F48/100)/100,IF(OR(E48='Fordítások'!$C$130,E48='Fordítások'!$B$130),($C$7*(C48/('Alapanyagok'!E50/100)))/100,""))</f>
      </c>
      <c r="H48" s="255"/>
      <c r="I48" s="247"/>
      <c r="J48" s="247"/>
      <c r="K48" s="247"/>
      <c r="L48" s="247"/>
      <c r="M48" s="247"/>
      <c r="N48" s="247"/>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4"/>
    </row>
    <row r="49" ht="15.75" customHeight="1">
      <c r="A49" s="371">
        <v>40</v>
      </c>
      <c r="B49" t="s" s="577">
        <f>IF('Alapanyagok'!P51='Auswahldaten'!$A$12,'Alapanyagok'!B51,"")</f>
      </c>
      <c r="C49" t="s" s="462">
        <f>IF('Alapanyagok'!P51='Auswahldaten'!$A$12,'Alapanyagok'!I51,"")</f>
      </c>
      <c r="D49" t="s" s="462">
        <f>IF('Alapanyagok'!P51='Auswahldaten'!$A$12,'Alapanyagok'!H51,"")</f>
      </c>
      <c r="E49" s="578"/>
      <c r="F49" s="579"/>
      <c r="G49" t="s" s="461">
        <f>IF(OR(E49='Fordítások'!$C$129,E49='Fordítások'!$B$129),($C$7*C49*F49/100)/100,IF(OR(E49='Fordítások'!$C$130,E49='Fordítások'!$B$130),($C$7*(C49/('Alapanyagok'!E51/100)))/100,""))</f>
      </c>
      <c r="H49" s="255"/>
      <c r="I49" s="247"/>
      <c r="J49" s="247"/>
      <c r="K49" s="247"/>
      <c r="L49" s="247"/>
      <c r="M49" s="247"/>
      <c r="N49" s="247"/>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4"/>
    </row>
    <row r="50" ht="15.75" customHeight="1">
      <c r="A50" s="371">
        <v>41</v>
      </c>
      <c r="B50" t="s" s="577">
        <f>IF('Alapanyagok'!P52='Auswahldaten'!$A$12,'Alapanyagok'!B52,"")</f>
      </c>
      <c r="C50" t="s" s="462">
        <f>IF('Alapanyagok'!P52='Auswahldaten'!$A$12,'Alapanyagok'!I52,"")</f>
      </c>
      <c r="D50" t="s" s="462">
        <f>IF('Alapanyagok'!P52='Auswahldaten'!$A$12,'Alapanyagok'!H52,"")</f>
      </c>
      <c r="E50" s="578"/>
      <c r="F50" s="579"/>
      <c r="G50" t="s" s="461">
        <f>IF(OR(E50='Fordítások'!$C$129,E50='Fordítások'!$B$129),($C$7*C50*F50/100)/100,IF(OR(E50='Fordítások'!$C$130,E50='Fordítások'!$B$130),($C$7*(C50/('Alapanyagok'!E52/100)))/100,""))</f>
      </c>
      <c r="H50" s="255"/>
      <c r="I50" s="247"/>
      <c r="J50" s="247"/>
      <c r="K50" s="247"/>
      <c r="L50" s="247"/>
      <c r="M50" s="247"/>
      <c r="N50" s="247"/>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4"/>
    </row>
    <row r="51" ht="15.75" customHeight="1">
      <c r="A51" s="371">
        <v>42</v>
      </c>
      <c r="B51" t="s" s="577">
        <f>IF('Alapanyagok'!P53='Auswahldaten'!$A$12,'Alapanyagok'!B53,"")</f>
      </c>
      <c r="C51" t="s" s="462">
        <f>IF('Alapanyagok'!P53='Auswahldaten'!$A$12,'Alapanyagok'!I53,"")</f>
      </c>
      <c r="D51" t="s" s="462">
        <f>IF('Alapanyagok'!P53='Auswahldaten'!$A$12,'Alapanyagok'!H53,"")</f>
      </c>
      <c r="E51" s="578"/>
      <c r="F51" s="579"/>
      <c r="G51" t="s" s="461">
        <f>IF(OR(E51='Fordítások'!$C$129,E51='Fordítások'!$B$129),($C$7*C51*F51/100)/100,IF(OR(E51='Fordítások'!$C$130,E51='Fordítások'!$B$130),($C$7*(C51/('Alapanyagok'!E53/100)))/100,""))</f>
      </c>
      <c r="H51" s="255"/>
      <c r="I51" s="247"/>
      <c r="J51" s="247"/>
      <c r="K51" s="247"/>
      <c r="L51" s="247"/>
      <c r="M51" s="247"/>
      <c r="N51" s="247"/>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4"/>
    </row>
    <row r="52" ht="15.75" customHeight="1">
      <c r="A52" s="371">
        <v>43</v>
      </c>
      <c r="B52" t="s" s="577">
        <f>IF('Alapanyagok'!P54='Auswahldaten'!$A$12,'Alapanyagok'!B54,"")</f>
      </c>
      <c r="C52" t="s" s="462">
        <f>IF('Alapanyagok'!P54='Auswahldaten'!$A$12,'Alapanyagok'!I54,"")</f>
      </c>
      <c r="D52" t="s" s="462">
        <f>IF('Alapanyagok'!P54='Auswahldaten'!$A$12,'Alapanyagok'!H54,"")</f>
      </c>
      <c r="E52" s="578"/>
      <c r="F52" s="579"/>
      <c r="G52" t="s" s="461">
        <f>IF(OR(E52='Fordítások'!$C$129,E52='Fordítások'!$B$129),($C$7*C52*F52/100)/100,IF(OR(E52='Fordítások'!$C$130,E52='Fordítások'!$B$130),($C$7*(C52/('Alapanyagok'!E54/100)))/100,""))</f>
      </c>
      <c r="H52" s="255"/>
      <c r="I52" s="247"/>
      <c r="J52" s="247"/>
      <c r="K52" s="247"/>
      <c r="L52" s="247"/>
      <c r="M52" s="247"/>
      <c r="N52" s="247"/>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4"/>
    </row>
    <row r="53" ht="15.75" customHeight="1">
      <c r="A53" s="371">
        <v>44</v>
      </c>
      <c r="B53" t="s" s="577">
        <f>IF('Alapanyagok'!P55='Auswahldaten'!$A$12,'Alapanyagok'!B55,"")</f>
      </c>
      <c r="C53" t="s" s="462">
        <f>IF('Alapanyagok'!P55='Auswahldaten'!$A$12,'Alapanyagok'!I55,"")</f>
      </c>
      <c r="D53" t="s" s="462">
        <f>IF('Alapanyagok'!P55='Auswahldaten'!$A$12,'Alapanyagok'!H55,"")</f>
      </c>
      <c r="E53" s="578"/>
      <c r="F53" s="579"/>
      <c r="G53" t="s" s="461">
        <f>IF(OR(E53='Fordítások'!$C$129,E53='Fordítások'!$B$129),($C$7*C53*F53/100)/100,IF(OR(E53='Fordítások'!$C$130,E53='Fordítások'!$B$130),($C$7*(C53/('Alapanyagok'!E55/100)))/100,""))</f>
      </c>
      <c r="H53" s="255"/>
      <c r="I53" s="247"/>
      <c r="J53" s="247"/>
      <c r="K53" s="247"/>
      <c r="L53" s="247"/>
      <c r="M53" s="247"/>
      <c r="N53" s="247"/>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4"/>
    </row>
    <row r="54" ht="15.75" customHeight="1">
      <c r="A54" s="371">
        <v>45</v>
      </c>
      <c r="B54" t="s" s="577">
        <f>IF('Alapanyagok'!P56='Auswahldaten'!$A$12,'Alapanyagok'!B56,"")</f>
      </c>
      <c r="C54" t="s" s="462">
        <f>IF('Alapanyagok'!P56='Auswahldaten'!$A$12,'Alapanyagok'!I56,"")</f>
      </c>
      <c r="D54" t="s" s="462">
        <f>IF('Alapanyagok'!P56='Auswahldaten'!$A$12,'Alapanyagok'!H56,"")</f>
      </c>
      <c r="E54" s="578"/>
      <c r="F54" s="579"/>
      <c r="G54" t="s" s="461">
        <f>IF(OR(E54='Fordítások'!$C$129,E54='Fordítások'!$B$129),($C$7*C54*F54/100)/100,IF(OR(E54='Fordítások'!$C$130,E54='Fordítások'!$B$130),($C$7*(C54/('Alapanyagok'!E56/100)))/100,""))</f>
      </c>
      <c r="H54" s="255"/>
      <c r="I54" s="247"/>
      <c r="J54" s="247"/>
      <c r="K54" s="247"/>
      <c r="L54" s="247"/>
      <c r="M54" s="247"/>
      <c r="N54" s="247"/>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4"/>
    </row>
    <row r="55" ht="15.75" customHeight="1">
      <c r="A55" s="371">
        <v>46</v>
      </c>
      <c r="B55" t="s" s="577">
        <f>IF('Alapanyagok'!P57='Auswahldaten'!$A$12,'Alapanyagok'!B57,"")</f>
      </c>
      <c r="C55" t="s" s="462">
        <f>IF('Alapanyagok'!P57='Auswahldaten'!$A$12,'Alapanyagok'!I57,"")</f>
      </c>
      <c r="D55" t="s" s="462">
        <f>IF('Alapanyagok'!P57='Auswahldaten'!$A$12,'Alapanyagok'!H57,"")</f>
      </c>
      <c r="E55" s="578"/>
      <c r="F55" s="579"/>
      <c r="G55" t="s" s="461">
        <f>IF(OR(E55='Fordítások'!$C$129,E55='Fordítások'!$B$129),($C$7*C55*F55/100)/100,IF(OR(E55='Fordítások'!$C$130,E55='Fordítások'!$B$130),($C$7*(C55/('Alapanyagok'!E57/100)))/100,""))</f>
      </c>
      <c r="H55" s="255"/>
      <c r="I55" s="247"/>
      <c r="J55" s="247"/>
      <c r="K55" s="247"/>
      <c r="L55" s="247"/>
      <c r="M55" s="247"/>
      <c r="N55" s="247"/>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4"/>
    </row>
    <row r="56" ht="15.75" customHeight="1">
      <c r="A56" s="371">
        <v>47</v>
      </c>
      <c r="B56" t="s" s="577">
        <f>IF('Alapanyagok'!P58='Auswahldaten'!$A$12,'Alapanyagok'!B58,"")</f>
      </c>
      <c r="C56" t="s" s="462">
        <f>IF('Alapanyagok'!P58='Auswahldaten'!$A$12,'Alapanyagok'!I58,"")</f>
      </c>
      <c r="D56" t="s" s="462">
        <f>IF('Alapanyagok'!P58='Auswahldaten'!$A$12,'Alapanyagok'!H58,"")</f>
      </c>
      <c r="E56" s="578"/>
      <c r="F56" s="579"/>
      <c r="G56" t="s" s="461">
        <f>IF(OR(E56='Fordítások'!$C$129,E56='Fordítások'!$B$129),($C$7*C56*F56/100)/100,IF(OR(E56='Fordítások'!$C$130,E56='Fordítások'!$B$130),($C$7*(C56/('Alapanyagok'!E58/100)))/100,""))</f>
      </c>
      <c r="H56" s="255"/>
      <c r="I56" s="247"/>
      <c r="J56" s="247"/>
      <c r="K56" s="247"/>
      <c r="L56" s="247"/>
      <c r="M56" s="247"/>
      <c r="N56" s="247"/>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4"/>
    </row>
    <row r="57" ht="15.75" customHeight="1">
      <c r="A57" s="371">
        <v>48</v>
      </c>
      <c r="B57" t="s" s="577">
        <f>IF('Alapanyagok'!P59='Auswahldaten'!$A$12,'Alapanyagok'!B59,"")</f>
      </c>
      <c r="C57" t="s" s="462">
        <f>IF('Alapanyagok'!P59='Auswahldaten'!$A$12,'Alapanyagok'!I59,"")</f>
      </c>
      <c r="D57" t="s" s="462">
        <f>IF('Alapanyagok'!P59='Auswahldaten'!$A$12,'Alapanyagok'!H59,"")</f>
      </c>
      <c r="E57" s="578"/>
      <c r="F57" s="579"/>
      <c r="G57" t="s" s="461">
        <f>IF(OR(E57='Fordítások'!$C$129,E57='Fordítások'!$B$129),($C$7*C57*F57/100)/100,IF(OR(E57='Fordítások'!$C$130,E57='Fordítások'!$B$130),($C$7*(C57/('Alapanyagok'!E59/100)))/100,""))</f>
      </c>
      <c r="H57" s="255"/>
      <c r="I57" s="247"/>
      <c r="J57" s="247"/>
      <c r="K57" s="247"/>
      <c r="L57" s="247"/>
      <c r="M57" s="247"/>
      <c r="N57" s="247"/>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4"/>
    </row>
    <row r="58" ht="15.75" customHeight="1">
      <c r="A58" s="371">
        <v>49</v>
      </c>
      <c r="B58" t="s" s="577">
        <f>IF('Alapanyagok'!P60='Auswahldaten'!$A$12,'Alapanyagok'!B60,"")</f>
      </c>
      <c r="C58" t="s" s="462">
        <f>IF('Alapanyagok'!P60='Auswahldaten'!$A$12,'Alapanyagok'!I60,"")</f>
      </c>
      <c r="D58" t="s" s="462">
        <f>IF('Alapanyagok'!P60='Auswahldaten'!$A$12,'Alapanyagok'!H60,"")</f>
      </c>
      <c r="E58" s="578"/>
      <c r="F58" s="579"/>
      <c r="G58" t="s" s="461">
        <f>IF(OR(E58='Fordítások'!$C$129,E58='Fordítások'!$B$129),($C$7*C58*F58/100)/100,IF(OR(E58='Fordítások'!$C$130,E58='Fordítások'!$B$130),($C$7*(C58/('Alapanyagok'!E60/100)))/100,""))</f>
      </c>
      <c r="H58" s="255"/>
      <c r="I58" s="247"/>
      <c r="J58" s="247"/>
      <c r="K58" s="247"/>
      <c r="L58" s="247"/>
      <c r="M58" s="247"/>
      <c r="N58" s="247"/>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4"/>
    </row>
    <row r="59" ht="15.75" customHeight="1">
      <c r="A59" s="371">
        <v>50</v>
      </c>
      <c r="B59" t="s" s="577">
        <f>IF('Alapanyagok'!P61='Auswahldaten'!$A$12,'Alapanyagok'!B61,"")</f>
      </c>
      <c r="C59" t="s" s="462">
        <f>IF('Alapanyagok'!P61='Auswahldaten'!$A$12,'Alapanyagok'!I61,"")</f>
      </c>
      <c r="D59" t="s" s="462">
        <f>IF('Alapanyagok'!P61='Auswahldaten'!$A$12,'Alapanyagok'!H61,"")</f>
      </c>
      <c r="E59" s="578"/>
      <c r="F59" s="579"/>
      <c r="G59" t="s" s="461">
        <f>IF(OR(E59='Fordítások'!$C$129,E59='Fordítások'!$B$129),($C$7*C59*F59/100)/100,IF(OR(E59='Fordítások'!$C$130,E59='Fordítások'!$B$130),($C$7*(C59/('Alapanyagok'!E61/100)))/100,""))</f>
      </c>
      <c r="H59" s="255"/>
      <c r="I59" s="247"/>
      <c r="J59" s="247"/>
      <c r="K59" s="247"/>
      <c r="L59" s="247"/>
      <c r="M59" s="247"/>
      <c r="N59" s="247"/>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4"/>
    </row>
    <row r="60" ht="15.75" customHeight="1">
      <c r="A60" s="581"/>
      <c r="B60" t="s" s="537">
        <f>'Összetétel'!B62</f>
        <v>321</v>
      </c>
      <c r="C60" s="541">
        <f>SUM(C11:C59)</f>
        <v>0</v>
      </c>
      <c r="D60" s="582"/>
      <c r="E60" s="583"/>
      <c r="F60" s="583"/>
      <c r="G60" s="584"/>
      <c r="H60" s="262"/>
      <c r="I60" s="585"/>
      <c r="J60" s="585"/>
      <c r="K60" s="585"/>
      <c r="L60" s="585"/>
      <c r="M60" s="585"/>
      <c r="N60" s="585"/>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4"/>
    </row>
    <row r="61" ht="15.75" customHeight="1">
      <c r="A61" s="586"/>
      <c r="B61" t="s" s="587">
        <f>IF('Adatlap'!$L$1='Fordítások'!C3,'Fordítások'!C169,'Fordítások'!B169)</f>
        <v>347</v>
      </c>
      <c r="C61" s="584"/>
      <c r="D61" s="262"/>
      <c r="E61" s="262"/>
      <c r="F61" s="262"/>
      <c r="G61" s="588"/>
      <c r="H61" s="262"/>
      <c r="I61" s="585"/>
      <c r="J61" s="585"/>
      <c r="K61" s="585"/>
      <c r="L61" s="585"/>
      <c r="M61" s="585"/>
      <c r="N61" s="585"/>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4"/>
    </row>
    <row r="62" ht="15.75" customHeight="1">
      <c r="A62" s="586"/>
      <c r="B62" s="405"/>
      <c r="C62" s="589"/>
      <c r="D62" s="405"/>
      <c r="E62" s="405"/>
      <c r="F62" s="405"/>
      <c r="G62" s="589"/>
      <c r="H62" s="262"/>
      <c r="I62" s="585"/>
      <c r="J62" s="585"/>
      <c r="K62" s="585"/>
      <c r="L62" s="585"/>
      <c r="M62" s="585"/>
      <c r="N62" s="585"/>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4"/>
    </row>
    <row r="63" ht="46.5" customHeight="1">
      <c r="A63" s="590"/>
      <c r="B63" t="s" s="313">
        <f>'Összetétel'!B67:H67</f>
        <v>264</v>
      </c>
      <c r="C63" s="411"/>
      <c r="D63" s="411"/>
      <c r="E63" s="411"/>
      <c r="F63" s="411"/>
      <c r="G63" s="407"/>
      <c r="H63" s="255"/>
      <c r="I63" s="585"/>
      <c r="J63" s="585"/>
      <c r="K63" s="585"/>
      <c r="L63" s="585"/>
      <c r="M63" s="585"/>
      <c r="N63" s="585"/>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4"/>
    </row>
    <row r="64" ht="15.75" customHeight="1">
      <c r="A64" s="28"/>
      <c r="B64" s="256"/>
      <c r="C64" s="69"/>
      <c r="D64" s="256"/>
      <c r="E64" s="256"/>
      <c r="F64" s="256"/>
      <c r="G64" s="69"/>
      <c r="H64" s="262"/>
      <c r="I64" s="247"/>
      <c r="J64" s="247"/>
      <c r="K64" s="247"/>
      <c r="L64" s="247"/>
      <c r="M64" s="247"/>
      <c r="N64" s="247"/>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4"/>
    </row>
    <row r="65" ht="15.75" customHeight="1">
      <c r="A65" s="28"/>
      <c r="B65" s="262"/>
      <c r="C65" s="13"/>
      <c r="D65" s="262"/>
      <c r="E65" s="262"/>
      <c r="F65" s="262"/>
      <c r="G65" s="13"/>
      <c r="H65" s="262"/>
      <c r="I65" s="247"/>
      <c r="J65" s="247"/>
      <c r="K65" s="247"/>
      <c r="L65" s="247"/>
      <c r="M65" s="247"/>
      <c r="N65" s="247"/>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4"/>
    </row>
    <row r="66" ht="15.75" customHeight="1">
      <c r="A66" s="28"/>
      <c r="B66" s="262"/>
      <c r="C66" s="13"/>
      <c r="D66" s="262"/>
      <c r="E66" s="262"/>
      <c r="F66" s="262"/>
      <c r="G66" s="13"/>
      <c r="H66" s="262"/>
      <c r="I66" s="247"/>
      <c r="J66" s="247"/>
      <c r="K66" s="247"/>
      <c r="L66" s="247"/>
      <c r="M66" s="247"/>
      <c r="N66" s="247"/>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4"/>
    </row>
    <row r="67" ht="15.75" customHeight="1">
      <c r="A67" s="28"/>
      <c r="B67" s="262"/>
      <c r="C67" s="13"/>
      <c r="D67" s="262"/>
      <c r="E67" s="262"/>
      <c r="F67" s="262"/>
      <c r="G67" s="13"/>
      <c r="H67" s="262"/>
      <c r="I67" s="247"/>
      <c r="J67" s="247"/>
      <c r="K67" s="247"/>
      <c r="L67" s="247"/>
      <c r="M67" s="247"/>
      <c r="N67" s="247"/>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4"/>
    </row>
    <row r="68" ht="15.75" customHeight="1">
      <c r="A68" s="28"/>
      <c r="B68" s="262"/>
      <c r="C68" s="13"/>
      <c r="D68" s="262"/>
      <c r="E68" s="262"/>
      <c r="F68" s="262"/>
      <c r="G68" s="13"/>
      <c r="H68" s="262"/>
      <c r="I68" s="247"/>
      <c r="J68" s="247"/>
      <c r="K68" s="247"/>
      <c r="L68" s="247"/>
      <c r="M68" s="247"/>
      <c r="N68" s="247"/>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4"/>
    </row>
    <row r="69" ht="15.75" customHeight="1">
      <c r="A69" s="28"/>
      <c r="B69" s="262"/>
      <c r="C69" s="13"/>
      <c r="D69" s="262"/>
      <c r="E69" s="262"/>
      <c r="F69" s="262"/>
      <c r="G69" s="13"/>
      <c r="H69" s="262"/>
      <c r="I69" s="247"/>
      <c r="J69" s="247"/>
      <c r="K69" s="247"/>
      <c r="L69" s="247"/>
      <c r="M69" s="247"/>
      <c r="N69" s="247"/>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4"/>
    </row>
    <row r="70" ht="15.75" customHeight="1">
      <c r="A70" s="28"/>
      <c r="B70" s="262"/>
      <c r="C70" s="13"/>
      <c r="D70" s="262"/>
      <c r="E70" s="262"/>
      <c r="F70" s="262"/>
      <c r="G70" s="13"/>
      <c r="H70" s="262"/>
      <c r="I70" s="247"/>
      <c r="J70" s="247"/>
      <c r="K70" s="247"/>
      <c r="L70" s="247"/>
      <c r="M70" s="247"/>
      <c r="N70" s="247"/>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4"/>
    </row>
    <row r="71" ht="15.75" customHeight="1">
      <c r="A71" s="28"/>
      <c r="B71" s="262"/>
      <c r="C71" s="13"/>
      <c r="D71" s="262"/>
      <c r="E71" s="262"/>
      <c r="F71" s="262"/>
      <c r="G71" s="13"/>
      <c r="H71" s="262"/>
      <c r="I71" s="247"/>
      <c r="J71" s="247"/>
      <c r="K71" s="247"/>
      <c r="L71" s="247"/>
      <c r="M71" s="247"/>
      <c r="N71" s="247"/>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4"/>
    </row>
    <row r="72" ht="15.75" customHeight="1">
      <c r="A72" s="28"/>
      <c r="B72" s="262"/>
      <c r="C72" s="13"/>
      <c r="D72" s="262"/>
      <c r="E72" s="262"/>
      <c r="F72" s="262"/>
      <c r="G72" s="13"/>
      <c r="H72" s="262"/>
      <c r="I72" s="247"/>
      <c r="J72" s="247"/>
      <c r="K72" s="247"/>
      <c r="L72" s="247"/>
      <c r="M72" s="247"/>
      <c r="N72" s="247"/>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4"/>
    </row>
    <row r="73" ht="15.75" customHeight="1">
      <c r="A73" s="28"/>
      <c r="B73" s="262"/>
      <c r="C73" s="13"/>
      <c r="D73" s="262"/>
      <c r="E73" s="262"/>
      <c r="F73" s="262"/>
      <c r="G73" s="13"/>
      <c r="H73" s="262"/>
      <c r="I73" s="247"/>
      <c r="J73" s="247"/>
      <c r="K73" s="247"/>
      <c r="L73" s="247"/>
      <c r="M73" s="247"/>
      <c r="N73" s="247"/>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4"/>
    </row>
    <row r="74" ht="15.75" customHeight="1">
      <c r="A74" s="28"/>
      <c r="B74" s="262"/>
      <c r="C74" s="13"/>
      <c r="D74" s="262"/>
      <c r="E74" s="262"/>
      <c r="F74" s="262"/>
      <c r="G74" s="13"/>
      <c r="H74" s="262"/>
      <c r="I74" s="247"/>
      <c r="J74" s="247"/>
      <c r="K74" s="247"/>
      <c r="L74" s="247"/>
      <c r="M74" s="247"/>
      <c r="N74" s="247"/>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4"/>
    </row>
    <row r="75" ht="15.75" customHeight="1">
      <c r="A75" s="28"/>
      <c r="B75" s="262"/>
      <c r="C75" s="13"/>
      <c r="D75" s="262"/>
      <c r="E75" s="262"/>
      <c r="F75" s="262"/>
      <c r="G75" s="13"/>
      <c r="H75" s="262"/>
      <c r="I75" s="247"/>
      <c r="J75" s="247"/>
      <c r="K75" s="247"/>
      <c r="L75" s="247"/>
      <c r="M75" s="247"/>
      <c r="N75" s="247"/>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4"/>
    </row>
    <row r="76" ht="15.75" customHeight="1">
      <c r="A76" s="28"/>
      <c r="B76" s="262"/>
      <c r="C76" s="13"/>
      <c r="D76" s="262"/>
      <c r="E76" s="262"/>
      <c r="F76" s="262"/>
      <c r="G76" s="13"/>
      <c r="H76" s="262"/>
      <c r="I76" s="247"/>
      <c r="J76" s="247"/>
      <c r="K76" s="247"/>
      <c r="L76" s="247"/>
      <c r="M76" s="247"/>
      <c r="N76" s="247"/>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4"/>
    </row>
    <row r="77" ht="15.75" customHeight="1">
      <c r="A77" s="28"/>
      <c r="B77" s="262"/>
      <c r="C77" s="13"/>
      <c r="D77" s="262"/>
      <c r="E77" s="262"/>
      <c r="F77" s="262"/>
      <c r="G77" s="13"/>
      <c r="H77" s="262"/>
      <c r="I77" s="247"/>
      <c r="J77" s="247"/>
      <c r="K77" s="247"/>
      <c r="L77" s="247"/>
      <c r="M77" s="247"/>
      <c r="N77" s="247"/>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4"/>
    </row>
    <row r="78" ht="15.75" customHeight="1">
      <c r="A78" s="28"/>
      <c r="B78" s="262"/>
      <c r="C78" s="13"/>
      <c r="D78" s="262"/>
      <c r="E78" s="262"/>
      <c r="F78" s="262"/>
      <c r="G78" s="13"/>
      <c r="H78" s="262"/>
      <c r="I78" s="247"/>
      <c r="J78" s="247"/>
      <c r="K78" s="247"/>
      <c r="L78" s="247"/>
      <c r="M78" s="247"/>
      <c r="N78" s="247"/>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4"/>
    </row>
    <row r="79" ht="15.75" customHeight="1">
      <c r="A79" s="28"/>
      <c r="B79" s="262"/>
      <c r="C79" s="13"/>
      <c r="D79" s="262"/>
      <c r="E79" s="262"/>
      <c r="F79" s="262"/>
      <c r="G79" s="13"/>
      <c r="H79" s="262"/>
      <c r="I79" s="247"/>
      <c r="J79" s="247"/>
      <c r="K79" s="247"/>
      <c r="L79" s="247"/>
      <c r="M79" s="247"/>
      <c r="N79" s="247"/>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4"/>
    </row>
    <row r="80" ht="15.75" customHeight="1">
      <c r="A80" s="28"/>
      <c r="B80" s="262"/>
      <c r="C80" s="13"/>
      <c r="D80" s="262"/>
      <c r="E80" s="262"/>
      <c r="F80" s="262"/>
      <c r="G80" s="13"/>
      <c r="H80" s="262"/>
      <c r="I80" s="247"/>
      <c r="J80" s="247"/>
      <c r="K80" s="247"/>
      <c r="L80" s="247"/>
      <c r="M80" s="247"/>
      <c r="N80" s="247"/>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4"/>
    </row>
    <row r="81" ht="15.75" customHeight="1">
      <c r="A81" s="28"/>
      <c r="B81" s="262"/>
      <c r="C81" s="13"/>
      <c r="D81" s="262"/>
      <c r="E81" s="262"/>
      <c r="F81" s="262"/>
      <c r="G81" s="13"/>
      <c r="H81" s="262"/>
      <c r="I81" s="247"/>
      <c r="J81" s="247"/>
      <c r="K81" s="247"/>
      <c r="L81" s="247"/>
      <c r="M81" s="247"/>
      <c r="N81" s="247"/>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4"/>
    </row>
    <row r="82" ht="15.75" customHeight="1">
      <c r="A82" s="28"/>
      <c r="B82" s="262"/>
      <c r="C82" s="13"/>
      <c r="D82" s="262"/>
      <c r="E82" s="262"/>
      <c r="F82" s="262"/>
      <c r="G82" s="13"/>
      <c r="H82" s="262"/>
      <c r="I82" s="247"/>
      <c r="J82" s="247"/>
      <c r="K82" s="247"/>
      <c r="L82" s="247"/>
      <c r="M82" s="247"/>
      <c r="N82" s="247"/>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4"/>
    </row>
    <row r="83" ht="15.75" customHeight="1">
      <c r="A83" s="28"/>
      <c r="B83" s="262"/>
      <c r="C83" s="13"/>
      <c r="D83" s="262"/>
      <c r="E83" s="262"/>
      <c r="F83" s="262"/>
      <c r="G83" s="13"/>
      <c r="H83" s="262"/>
      <c r="I83" s="247"/>
      <c r="J83" s="247"/>
      <c r="K83" s="247"/>
      <c r="L83" s="247"/>
      <c r="M83" s="247"/>
      <c r="N83" s="247"/>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4"/>
    </row>
    <row r="84" ht="15.75" customHeight="1">
      <c r="A84" s="28"/>
      <c r="B84" s="262"/>
      <c r="C84" s="13"/>
      <c r="D84" s="262"/>
      <c r="E84" s="262"/>
      <c r="F84" s="262"/>
      <c r="G84" s="13"/>
      <c r="H84" s="262"/>
      <c r="I84" s="247"/>
      <c r="J84" s="247"/>
      <c r="K84" s="247"/>
      <c r="L84" s="247"/>
      <c r="M84" s="247"/>
      <c r="N84" s="247"/>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4"/>
    </row>
    <row r="85" ht="15.75" customHeight="1">
      <c r="A85" s="28"/>
      <c r="B85" s="262"/>
      <c r="C85" s="13"/>
      <c r="D85" s="262"/>
      <c r="E85" s="262"/>
      <c r="F85" s="262"/>
      <c r="G85" s="13"/>
      <c r="H85" s="262"/>
      <c r="I85" s="247"/>
      <c r="J85" s="247"/>
      <c r="K85" s="247"/>
      <c r="L85" s="247"/>
      <c r="M85" s="247"/>
      <c r="N85" s="247"/>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4"/>
    </row>
    <row r="86" ht="15.75" customHeight="1">
      <c r="A86" s="227"/>
      <c r="B86" s="317"/>
      <c r="C86" s="227"/>
      <c r="D86" s="317"/>
      <c r="E86" s="317"/>
      <c r="F86" s="317"/>
      <c r="G86" s="130"/>
      <c r="H86" s="262"/>
      <c r="I86" s="247"/>
      <c r="J86" s="247"/>
      <c r="K86" s="247"/>
      <c r="L86" s="247"/>
      <c r="M86" s="247"/>
      <c r="N86" s="247"/>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4"/>
    </row>
    <row r="87" ht="15.75" customHeight="1">
      <c r="A87" s="142"/>
      <c r="B87" s="237"/>
      <c r="C87" s="142"/>
      <c r="D87" s="237"/>
      <c r="E87" s="237"/>
      <c r="F87" s="237"/>
      <c r="G87" s="146"/>
      <c r="H87" s="262"/>
      <c r="I87" s="247"/>
      <c r="J87" s="247"/>
      <c r="K87" s="247"/>
      <c r="L87" s="247"/>
      <c r="M87" s="247"/>
      <c r="N87" s="247"/>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4"/>
    </row>
    <row r="88" ht="15.75" customHeight="1">
      <c r="A88" s="142"/>
      <c r="B88" s="237"/>
      <c r="C88" s="142"/>
      <c r="D88" s="237"/>
      <c r="E88" s="237"/>
      <c r="F88" s="237"/>
      <c r="G88" s="146"/>
      <c r="H88" s="262"/>
      <c r="I88" s="247"/>
      <c r="J88" s="247"/>
      <c r="K88" s="247"/>
      <c r="L88" s="247"/>
      <c r="M88" s="247"/>
      <c r="N88" s="247"/>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4"/>
    </row>
    <row r="89" ht="15.75" customHeight="1">
      <c r="A89" s="142"/>
      <c r="B89" s="237"/>
      <c r="C89" s="142"/>
      <c r="D89" s="237"/>
      <c r="E89" s="237"/>
      <c r="F89" s="237"/>
      <c r="G89" s="146"/>
      <c r="H89" s="262"/>
      <c r="I89" s="247"/>
      <c r="J89" s="247"/>
      <c r="K89" s="247"/>
      <c r="L89" s="247"/>
      <c r="M89" s="247"/>
      <c r="N89" s="247"/>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4"/>
    </row>
    <row r="90" ht="15.75" customHeight="1">
      <c r="A90" s="142"/>
      <c r="B90" s="237"/>
      <c r="C90" s="142"/>
      <c r="D90" s="237"/>
      <c r="E90" s="237"/>
      <c r="F90" s="237"/>
      <c r="G90" s="146"/>
      <c r="H90" s="262"/>
      <c r="I90" s="247"/>
      <c r="J90" s="247"/>
      <c r="K90" s="247"/>
      <c r="L90" s="247"/>
      <c r="M90" s="247"/>
      <c r="N90" s="247"/>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4"/>
    </row>
    <row r="91" ht="15.75" customHeight="1">
      <c r="A91" s="142"/>
      <c r="B91" s="237"/>
      <c r="C91" s="142"/>
      <c r="D91" s="237"/>
      <c r="E91" s="237"/>
      <c r="F91" s="237"/>
      <c r="G91" s="146"/>
      <c r="H91" s="262"/>
      <c r="I91" s="247"/>
      <c r="J91" s="247"/>
      <c r="K91" s="247"/>
      <c r="L91" s="247"/>
      <c r="M91" s="247"/>
      <c r="N91" s="247"/>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4"/>
    </row>
    <row r="92" ht="15.75" customHeight="1">
      <c r="A92" s="142"/>
      <c r="B92" s="237"/>
      <c r="C92" s="142"/>
      <c r="D92" s="237"/>
      <c r="E92" s="237"/>
      <c r="F92" s="237"/>
      <c r="G92" s="146"/>
      <c r="H92" s="262"/>
      <c r="I92" s="247"/>
      <c r="J92" s="247"/>
      <c r="K92" s="247"/>
      <c r="L92" s="247"/>
      <c r="M92" s="247"/>
      <c r="N92" s="247"/>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4"/>
    </row>
    <row r="93" ht="15.75" customHeight="1">
      <c r="A93" s="142"/>
      <c r="B93" s="237"/>
      <c r="C93" s="142"/>
      <c r="D93" s="237"/>
      <c r="E93" s="237"/>
      <c r="F93" s="237"/>
      <c r="G93" s="146"/>
      <c r="H93" s="262"/>
      <c r="I93" s="247"/>
      <c r="J93" s="247"/>
      <c r="K93" s="247"/>
      <c r="L93" s="247"/>
      <c r="M93" s="247"/>
      <c r="N93" s="247"/>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4"/>
    </row>
    <row r="94" ht="15.75" customHeight="1">
      <c r="A94" s="142"/>
      <c r="B94" s="237"/>
      <c r="C94" s="142"/>
      <c r="D94" s="237"/>
      <c r="E94" s="237"/>
      <c r="F94" s="237"/>
      <c r="G94" s="146"/>
      <c r="H94" s="262"/>
      <c r="I94" s="247"/>
      <c r="J94" s="247"/>
      <c r="K94" s="247"/>
      <c r="L94" s="247"/>
      <c r="M94" s="247"/>
      <c r="N94" s="247"/>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4"/>
    </row>
    <row r="95" ht="15.75" customHeight="1">
      <c r="A95" s="142"/>
      <c r="B95" s="237"/>
      <c r="C95" s="142"/>
      <c r="D95" s="237"/>
      <c r="E95" s="237"/>
      <c r="F95" s="237"/>
      <c r="G95" s="146"/>
      <c r="H95" s="262"/>
      <c r="I95" s="247"/>
      <c r="J95" s="247"/>
      <c r="K95" s="247"/>
      <c r="L95" s="247"/>
      <c r="M95" s="247"/>
      <c r="N95" s="247"/>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4"/>
    </row>
    <row r="96" ht="15.75" customHeight="1">
      <c r="A96" s="142"/>
      <c r="B96" s="237"/>
      <c r="C96" s="142"/>
      <c r="D96" s="237"/>
      <c r="E96" s="237"/>
      <c r="F96" s="237"/>
      <c r="G96" s="146"/>
      <c r="H96" s="262"/>
      <c r="I96" s="247"/>
      <c r="J96" s="247"/>
      <c r="K96" s="247"/>
      <c r="L96" s="247"/>
      <c r="M96" s="247"/>
      <c r="N96" s="247"/>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4"/>
    </row>
    <row r="97" ht="15.75" customHeight="1">
      <c r="A97" s="142"/>
      <c r="B97" s="237"/>
      <c r="C97" s="142"/>
      <c r="D97" s="237"/>
      <c r="E97" s="237"/>
      <c r="F97" s="237"/>
      <c r="G97" s="146"/>
      <c r="H97" s="262"/>
      <c r="I97" s="247"/>
      <c r="J97" s="247"/>
      <c r="K97" s="247"/>
      <c r="L97" s="247"/>
      <c r="M97" s="247"/>
      <c r="N97" s="247"/>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4"/>
    </row>
    <row r="98" ht="15.75" customHeight="1">
      <c r="A98" s="142"/>
      <c r="B98" s="237"/>
      <c r="C98" s="142"/>
      <c r="D98" s="237"/>
      <c r="E98" s="237"/>
      <c r="F98" s="237"/>
      <c r="G98" s="146"/>
      <c r="H98" s="262"/>
      <c r="I98" s="247"/>
      <c r="J98" s="247"/>
      <c r="K98" s="247"/>
      <c r="L98" s="247"/>
      <c r="M98" s="247"/>
      <c r="N98" s="247"/>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4"/>
    </row>
    <row r="99" ht="15.75" customHeight="1">
      <c r="A99" s="142"/>
      <c r="B99" s="237"/>
      <c r="C99" s="142"/>
      <c r="D99" s="237"/>
      <c r="E99" s="237"/>
      <c r="F99" s="237"/>
      <c r="G99" s="146"/>
      <c r="H99" s="262"/>
      <c r="I99" s="247"/>
      <c r="J99" s="247"/>
      <c r="K99" s="247"/>
      <c r="L99" s="247"/>
      <c r="M99" s="247"/>
      <c r="N99" s="247"/>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4"/>
    </row>
    <row r="100" ht="15.75" customHeight="1">
      <c r="A100" s="142"/>
      <c r="B100" s="237"/>
      <c r="C100" s="142"/>
      <c r="D100" s="237"/>
      <c r="E100" s="237"/>
      <c r="F100" s="237"/>
      <c r="G100" s="146"/>
      <c r="H100" s="262"/>
      <c r="I100" s="247"/>
      <c r="J100" s="247"/>
      <c r="K100" s="247"/>
      <c r="L100" s="247"/>
      <c r="M100" s="247"/>
      <c r="N100" s="247"/>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4"/>
    </row>
    <row r="101" ht="15.75" customHeight="1">
      <c r="A101" s="142"/>
      <c r="B101" s="237"/>
      <c r="C101" s="142"/>
      <c r="D101" s="237"/>
      <c r="E101" s="237"/>
      <c r="F101" s="237"/>
      <c r="G101" s="146"/>
      <c r="H101" s="262"/>
      <c r="I101" s="247"/>
      <c r="J101" s="247"/>
      <c r="K101" s="247"/>
      <c r="L101" s="247"/>
      <c r="M101" s="247"/>
      <c r="N101" s="247"/>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4"/>
    </row>
    <row r="102" ht="15.75" customHeight="1">
      <c r="A102" s="142"/>
      <c r="B102" s="237"/>
      <c r="C102" s="142"/>
      <c r="D102" s="237"/>
      <c r="E102" s="237"/>
      <c r="F102" s="237"/>
      <c r="G102" s="146"/>
      <c r="H102" s="262"/>
      <c r="I102" s="247"/>
      <c r="J102" s="247"/>
      <c r="K102" s="247"/>
      <c r="L102" s="247"/>
      <c r="M102" s="247"/>
      <c r="N102" s="247"/>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4"/>
    </row>
    <row r="103" ht="15.75" customHeight="1">
      <c r="A103" s="142"/>
      <c r="B103" s="237"/>
      <c r="C103" s="142"/>
      <c r="D103" s="237"/>
      <c r="E103" s="237"/>
      <c r="F103" s="237"/>
      <c r="G103" s="146"/>
      <c r="H103" s="262"/>
      <c r="I103" s="247"/>
      <c r="J103" s="247"/>
      <c r="K103" s="247"/>
      <c r="L103" s="247"/>
      <c r="M103" s="247"/>
      <c r="N103" s="247"/>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4"/>
    </row>
    <row r="104" ht="15.75" customHeight="1">
      <c r="A104" s="142"/>
      <c r="B104" s="237"/>
      <c r="C104" s="142"/>
      <c r="D104" s="237"/>
      <c r="E104" s="237"/>
      <c r="F104" s="237"/>
      <c r="G104" s="146"/>
      <c r="H104" s="262"/>
      <c r="I104" s="247"/>
      <c r="J104" s="247"/>
      <c r="K104" s="247"/>
      <c r="L104" s="247"/>
      <c r="M104" s="247"/>
      <c r="N104" s="247"/>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4"/>
    </row>
    <row r="105" ht="15.75" customHeight="1">
      <c r="A105" s="142"/>
      <c r="B105" s="237"/>
      <c r="C105" s="142"/>
      <c r="D105" s="237"/>
      <c r="E105" s="237"/>
      <c r="F105" s="237"/>
      <c r="G105" s="146"/>
      <c r="H105" s="262"/>
      <c r="I105" s="247"/>
      <c r="J105" s="247"/>
      <c r="K105" s="247"/>
      <c r="L105" s="247"/>
      <c r="M105" s="247"/>
      <c r="N105" s="247"/>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4"/>
    </row>
    <row r="106" ht="15.75" customHeight="1">
      <c r="A106" s="142"/>
      <c r="B106" s="237"/>
      <c r="C106" s="142"/>
      <c r="D106" s="237"/>
      <c r="E106" s="237"/>
      <c r="F106" s="237"/>
      <c r="G106" s="146"/>
      <c r="H106" s="262"/>
      <c r="I106" s="247"/>
      <c r="J106" s="247"/>
      <c r="K106" s="247"/>
      <c r="L106" s="247"/>
      <c r="M106" s="247"/>
      <c r="N106" s="247"/>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4"/>
    </row>
    <row r="107" ht="15.75" customHeight="1">
      <c r="A107" s="142"/>
      <c r="B107" s="237"/>
      <c r="C107" s="142"/>
      <c r="D107" s="237"/>
      <c r="E107" s="237"/>
      <c r="F107" s="237"/>
      <c r="G107" s="146"/>
      <c r="H107" s="262"/>
      <c r="I107" s="247"/>
      <c r="J107" s="247"/>
      <c r="K107" s="247"/>
      <c r="L107" s="247"/>
      <c r="M107" s="247"/>
      <c r="N107" s="247"/>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4"/>
    </row>
    <row r="108" ht="15.75" customHeight="1">
      <c r="A108" s="142"/>
      <c r="B108" s="237"/>
      <c r="C108" s="142"/>
      <c r="D108" s="237"/>
      <c r="E108" s="237"/>
      <c r="F108" s="237"/>
      <c r="G108" s="146"/>
      <c r="H108" s="262"/>
      <c r="I108" s="247"/>
      <c r="J108" s="247"/>
      <c r="K108" s="247"/>
      <c r="L108" s="247"/>
      <c r="M108" s="247"/>
      <c r="N108" s="247"/>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4"/>
    </row>
    <row r="109" ht="15.75" customHeight="1">
      <c r="A109" s="142"/>
      <c r="B109" s="237"/>
      <c r="C109" s="142"/>
      <c r="D109" s="237"/>
      <c r="E109" s="237"/>
      <c r="F109" s="237"/>
      <c r="G109" s="146"/>
      <c r="H109" s="262"/>
      <c r="I109" s="247"/>
      <c r="J109" s="247"/>
      <c r="K109" s="247"/>
      <c r="L109" s="247"/>
      <c r="M109" s="247"/>
      <c r="N109" s="247"/>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4"/>
    </row>
    <row r="110" ht="15.75" customHeight="1">
      <c r="A110" s="142"/>
      <c r="B110" s="237"/>
      <c r="C110" s="142"/>
      <c r="D110" s="237"/>
      <c r="E110" s="237"/>
      <c r="F110" s="237"/>
      <c r="G110" s="146"/>
      <c r="H110" s="262"/>
      <c r="I110" s="247"/>
      <c r="J110" s="247"/>
      <c r="K110" s="247"/>
      <c r="L110" s="247"/>
      <c r="M110" s="247"/>
      <c r="N110" s="247"/>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4"/>
    </row>
    <row r="111" ht="15.75" customHeight="1">
      <c r="A111" s="142"/>
      <c r="B111" s="237"/>
      <c r="C111" s="142"/>
      <c r="D111" s="237"/>
      <c r="E111" s="237"/>
      <c r="F111" s="237"/>
      <c r="G111" s="146"/>
      <c r="H111" s="262"/>
      <c r="I111" s="247"/>
      <c r="J111" s="247"/>
      <c r="K111" s="247"/>
      <c r="L111" s="247"/>
      <c r="M111" s="247"/>
      <c r="N111" s="247"/>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4"/>
    </row>
    <row r="112" ht="15.75" customHeight="1">
      <c r="A112" s="142"/>
      <c r="B112" s="237"/>
      <c r="C112" s="142"/>
      <c r="D112" s="237"/>
      <c r="E112" s="237"/>
      <c r="F112" s="237"/>
      <c r="G112" s="146"/>
      <c r="H112" s="262"/>
      <c r="I112" s="247"/>
      <c r="J112" s="247"/>
      <c r="K112" s="247"/>
      <c r="L112" s="247"/>
      <c r="M112" s="247"/>
      <c r="N112" s="247"/>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4"/>
    </row>
    <row r="113" ht="15.75" customHeight="1">
      <c r="A113" s="142"/>
      <c r="B113" s="237"/>
      <c r="C113" s="142"/>
      <c r="D113" s="237"/>
      <c r="E113" s="237"/>
      <c r="F113" s="237"/>
      <c r="G113" s="146"/>
      <c r="H113" s="262"/>
      <c r="I113" s="247"/>
      <c r="J113" s="247"/>
      <c r="K113" s="247"/>
      <c r="L113" s="247"/>
      <c r="M113" s="247"/>
      <c r="N113" s="247"/>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4"/>
    </row>
    <row r="114" ht="15.75" customHeight="1">
      <c r="A114" s="142"/>
      <c r="B114" s="237"/>
      <c r="C114" s="142"/>
      <c r="D114" s="237"/>
      <c r="E114" s="237"/>
      <c r="F114" s="237"/>
      <c r="G114" s="146"/>
      <c r="H114" s="262"/>
      <c r="I114" s="247"/>
      <c r="J114" s="247"/>
      <c r="K114" s="247"/>
      <c r="L114" s="247"/>
      <c r="M114" s="247"/>
      <c r="N114" s="247"/>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4"/>
    </row>
    <row r="115" ht="15.75" customHeight="1">
      <c r="A115" s="142"/>
      <c r="B115" s="237"/>
      <c r="C115" s="142"/>
      <c r="D115" s="237"/>
      <c r="E115" s="237"/>
      <c r="F115" s="237"/>
      <c r="G115" s="146"/>
      <c r="H115" s="262"/>
      <c r="I115" s="247"/>
      <c r="J115" s="247"/>
      <c r="K115" s="247"/>
      <c r="L115" s="247"/>
      <c r="M115" s="247"/>
      <c r="N115" s="247"/>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4"/>
    </row>
    <row r="116" ht="15.75" customHeight="1">
      <c r="A116" s="142"/>
      <c r="B116" s="237"/>
      <c r="C116" s="142"/>
      <c r="D116" s="237"/>
      <c r="E116" s="237"/>
      <c r="F116" s="237"/>
      <c r="G116" s="146"/>
      <c r="H116" s="262"/>
      <c r="I116" s="247"/>
      <c r="J116" s="247"/>
      <c r="K116" s="247"/>
      <c r="L116" s="247"/>
      <c r="M116" s="247"/>
      <c r="N116" s="247"/>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4"/>
    </row>
    <row r="117" ht="15.75" customHeight="1">
      <c r="A117" s="142"/>
      <c r="B117" s="237"/>
      <c r="C117" s="142"/>
      <c r="D117" s="237"/>
      <c r="E117" s="237"/>
      <c r="F117" s="237"/>
      <c r="G117" s="146"/>
      <c r="H117" s="262"/>
      <c r="I117" s="247"/>
      <c r="J117" s="247"/>
      <c r="K117" s="247"/>
      <c r="L117" s="247"/>
      <c r="M117" s="247"/>
      <c r="N117" s="247"/>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4"/>
    </row>
    <row r="118" ht="15.75" customHeight="1">
      <c r="A118" s="142"/>
      <c r="B118" s="237"/>
      <c r="C118" s="142"/>
      <c r="D118" s="237"/>
      <c r="E118" s="237"/>
      <c r="F118" s="237"/>
      <c r="G118" s="146"/>
      <c r="H118" s="262"/>
      <c r="I118" s="247"/>
      <c r="J118" s="247"/>
      <c r="K118" s="247"/>
      <c r="L118" s="247"/>
      <c r="M118" s="247"/>
      <c r="N118" s="247"/>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4"/>
    </row>
    <row r="119" ht="15.75" customHeight="1">
      <c r="A119" s="142"/>
      <c r="B119" s="237"/>
      <c r="C119" s="142"/>
      <c r="D119" s="237"/>
      <c r="E119" s="237"/>
      <c r="F119" s="237"/>
      <c r="G119" s="146"/>
      <c r="H119" s="262"/>
      <c r="I119" s="247"/>
      <c r="J119" s="247"/>
      <c r="K119" s="247"/>
      <c r="L119" s="247"/>
      <c r="M119" s="247"/>
      <c r="N119" s="247"/>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4"/>
    </row>
    <row r="120" ht="15.75" customHeight="1">
      <c r="A120" s="142"/>
      <c r="B120" s="237"/>
      <c r="C120" s="142"/>
      <c r="D120" s="237"/>
      <c r="E120" s="237"/>
      <c r="F120" s="237"/>
      <c r="G120" s="146"/>
      <c r="H120" s="262"/>
      <c r="I120" s="247"/>
      <c r="J120" s="247"/>
      <c r="K120" s="247"/>
      <c r="L120" s="247"/>
      <c r="M120" s="247"/>
      <c r="N120" s="247"/>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4"/>
    </row>
    <row r="121" ht="15.75" customHeight="1">
      <c r="A121" s="142"/>
      <c r="B121" s="237"/>
      <c r="C121" s="142"/>
      <c r="D121" s="237"/>
      <c r="E121" s="237"/>
      <c r="F121" s="237"/>
      <c r="G121" s="146"/>
      <c r="H121" s="262"/>
      <c r="I121" s="247"/>
      <c r="J121" s="247"/>
      <c r="K121" s="247"/>
      <c r="L121" s="247"/>
      <c r="M121" s="247"/>
      <c r="N121" s="247"/>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4"/>
    </row>
    <row r="122" ht="15.75" customHeight="1">
      <c r="A122" s="142"/>
      <c r="B122" s="237"/>
      <c r="C122" s="142"/>
      <c r="D122" s="237"/>
      <c r="E122" s="237"/>
      <c r="F122" s="237"/>
      <c r="G122" s="146"/>
      <c r="H122" s="262"/>
      <c r="I122" s="247"/>
      <c r="J122" s="247"/>
      <c r="K122" s="247"/>
      <c r="L122" s="247"/>
      <c r="M122" s="247"/>
      <c r="N122" s="247"/>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4"/>
    </row>
    <row r="123" ht="15.75" customHeight="1">
      <c r="A123" s="142"/>
      <c r="B123" s="237"/>
      <c r="C123" s="142"/>
      <c r="D123" s="237"/>
      <c r="E123" s="237"/>
      <c r="F123" s="237"/>
      <c r="G123" s="146"/>
      <c r="H123" s="262"/>
      <c r="I123" s="247"/>
      <c r="J123" s="247"/>
      <c r="K123" s="247"/>
      <c r="L123" s="247"/>
      <c r="M123" s="247"/>
      <c r="N123" s="247"/>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4"/>
    </row>
    <row r="124" ht="15.75" customHeight="1">
      <c r="A124" s="142"/>
      <c r="B124" s="237"/>
      <c r="C124" s="142"/>
      <c r="D124" s="237"/>
      <c r="E124" s="237"/>
      <c r="F124" s="237"/>
      <c r="G124" s="146"/>
      <c r="H124" s="262"/>
      <c r="I124" s="247"/>
      <c r="J124" s="247"/>
      <c r="K124" s="247"/>
      <c r="L124" s="247"/>
      <c r="M124" s="247"/>
      <c r="N124" s="247"/>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4"/>
    </row>
    <row r="125" ht="15.75" customHeight="1">
      <c r="A125" s="142"/>
      <c r="B125" s="237"/>
      <c r="C125" s="142"/>
      <c r="D125" s="237"/>
      <c r="E125" s="237"/>
      <c r="F125" s="237"/>
      <c r="G125" s="146"/>
      <c r="H125" s="262"/>
      <c r="I125" s="247"/>
      <c r="J125" s="247"/>
      <c r="K125" s="247"/>
      <c r="L125" s="247"/>
      <c r="M125" s="247"/>
      <c r="N125" s="247"/>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4"/>
    </row>
    <row r="126" ht="15.75" customHeight="1">
      <c r="A126" s="142"/>
      <c r="B126" s="237"/>
      <c r="C126" s="142"/>
      <c r="D126" s="237"/>
      <c r="E126" s="237"/>
      <c r="F126" s="237"/>
      <c r="G126" s="146"/>
      <c r="H126" s="262"/>
      <c r="I126" s="247"/>
      <c r="J126" s="247"/>
      <c r="K126" s="247"/>
      <c r="L126" s="247"/>
      <c r="M126" s="247"/>
      <c r="N126" s="247"/>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4"/>
    </row>
    <row r="127" ht="15.75" customHeight="1">
      <c r="A127" s="142"/>
      <c r="B127" s="237"/>
      <c r="C127" s="142"/>
      <c r="D127" s="237"/>
      <c r="E127" s="237"/>
      <c r="F127" s="237"/>
      <c r="G127" s="146"/>
      <c r="H127" s="262"/>
      <c r="I127" s="247"/>
      <c r="J127" s="247"/>
      <c r="K127" s="247"/>
      <c r="L127" s="247"/>
      <c r="M127" s="247"/>
      <c r="N127" s="247"/>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4"/>
    </row>
    <row r="128" ht="15.75" customHeight="1">
      <c r="A128" s="142"/>
      <c r="B128" s="237"/>
      <c r="C128" s="142"/>
      <c r="D128" s="237"/>
      <c r="E128" s="237"/>
      <c r="F128" s="237"/>
      <c r="G128" s="146"/>
      <c r="H128" s="262"/>
      <c r="I128" s="247"/>
      <c r="J128" s="247"/>
      <c r="K128" s="247"/>
      <c r="L128" s="247"/>
      <c r="M128" s="247"/>
      <c r="N128" s="247"/>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4"/>
    </row>
    <row r="129" ht="15.75" customHeight="1">
      <c r="A129" s="142"/>
      <c r="B129" s="237"/>
      <c r="C129" s="142"/>
      <c r="D129" s="237"/>
      <c r="E129" s="237"/>
      <c r="F129" s="237"/>
      <c r="G129" s="146"/>
      <c r="H129" s="262"/>
      <c r="I129" s="247"/>
      <c r="J129" s="247"/>
      <c r="K129" s="247"/>
      <c r="L129" s="247"/>
      <c r="M129" s="247"/>
      <c r="N129" s="247"/>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4"/>
    </row>
    <row r="130" ht="15.75" customHeight="1">
      <c r="A130" s="142"/>
      <c r="B130" s="237"/>
      <c r="C130" s="142"/>
      <c r="D130" s="237"/>
      <c r="E130" s="237"/>
      <c r="F130" s="237"/>
      <c r="G130" s="146"/>
      <c r="H130" s="262"/>
      <c r="I130" s="247"/>
      <c r="J130" s="247"/>
      <c r="K130" s="247"/>
      <c r="L130" s="247"/>
      <c r="M130" s="247"/>
      <c r="N130" s="247"/>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4"/>
    </row>
    <row r="131" ht="15.75" customHeight="1">
      <c r="A131" s="142"/>
      <c r="B131" s="237"/>
      <c r="C131" s="142"/>
      <c r="D131" s="237"/>
      <c r="E131" s="237"/>
      <c r="F131" s="237"/>
      <c r="G131" s="146"/>
      <c r="H131" s="262"/>
      <c r="I131" s="247"/>
      <c r="J131" s="247"/>
      <c r="K131" s="247"/>
      <c r="L131" s="247"/>
      <c r="M131" s="247"/>
      <c r="N131" s="247"/>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4"/>
    </row>
    <row r="132" ht="15.75" customHeight="1">
      <c r="A132" s="142"/>
      <c r="B132" s="237"/>
      <c r="C132" s="142"/>
      <c r="D132" s="237"/>
      <c r="E132" s="237"/>
      <c r="F132" s="237"/>
      <c r="G132" s="146"/>
      <c r="H132" s="262"/>
      <c r="I132" s="247"/>
      <c r="J132" s="247"/>
      <c r="K132" s="247"/>
      <c r="L132" s="247"/>
      <c r="M132" s="247"/>
      <c r="N132" s="247"/>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4"/>
    </row>
    <row r="133" ht="15.75" customHeight="1">
      <c r="A133" s="142"/>
      <c r="B133" s="237"/>
      <c r="C133" s="142"/>
      <c r="D133" s="237"/>
      <c r="E133" s="237"/>
      <c r="F133" s="237"/>
      <c r="G133" s="146"/>
      <c r="H133" s="262"/>
      <c r="I133" s="247"/>
      <c r="J133" s="247"/>
      <c r="K133" s="247"/>
      <c r="L133" s="247"/>
      <c r="M133" s="247"/>
      <c r="N133" s="247"/>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4"/>
    </row>
    <row r="134" ht="15.75" customHeight="1">
      <c r="A134" s="142"/>
      <c r="B134" s="237"/>
      <c r="C134" s="142"/>
      <c r="D134" s="237"/>
      <c r="E134" s="237"/>
      <c r="F134" s="237"/>
      <c r="G134" s="146"/>
      <c r="H134" s="262"/>
      <c r="I134" s="247"/>
      <c r="J134" s="247"/>
      <c r="K134" s="247"/>
      <c r="L134" s="247"/>
      <c r="M134" s="247"/>
      <c r="N134" s="247"/>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4"/>
    </row>
    <row r="135" ht="15.75" customHeight="1">
      <c r="A135" s="142"/>
      <c r="B135" s="237"/>
      <c r="C135" s="142"/>
      <c r="D135" s="237"/>
      <c r="E135" s="237"/>
      <c r="F135" s="237"/>
      <c r="G135" s="146"/>
      <c r="H135" s="262"/>
      <c r="I135" s="247"/>
      <c r="J135" s="247"/>
      <c r="K135" s="247"/>
      <c r="L135" s="247"/>
      <c r="M135" s="247"/>
      <c r="N135" s="247"/>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4"/>
    </row>
    <row r="136" ht="15.75" customHeight="1">
      <c r="A136" s="142"/>
      <c r="B136" s="237"/>
      <c r="C136" s="142"/>
      <c r="D136" s="237"/>
      <c r="E136" s="237"/>
      <c r="F136" s="237"/>
      <c r="G136" s="146"/>
      <c r="H136" s="262"/>
      <c r="I136" s="247"/>
      <c r="J136" s="247"/>
      <c r="K136" s="247"/>
      <c r="L136" s="247"/>
      <c r="M136" s="247"/>
      <c r="N136" s="247"/>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4"/>
    </row>
    <row r="137" ht="15.75" customHeight="1">
      <c r="A137" s="142"/>
      <c r="B137" s="237"/>
      <c r="C137" s="142"/>
      <c r="D137" s="237"/>
      <c r="E137" s="237"/>
      <c r="F137" s="237"/>
      <c r="G137" s="146"/>
      <c r="H137" s="262"/>
      <c r="I137" s="247"/>
      <c r="J137" s="247"/>
      <c r="K137" s="247"/>
      <c r="L137" s="247"/>
      <c r="M137" s="247"/>
      <c r="N137" s="247"/>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4"/>
    </row>
    <row r="138" ht="15.75" customHeight="1">
      <c r="A138" s="142"/>
      <c r="B138" s="237"/>
      <c r="C138" s="142"/>
      <c r="D138" s="237"/>
      <c r="E138" s="237"/>
      <c r="F138" s="237"/>
      <c r="G138" s="146"/>
      <c r="H138" s="262"/>
      <c r="I138" s="247"/>
      <c r="J138" s="247"/>
      <c r="K138" s="247"/>
      <c r="L138" s="247"/>
      <c r="M138" s="247"/>
      <c r="N138" s="247"/>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4"/>
    </row>
    <row r="139" ht="15.75" customHeight="1">
      <c r="A139" s="142"/>
      <c r="B139" s="237"/>
      <c r="C139" s="142"/>
      <c r="D139" s="237"/>
      <c r="E139" s="237"/>
      <c r="F139" s="237"/>
      <c r="G139" s="146"/>
      <c r="H139" s="262"/>
      <c r="I139" s="247"/>
      <c r="J139" s="247"/>
      <c r="K139" s="247"/>
      <c r="L139" s="247"/>
      <c r="M139" s="247"/>
      <c r="N139" s="247"/>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4"/>
    </row>
    <row r="140" ht="15.75" customHeight="1">
      <c r="A140" s="142"/>
      <c r="B140" s="237"/>
      <c r="C140" s="142"/>
      <c r="D140" s="237"/>
      <c r="E140" s="237"/>
      <c r="F140" s="237"/>
      <c r="G140" s="146"/>
      <c r="H140" s="262"/>
      <c r="I140" s="247"/>
      <c r="J140" s="247"/>
      <c r="K140" s="247"/>
      <c r="L140" s="247"/>
      <c r="M140" s="247"/>
      <c r="N140" s="247"/>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4"/>
    </row>
    <row r="141" ht="15.75" customHeight="1">
      <c r="A141" s="142"/>
      <c r="B141" s="237"/>
      <c r="C141" s="142"/>
      <c r="D141" s="237"/>
      <c r="E141" s="237"/>
      <c r="F141" s="237"/>
      <c r="G141" s="146"/>
      <c r="H141" s="262"/>
      <c r="I141" s="247"/>
      <c r="J141" s="247"/>
      <c r="K141" s="247"/>
      <c r="L141" s="247"/>
      <c r="M141" s="247"/>
      <c r="N141" s="247"/>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4"/>
    </row>
    <row r="142" ht="15.75" customHeight="1">
      <c r="A142" s="142"/>
      <c r="B142" s="237"/>
      <c r="C142" s="142"/>
      <c r="D142" s="237"/>
      <c r="E142" s="237"/>
      <c r="F142" s="237"/>
      <c r="G142" s="146"/>
      <c r="H142" s="262"/>
      <c r="I142" s="247"/>
      <c r="J142" s="247"/>
      <c r="K142" s="247"/>
      <c r="L142" s="247"/>
      <c r="M142" s="247"/>
      <c r="N142" s="247"/>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4"/>
    </row>
    <row r="143" ht="15.75" customHeight="1">
      <c r="A143" s="142"/>
      <c r="B143" s="237"/>
      <c r="C143" s="142"/>
      <c r="D143" s="237"/>
      <c r="E143" s="237"/>
      <c r="F143" s="237"/>
      <c r="G143" s="146"/>
      <c r="H143" s="262"/>
      <c r="I143" s="247"/>
      <c r="J143" s="247"/>
      <c r="K143" s="247"/>
      <c r="L143" s="247"/>
      <c r="M143" s="247"/>
      <c r="N143" s="247"/>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4"/>
    </row>
    <row r="144" ht="15.75" customHeight="1">
      <c r="A144" s="142"/>
      <c r="B144" s="237"/>
      <c r="C144" s="142"/>
      <c r="D144" s="237"/>
      <c r="E144" s="237"/>
      <c r="F144" s="237"/>
      <c r="G144" s="146"/>
      <c r="H144" s="262"/>
      <c r="I144" s="247"/>
      <c r="J144" s="247"/>
      <c r="K144" s="247"/>
      <c r="L144" s="247"/>
      <c r="M144" s="247"/>
      <c r="N144" s="247"/>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4"/>
    </row>
    <row r="145" ht="15.75" customHeight="1">
      <c r="A145" s="142"/>
      <c r="B145" s="237"/>
      <c r="C145" s="142"/>
      <c r="D145" s="237"/>
      <c r="E145" s="237"/>
      <c r="F145" s="237"/>
      <c r="G145" s="146"/>
      <c r="H145" s="262"/>
      <c r="I145" s="247"/>
      <c r="J145" s="247"/>
      <c r="K145" s="247"/>
      <c r="L145" s="247"/>
      <c r="M145" s="247"/>
      <c r="N145" s="247"/>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4"/>
    </row>
    <row r="146" ht="15.75" customHeight="1">
      <c r="A146" s="142"/>
      <c r="B146" s="237"/>
      <c r="C146" s="142"/>
      <c r="D146" s="237"/>
      <c r="E146" s="237"/>
      <c r="F146" s="237"/>
      <c r="G146" s="146"/>
      <c r="H146" s="262"/>
      <c r="I146" s="591"/>
      <c r="J146" s="318"/>
      <c r="K146" s="247"/>
      <c r="L146" s="247"/>
      <c r="M146" s="247"/>
      <c r="N146" s="247"/>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4"/>
    </row>
    <row r="147" ht="15.75" customHeight="1">
      <c r="A147" s="142"/>
      <c r="B147" s="237"/>
      <c r="C147" s="142"/>
      <c r="D147" s="237"/>
      <c r="E147" s="237"/>
      <c r="F147" s="237"/>
      <c r="G147" s="146"/>
      <c r="H147" s="262"/>
      <c r="I147" s="236"/>
      <c r="J147" s="238"/>
      <c r="K147" s="247"/>
      <c r="L147" s="247"/>
      <c r="M147" s="247"/>
      <c r="N147" s="247"/>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4"/>
    </row>
    <row r="148" ht="15.75" customHeight="1">
      <c r="A148" s="142"/>
      <c r="B148" s="237"/>
      <c r="C148" s="142"/>
      <c r="D148" s="237"/>
      <c r="E148" s="237"/>
      <c r="F148" s="237"/>
      <c r="G148" s="146"/>
      <c r="H148" s="262"/>
      <c r="I148" s="236"/>
      <c r="J148" s="238"/>
      <c r="K148" s="247"/>
      <c r="L148" s="247"/>
      <c r="M148" s="247"/>
      <c r="N148" s="247"/>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4"/>
    </row>
    <row r="149" ht="12.75" customHeight="1">
      <c r="A149" s="142"/>
      <c r="B149" s="237"/>
      <c r="C149" s="142"/>
      <c r="D149" s="237"/>
      <c r="E149" s="237"/>
      <c r="F149" s="237"/>
      <c r="G149" s="146"/>
      <c r="H149" s="262"/>
      <c r="I149" s="236"/>
      <c r="J149" s="237"/>
      <c r="K149" s="317"/>
      <c r="L149" s="317"/>
      <c r="M149" s="317"/>
      <c r="N149" s="318"/>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4"/>
    </row>
    <row r="150" ht="12.75" customHeight="1">
      <c r="A150" s="142"/>
      <c r="B150" s="237"/>
      <c r="C150" s="142"/>
      <c r="D150" s="237"/>
      <c r="E150" s="237"/>
      <c r="F150" s="237"/>
      <c r="G150" s="146"/>
      <c r="H150" s="262"/>
      <c r="I150" s="236"/>
      <c r="J150" s="237"/>
      <c r="K150" s="237"/>
      <c r="L150" s="237"/>
      <c r="M150" s="237"/>
      <c r="N150" s="238"/>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4"/>
    </row>
    <row r="151" ht="12.75" customHeight="1">
      <c r="A151" s="142"/>
      <c r="B151" s="237"/>
      <c r="C151" s="142"/>
      <c r="D151" s="237"/>
      <c r="E151" s="237"/>
      <c r="F151" s="237"/>
      <c r="G151" s="146"/>
      <c r="H151" s="262"/>
      <c r="I151" s="236"/>
      <c r="J151" s="237"/>
      <c r="K151" s="237"/>
      <c r="L151" s="237"/>
      <c r="M151" s="237"/>
      <c r="N151" s="238"/>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4"/>
    </row>
    <row r="152" ht="12.75" customHeight="1">
      <c r="A152" s="142"/>
      <c r="B152" s="237"/>
      <c r="C152" s="142"/>
      <c r="D152" s="237"/>
      <c r="E152" s="237"/>
      <c r="F152" s="237"/>
      <c r="G152" s="146"/>
      <c r="H152" s="262"/>
      <c r="I152" s="236"/>
      <c r="J152" s="237"/>
      <c r="K152" s="237"/>
      <c r="L152" s="237"/>
      <c r="M152" s="237"/>
      <c r="N152" s="238"/>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4"/>
    </row>
    <row r="153" ht="12.75" customHeight="1">
      <c r="A153" s="142"/>
      <c r="B153" s="237"/>
      <c r="C153" s="142"/>
      <c r="D153" s="237"/>
      <c r="E153" s="237"/>
      <c r="F153" s="237"/>
      <c r="G153" s="146"/>
      <c r="H153" s="262"/>
      <c r="I153" s="236"/>
      <c r="J153" s="237"/>
      <c r="K153" s="237"/>
      <c r="L153" s="237"/>
      <c r="M153" s="237"/>
      <c r="N153" s="238"/>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4"/>
    </row>
    <row r="154" ht="12.75" customHeight="1">
      <c r="A154" s="142"/>
      <c r="B154" s="237"/>
      <c r="C154" s="142"/>
      <c r="D154" s="237"/>
      <c r="E154" s="237"/>
      <c r="F154" s="237"/>
      <c r="G154" s="146"/>
      <c r="H154" s="500"/>
      <c r="I154" s="236"/>
      <c r="J154" s="237"/>
      <c r="K154" s="237"/>
      <c r="L154" s="237"/>
      <c r="M154" s="237"/>
      <c r="N154" s="238"/>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8"/>
    </row>
  </sheetData>
  <mergeCells count="12">
    <mergeCell ref="C1:D1"/>
    <mergeCell ref="E1:G1"/>
    <mergeCell ref="B63:G63"/>
    <mergeCell ref="A6:B6"/>
    <mergeCell ref="C6:D6"/>
    <mergeCell ref="A7:B7"/>
    <mergeCell ref="A3:B3"/>
    <mergeCell ref="A4:B4"/>
    <mergeCell ref="A5:B5"/>
    <mergeCell ref="C3:E3"/>
    <mergeCell ref="C4:E4"/>
    <mergeCell ref="C5:E5"/>
  </mergeCells>
  <conditionalFormatting sqref="G11:G59">
    <cfRule type="cellIs" dxfId="4" priority="1" operator="between" stopIfTrue="1">
      <formula>0</formula>
      <formula>1000000000</formula>
    </cfRule>
  </conditionalFormatting>
  <dataValidations count="1">
    <dataValidation type="list" allowBlank="1" showInputMessage="1" showErrorMessage="1" sqref="E11:E59">
      <formula1>"Book&amp;Claim (forgalomképes tanúsítványok rendszere),Szállítólevelek/Számlák (külön vagy anyagmérleg)"</formula1>
    </dataValidation>
  </dataValidations>
  <pageMargins left="0.787402" right="0.787402" top="0.984252" bottom="0.984252" header="0.511811" footer="0.511811"/>
  <pageSetup firstPageNumber="1" fitToHeight="1" fitToWidth="1" scale="9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