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updateLinks="never" codeName="ThisWorkbook" defaultThemeVersion="124226"/>
  <workbookProtection workbookAlgorithmName="SHA-512" workbookHashValue="IHV+BSjqHwyYpFgqoBOZCJqT1ZGwyDs9tiKQ00VoyjrD67zoXUosEtyqylRsraaFyQZVBEGVdhN7wBQE4lObQQ==" workbookSpinCount="100000" workbookSaltValue="tYRbX6XU+s6gUMLHXPxuhw==" lockStructure="1"/>
  <bookViews>
    <workbookView xWindow="0" yWindow="0" windowWidth="25200" windowHeight="11850" tabRatio="536" firstSheet="1" activeTab="1"/>
  </bookViews>
  <sheets>
    <sheet name="Útmutató" sheetId="38" r:id="rId1"/>
    <sheet name="Adatlap" sheetId="37" r:id="rId2"/>
    <sheet name="Termék" sheetId="2" r:id="rId3"/>
    <sheet name="Összetétel" sheetId="33" r:id="rId4"/>
    <sheet name="Alapanyagok" sheetId="8" r:id="rId5"/>
    <sheet name="Alapanyagok_DID" sheetId="9" r:id="rId6"/>
    <sheet name="Eredmények-1" sheetId="1" r:id="rId7"/>
    <sheet name="Eredmények-2" sheetId="21" r:id="rId8"/>
    <sheet name="Kiszerelés 1-4" sheetId="28" r:id="rId9"/>
    <sheet name="Kiszerelés 5-8" sheetId="36" r:id="rId10"/>
    <sheet name="Nyilatkozatok_1" sheetId="39" r:id="rId11"/>
    <sheet name="Nyilatkozatok_2" sheetId="40" r:id="rId12"/>
    <sheet name="Nyilatkozatok_LD" sheetId="43" r:id="rId13"/>
    <sheet name="Nyilatkozatok_3" sheetId="41" r:id="rId14"/>
    <sheet name="Nyilatkozatok_4" sheetId="42" r:id="rId15"/>
    <sheet name="DID List" sheetId="6" r:id="rId16"/>
    <sheet name="Fordítások" sheetId="15" r:id="rId17"/>
    <sheet name="Auswahldaten" sheetId="4" r:id="rId18"/>
    <sheet name="Document" sheetId="25" r:id="rId19"/>
    <sheet name="Historie" sheetId="26" state="hidden" r:id="rId20"/>
  </sheets>
  <externalReferences>
    <externalReference r:id="rId23"/>
    <externalReference r:id="rId24"/>
  </externalReferences>
  <definedNames>
    <definedName name="_xlnm._FilterDatabase" localSheetId="4" hidden="1">'Alapanyagok'!$B$10:$B$63</definedName>
    <definedName name="_xlnm._FilterDatabase" localSheetId="5" hidden="1">'Alapanyagok_DID'!$B$10:$B$63</definedName>
    <definedName name="_xlnm._FilterDatabase" localSheetId="6" hidden="1">'Eredmények-1'!$B$10:$B$65</definedName>
    <definedName name="_xlnm._FilterDatabase" localSheetId="7" hidden="1">'Eredmények-2'!$B$8:$B$60</definedName>
    <definedName name="_xlnm._FilterDatabase" localSheetId="3" hidden="1">'Összetétel'!$B$10:$B$63</definedName>
    <definedName name="Abbauwerte">'Auswahldaten'!$A$46:$A$49</definedName>
    <definedName name="aNBO">'Auswahldaten'!$A$33:$A$37</definedName>
    <definedName name="anNBO">'Auswahldaten'!$A$40:$A$43</definedName>
    <definedName name="Ausnahme">'Auswahldaten'!$A$61:$A$62</definedName>
    <definedName name="Ausnahme_anNBO">'Auswahldaten'!$A$99:$A$102</definedName>
    <definedName name="Ausnahmen">'Auswahldaten'!$A$156:$A$158</definedName>
    <definedName name="AW">'Auswahldaten'!$A$46:$A$49</definedName>
    <definedName name="BCF">'Auswahldaten'!$A$52:$A$54</definedName>
    <definedName name="Beschichtung">'Auswahldaten'!$A$88:$A$92</definedName>
    <definedName name="Beschluss">'Auswahldaten'!$A$105:$A$108</definedName>
    <definedName name="DID">'DID List'!$A$7:$A$246</definedName>
    <definedName name="Einheit">'Auswahldaten'!$A$145:$A$153</definedName>
    <definedName name="Etikett">'Auswahldaten'!$A$71:$A$76</definedName>
    <definedName name="Flasche">'Auswahldaten'!$A$66:$A$68</definedName>
    <definedName name="Form_Substanz">'Auswahldaten'!$A$25:$A$29</definedName>
    <definedName name="Funktion">'Auswahldaten'!$A$16:$A$22</definedName>
    <definedName name="janein">'Auswahldaten'!$A$12:$A$13</definedName>
    <definedName name="Nachweis">'Auswahldaten'!$A$57:$A$58</definedName>
    <definedName name="_xlnm.Print_Area" localSheetId="1">'Adatlap'!$A:$F</definedName>
    <definedName name="_xlnm.Print_Area" localSheetId="4">'Alapanyagok'!$A$1:$V$69</definedName>
    <definedName name="_xlnm.Print_Area" localSheetId="5">'Alapanyagok_DID'!$A$1:$R$69</definedName>
    <definedName name="_xlnm.Print_Area" localSheetId="6">'Eredmények-1'!$A$1:$L$68</definedName>
    <definedName name="_xlnm.Print_Area" localSheetId="7">'Eredmények-2'!$A$1:$G$63</definedName>
    <definedName name="_xlnm.Print_Area" localSheetId="16">'Fordítások'!$B$1:$C$403</definedName>
    <definedName name="_xlnm.Print_Area" localSheetId="19">'Historie'!$A$1:$N$14</definedName>
    <definedName name="_xlnm.Print_Area" localSheetId="8">'Kiszerelés 1-4'!$A$1:$N$53</definedName>
    <definedName name="_xlnm.Print_Area" localSheetId="9">'Kiszerelés 5-8'!$A$1:$N$53</definedName>
    <definedName name="_xlnm.Print_Area" localSheetId="10">'Nyilatkozatok_1'!$A$3:$J$59</definedName>
    <definedName name="_xlnm.Print_Area" localSheetId="11">'Nyilatkozatok_2'!$A$2:$H$69</definedName>
    <definedName name="_xlnm.Print_Area" localSheetId="13">'Nyilatkozatok_3'!$A$2:$J$491</definedName>
    <definedName name="_xlnm.Print_Area" localSheetId="14">'Nyilatkozatok_4'!$A$1:$J$527</definedName>
    <definedName name="_xlnm.Print_Area" localSheetId="12">'Nyilatkozatok_LD'!$A:$J</definedName>
    <definedName name="_xlnm.Print_Area" localSheetId="3">'Összetétel'!$A:$H</definedName>
    <definedName name="_xlnm.Print_Area" localSheetId="2">'Termék'!$A:$F</definedName>
    <definedName name="Privat">'Auswahldaten'!$A$140:$A$142</definedName>
    <definedName name="Produkt">'Auswahldaten'!$A$113:$A$129</definedName>
    <definedName name="Produktart">'Auswahldaten'!$A$3:$A$5</definedName>
    <definedName name="Produktform">'Auswahldaten'!$A$8:$A$9</definedName>
    <definedName name="Pulver">'Auswahldaten'!$A$95:$A$96</definedName>
    <definedName name="Sprache">'Fordítások'!$A$3:$B$3</definedName>
    <definedName name="Verschluss">'Auswahldaten'!$A$79:$A$85</definedName>
    <definedName name="Vorproduktenummer">'[1]Formulation Pre-products'!$A$13:$A$34</definedName>
    <definedName name="VPName">'Összetétel'!$B$12:$B$61</definedName>
    <definedName name="_xlnm.Print_Titles" localSheetId="3">'Összetétel'!$10:$11</definedName>
    <definedName name="_xlnm.Print_Titles" localSheetId="4">'Alapanyagok'!$10:$11</definedName>
    <definedName name="_xlnm.Print_Titles" localSheetId="10">'Nyilatkozatok_1'!$1:$1</definedName>
    <definedName name="_xlnm.Print_Titles" localSheetId="11">'Nyilatkozatok_2'!$1:$1</definedName>
  </definedNames>
  <calcPr calcId="162913"/>
  <extLst/>
</workbook>
</file>

<file path=xl/sharedStrings.xml><?xml version="1.0" encoding="utf-8"?>
<sst xmlns="http://schemas.openxmlformats.org/spreadsheetml/2006/main" count="3362" uniqueCount="2257">
  <si>
    <t>Nr.</t>
  </si>
  <si>
    <t>lfd.</t>
  </si>
  <si>
    <t>CAS-</t>
  </si>
  <si>
    <t>Handelsname</t>
  </si>
  <si>
    <t>Wasser</t>
  </si>
  <si>
    <t>beigefügt?</t>
  </si>
  <si>
    <t>Herstellererklärung</t>
  </si>
  <si>
    <t>-</t>
  </si>
  <si>
    <t>Datum:</t>
  </si>
  <si>
    <t>Summe:</t>
  </si>
  <si>
    <t>(muss 100 ergeben)</t>
  </si>
  <si>
    <t>Version:</t>
  </si>
  <si>
    <t>Gewicht
in der Rezeptur in</t>
  </si>
  <si>
    <t>in mg/l</t>
  </si>
  <si>
    <t>Acute toxicity</t>
  </si>
  <si>
    <t>Chronic toxicity</t>
  </si>
  <si>
    <t>Degradation</t>
  </si>
  <si>
    <t>DID-no</t>
  </si>
  <si>
    <t>Ingredient name</t>
  </si>
  <si>
    <t>NOEC (*)</t>
  </si>
  <si>
    <t>DF</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</si>
  <si>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</si>
  <si>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</si>
  <si>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</si>
  <si>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</si>
  <si>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</si>
  <si>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</si>
  <si>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</si>
  <si>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</si>
  <si>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</si>
  <si>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</si>
  <si>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</si>
  <si>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</si>
  <si>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</si>
  <si>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</si>
  <si>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</si>
  <si>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</si>
  <si>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</si>
  <si>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</si>
  <si>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</si>
  <si>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</si>
  <si>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</si>
  <si>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</si>
  <si>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</si>
  <si>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</si>
  <si>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</si>
  <si>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</si>
  <si>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Phenoxy-ethanol</t>
  </si>
  <si>
    <t xml:space="preserve">Phosphate, as STPP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</si>
  <si>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</si>
  <si>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</si>
  <si>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</si>
  <si>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</si>
  <si>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</si>
  <si>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</si>
  <si>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</si>
  <si>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</si>
  <si>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</si>
  <si>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</si>
  <si>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</si>
  <si>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</si>
  <si>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</si>
  <si>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</si>
  <si>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Cumene sulphonates</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</si>
  <si>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</si>
  <si>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</si>
  <si>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</si>
  <si>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</si>
  <si>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</si>
  <si>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</si>
  <si>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</si>
  <si>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</si>
  <si>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</si>
  <si>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</si>
  <si>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</si>
  <si>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</si>
  <si>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</si>
  <si>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</si>
  <si>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</si>
  <si>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</si>
  <si>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</si>
  <si>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</si>
  <si>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</si>
  <si>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</si>
  <si>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</si>
  <si>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</si>
  <si>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</si>
  <si>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</si>
  <si>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</si>
  <si>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</si>
  <si>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</si>
  <si>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</si>
  <si>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</si>
  <si>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</si>
  <si>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</si>
  <si>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</si>
  <si>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</si>
  <si>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</si>
  <si>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</si>
  <si>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</si>
  <si>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</si>
  <si>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</si>
  <si>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</si>
  <si>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</si>
  <si>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</si>
  <si>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</si>
  <si>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</si>
  <si>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</si>
  <si>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</si>
  <si>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</si>
  <si>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</si>
  <si>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</si>
  <si>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</si>
  <si>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</si>
  <si>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</si>
  <si>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</si>
  <si>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</si>
  <si>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</si>
  <si>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</si>
  <si>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</si>
  <si>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</si>
  <si>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</si>
  <si>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</si>
  <si>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</si>
  <si>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</si>
  <si>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</si>
  <si>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</si>
  <si>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</si>
  <si>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</si>
  <si>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</si>
  <si>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Deutsch</t>
  </si>
  <si>
    <t>L</t>
  </si>
  <si>
    <t>S</t>
  </si>
  <si>
    <t>J</t>
  </si>
  <si>
    <t>Abbaubarkeit</t>
  </si>
  <si>
    <t>Masse% 
(=g/100 g Produkt)</t>
  </si>
  <si>
    <t>Ergebnis</t>
  </si>
  <si>
    <t>Farbstoff</t>
  </si>
  <si>
    <t>Tensid</t>
  </si>
  <si>
    <t>Funktion</t>
  </si>
  <si>
    <t>Biozid</t>
  </si>
  <si>
    <t>aerobe Abbaubarkeit</t>
  </si>
  <si>
    <t>Produktart</t>
  </si>
  <si>
    <t>Auswahl janein</t>
  </si>
  <si>
    <t>(nur die rot unterlegten Felder auswählen oder ausfüllen)</t>
  </si>
  <si>
    <t>anearobe Abbaubarkeit</t>
  </si>
  <si>
    <t xml:space="preserve">Abbauwerte </t>
  </si>
  <si>
    <t>Grenzwert</t>
  </si>
  <si>
    <t>Bemerkungen Antragsteller</t>
  </si>
  <si>
    <t>English</t>
  </si>
  <si>
    <t>Produktart:</t>
  </si>
  <si>
    <t>Type of product:</t>
  </si>
  <si>
    <t>Date:</t>
  </si>
  <si>
    <t>weight in the formulation in</t>
  </si>
  <si>
    <t>mass-% (=g/100g product)</t>
  </si>
  <si>
    <t>Supplier declaration</t>
  </si>
  <si>
    <t>SDS</t>
  </si>
  <si>
    <t>water</t>
  </si>
  <si>
    <t>cons.</t>
  </si>
  <si>
    <t>no:</t>
  </si>
  <si>
    <t>Trade name</t>
  </si>
  <si>
    <t>Function</t>
  </si>
  <si>
    <t>added?</t>
  </si>
  <si>
    <t>(must be 100)</t>
  </si>
  <si>
    <t>Sum:</t>
  </si>
  <si>
    <t>remarks of the applicant</t>
  </si>
  <si>
    <t>1) Verordnung (EG) Nr. 1272/2008 über die Einstufung, Kennzeichnung und Verpackung von
 Stoffen und Gemischen, zur Änderung und Aufhebung der Richtlinien 67/548/EWG und 1999/45/EG und zur Änderung der Verordnung (EG) Nr. 1907/2006</t>
  </si>
  <si>
    <t>2) Richtlinie 67/548/EWG mit Anpassung an Verordnung (EG) Nr. 1907/2006 
gemäß Richtlinie 2006/121/EG und Richtlinie 1999/45/EG in der aktuellen Fassung</t>
  </si>
  <si>
    <t xml:space="preserve">1) Regulation (EC) No 1272/2008 on classification, labelling and packaging of substances and mixtures, amending and repealing Directives 67/548/EEC and 1999/45/EC, and amending Regulation (EC) No 1907/2006
</t>
  </si>
  <si>
    <t>2) Directive 67/548/EEC with adjustment to REACH according to Directive 2006/121/EC and Directive
 1999/45/EC as amended</t>
  </si>
  <si>
    <t>Hazard Statement (1)</t>
  </si>
  <si>
    <t>Risk Phrase (2)</t>
  </si>
  <si>
    <t>Surfactant</t>
  </si>
  <si>
    <t>Biocide</t>
  </si>
  <si>
    <t>Colouring agent</t>
  </si>
  <si>
    <t>Gefahrenhinweis 
(H-Sätze) (1)</t>
  </si>
  <si>
    <t>Gefahrsätze 
(R-Sätze) (2)</t>
  </si>
  <si>
    <t>DID- 1)</t>
  </si>
  <si>
    <t>not included</t>
  </si>
  <si>
    <t>1): Sofern eine DID-Nummer eingegeben wird, werden die Spalten L und M (AW/TW) sowie N und O (Abbaubarkeiten) automatisch gefüllt. Sofern die Substanz nicht in der DID-Liste enthalten ist, "not included" auswählen, die AW/TW-Werte bzw. die Abbaubarkeiten bestimmen und in den Spalten H bis K eingeben.</t>
  </si>
  <si>
    <t>Eingaben nur für Substanzen, die nicht in der DID-Liste enthalten sind!</t>
  </si>
  <si>
    <t>AW</t>
  </si>
  <si>
    <t>TW chron.</t>
  </si>
  <si>
    <t>Fill-in only if substance not included in the DID-list</t>
  </si>
  <si>
    <t>TF chron.</t>
  </si>
  <si>
    <t>biodegradable</t>
  </si>
  <si>
    <t>Unter anaeroben Bedingungen biologisch abbaubar</t>
  </si>
  <si>
    <t>Schwer abbaubar. Die Prüfung des Inhaltsstoffes ergab keine inhärente biologische Abbaubarkeit.</t>
  </si>
  <si>
    <t>Der Inhaltsstoff wurde nicht geprüft.</t>
  </si>
  <si>
    <t>Nicht zutreffend</t>
  </si>
  <si>
    <t xml:space="preserve">R = </t>
  </si>
  <si>
    <t xml:space="preserve">I = </t>
  </si>
  <si>
    <t xml:space="preserve">P = </t>
  </si>
  <si>
    <t>O =</t>
  </si>
  <si>
    <t>NA =</t>
  </si>
  <si>
    <t>Unter anaeroben Bedingungen nicht biologisch abbaubar</t>
  </si>
  <si>
    <t xml:space="preserve">Y = </t>
  </si>
  <si>
    <t xml:space="preserve">N = </t>
  </si>
  <si>
    <t xml:space="preserve">O = </t>
  </si>
  <si>
    <t xml:space="preserve">NA = </t>
  </si>
  <si>
    <t>KVV chron</t>
  </si>
  <si>
    <t>Limit</t>
  </si>
  <si>
    <t>Result</t>
  </si>
  <si>
    <t>CDV chron</t>
  </si>
  <si>
    <t>Primärverpackungsteil (i)
(bitte Teile angeben)</t>
  </si>
  <si>
    <t>Beschreibung der Verpackungart:</t>
  </si>
  <si>
    <t>BCF</t>
  </si>
  <si>
    <t>log Kow</t>
  </si>
  <si>
    <t>Auswahl für Biozide: 
BCF / logKow</t>
  </si>
  <si>
    <t>Auswahl für Farbstoffe:
BCF / logKow oder Lebensmittel zugelassen</t>
  </si>
  <si>
    <t>Select for Biocides: 
BCF / logKow</t>
  </si>
  <si>
    <t>Select for Colouring agents:
BCF / logKow or approved for foodstuff</t>
  </si>
  <si>
    <t>BCF / log Kow</t>
  </si>
  <si>
    <t>Wert für</t>
  </si>
  <si>
    <t xml:space="preserve">Value of </t>
  </si>
  <si>
    <t>Description of the packaging:</t>
  </si>
  <si>
    <t>Duftstoff</t>
  </si>
  <si>
    <t>Fragrances</t>
  </si>
  <si>
    <t>Artikelnummer:</t>
  </si>
  <si>
    <t>Article number:</t>
  </si>
  <si>
    <t>Form in the product</t>
  </si>
  <si>
    <t>Physical state(s) in the product</t>
  </si>
  <si>
    <t>Form im Produkt</t>
  </si>
  <si>
    <t>Physikalischer Zustand im Produkt</t>
  </si>
  <si>
    <t>1): If a DID-no will be selected the columns L and M (DF/TF) as well as N and O (biodegrability) filled automatically. If the substance is not in the DID-Liste select "not included" and fill-in the values for DF/TF and the biodegrability in the columns H to K.</t>
  </si>
  <si>
    <t>aerob</t>
  </si>
  <si>
    <t>anaerob</t>
  </si>
  <si>
    <t>LC50/ EC50 (*)</t>
  </si>
  <si>
    <t>SF (*) (Acute)</t>
  </si>
  <si>
    <t>TF    (Acute)</t>
  </si>
  <si>
    <t>SF (*) (Chronic)</t>
  </si>
  <si>
    <t>TF    (Chronic)</t>
  </si>
  <si>
    <t>C10-13 linear alkyl benzene sulphonates</t>
  </si>
  <si>
    <t>C14-16 Alkyl sulphonate</t>
  </si>
  <si>
    <t>C8-10 Alkyl sulphate</t>
  </si>
  <si>
    <t>C8-12 Alkyl ether sulphate, even and odd-numbered, 1-3 EO</t>
  </si>
  <si>
    <t>C12-18 Alkyl ether sulphate, even and odd-numbered, 1-3 EO</t>
  </si>
  <si>
    <t>Mono-C12-14 Alkyl sulfosuccinate</t>
  </si>
  <si>
    <t>Mono-C12-18 Alkyl sulfosuccinate</t>
  </si>
  <si>
    <t>Mono-C16-18 Alkyl sulfosuccinate</t>
  </si>
  <si>
    <t>di-C4-6 Alkyl sulfosuccinate</t>
  </si>
  <si>
    <t>di-2-ethylhexyl sulfosuccinate</t>
  </si>
  <si>
    <t>di-iso C10 Alkyl sulfosuccinate</t>
  </si>
  <si>
    <t>di-iso C13 Alkyl sulfosuccinate</t>
  </si>
  <si>
    <t>C12-14 Fatty acid methyl Ester Sulphonate</t>
  </si>
  <si>
    <t>C16-18 Fatty acid methyl Ester Sulphonate</t>
  </si>
  <si>
    <t>C14-16 alfa olefin sulphonate</t>
  </si>
  <si>
    <t>C14-18 alfa olefin sulphonate</t>
  </si>
  <si>
    <t>C9-11, ≥2 - ≤10 EO Carboxymethylated, sodium salt or acid</t>
  </si>
  <si>
    <t>C12-18 Alkyl phosphate esters</t>
  </si>
  <si>
    <t>Sodium cocoyl glutamate</t>
  </si>
  <si>
    <t>Sodium Lauroyl Methyl Isethionate</t>
  </si>
  <si>
    <t>C12-15 Alcohol, ≥2 - ≤6 EO, ≥2 - ≤6 PO</t>
  </si>
  <si>
    <t>C12-18 Alkyl glycerol ester (even numbered), 1-6,5 EO</t>
  </si>
  <si>
    <t>C12-18 Alkyl glycerol ester (even numbered), &gt;6,5-17 EO</t>
  </si>
  <si>
    <t>C8-12 Alkyl polyglycoside, branched</t>
  </si>
  <si>
    <t>N1 C8-18 Alkanolamide (even numbered)</t>
  </si>
  <si>
    <t xml:space="preserve">Coconut fatty acid monoethanolamide 4 and 5 EO   </t>
  </si>
  <si>
    <t>N2 C8-18 Alkanolamide</t>
  </si>
  <si>
    <t>Amines, tallow, ≤2,5 EO</t>
  </si>
  <si>
    <t>Amines, tallow, ≥20 - ≤50 EO</t>
  </si>
  <si>
    <t>C12 sorbitan monoester, 20 EO (polysorbate 20)</t>
  </si>
  <si>
    <t>C18 sorbitan monoester, 20 EO</t>
  </si>
  <si>
    <t>C8-10 Sorbitan mono- or diester</t>
  </si>
  <si>
    <t>Sorbitan stearate</t>
  </si>
  <si>
    <t>C12-15 Alkyl dimethyl betaine</t>
  </si>
  <si>
    <t>C8-18 Alkyl amidopropylbetaines</t>
  </si>
  <si>
    <t>C12-18 Alkyl amine oxide</t>
  </si>
  <si>
    <t>C12-14 Alkyl amidopropyl amine oxide</t>
  </si>
  <si>
    <t>C12-18 Alkyl amidopropyl amine oxide</t>
  </si>
  <si>
    <t>C10-18 Alkyl dimethyl amine oxide</t>
  </si>
  <si>
    <t>C8-18 Amphoacetates</t>
  </si>
  <si>
    <t>C8-16 alkyltrimethyl or benzyldimethyl quaternary ammonium salts</t>
  </si>
  <si>
    <t>C16-18 alkyl benzyldimethyl quaternary ammonium salts</t>
  </si>
  <si>
    <t>tri C16-18 Esterquats</t>
  </si>
  <si>
    <t>di C16-18 Esterquats</t>
  </si>
  <si>
    <t>1,2-Benzisothiazol-3-one (BIT)</t>
  </si>
  <si>
    <t>CMI + MI in mixture 3:1 (CAS 55965-84-9) (§)</t>
  </si>
  <si>
    <t>2-Methyl-2H-isothiazol-3-one (MI)</t>
  </si>
  <si>
    <t>Sorbate and sorbic acid</t>
  </si>
  <si>
    <t>N-(3-Aminopropyl)-N-dodecylpropane-1,3-diamine</t>
  </si>
  <si>
    <t>Phenoxypropanol</t>
  </si>
  <si>
    <t xml:space="preserve">Polycarboxylates homopolymer of acrylic acid                </t>
  </si>
  <si>
    <t xml:space="preserve">Polycarboxylates copolymer of acrylic/maleic acid               </t>
  </si>
  <si>
    <t>GLDA</t>
  </si>
  <si>
    <t xml:space="preserve">Phosphonates             </t>
  </si>
  <si>
    <t>Carboxymethyl inulin (CMI)</t>
  </si>
  <si>
    <t>Veg. Oil</t>
  </si>
  <si>
    <t>Veg. Oil (hydrogenated)</t>
  </si>
  <si>
    <t>Lauric Acid (C12:0)</t>
  </si>
  <si>
    <t>Lanolin</t>
  </si>
  <si>
    <t xml:space="preserve">Soluble Silicates                   </t>
  </si>
  <si>
    <t>Percarbonate</t>
  </si>
  <si>
    <t>H2O2</t>
  </si>
  <si>
    <t xml:space="preserve">C1-C3 alcohols                </t>
  </si>
  <si>
    <t>Polyethylene glycol, MW≥4100</t>
  </si>
  <si>
    <t>Polyethylene glycol, MW&lt;4100</t>
  </si>
  <si>
    <t>Ammonia</t>
  </si>
  <si>
    <t>Protease (active enzyme protein)</t>
  </si>
  <si>
    <t>Non-protease (active enzyme protein)</t>
  </si>
  <si>
    <t>But-2-one (MEK)</t>
  </si>
  <si>
    <t>Polysaccarides including starch</t>
  </si>
  <si>
    <t xml:space="preserve">Glycolic acid            </t>
  </si>
  <si>
    <t>Hydroxypropyl methyl cellulose</t>
  </si>
  <si>
    <t>Trimethyl pentanediol mono-isobutyrate</t>
  </si>
  <si>
    <t xml:space="preserve">Block polymers ***     </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</si>
  <si>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</si>
  <si>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</si>
  <si>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</si>
  <si>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</si>
  <si>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</si>
  <si>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</si>
  <si>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</si>
  <si>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</si>
  <si>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</si>
  <si>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Insoluble inorganic  - Inorganic ingredient with very low, or no ability to dissolve in water.</t>
  </si>
  <si>
    <t>If no acceptable toxicity data was found, these columns are empty. In that case TF(chronic) is defined as equal to TF(acute) and vice versa</t>
  </si>
  <si>
    <t xml:space="preserve">As a general rule licence applicants must use the data on the list. Perfumes and dyes are exceptions. If toxicity data is submitted by the licence </t>
  </si>
  <si>
    <t xml:space="preserve">applicant the submitted data shall be used to calculate the TF and determine the degradability. If not, the values on the list shall be used. </t>
  </si>
  <si>
    <t xml:space="preserve">(***) </t>
  </si>
  <si>
    <t>The applicants data on aerobic degradability of DID no. 2603 Block polymers will be accepted after presentation of test-report.</t>
  </si>
  <si>
    <t xml:space="preserve">(§) </t>
  </si>
  <si>
    <t>5-Chloro-2-Methyl-4-isothiazolin-3-one and 2-Methyl-4-isothiazolin-3-one in mixture 3:1</t>
  </si>
  <si>
    <t>List of abbreviations:</t>
  </si>
  <si>
    <t xml:space="preserve">SF(acute) </t>
  </si>
  <si>
    <t xml:space="preserve">TF(acute) </t>
  </si>
  <si>
    <t xml:space="preserve">SF(chronic) </t>
  </si>
  <si>
    <t xml:space="preserve">TF(chronic) </t>
  </si>
  <si>
    <t xml:space="preserve">DF </t>
  </si>
  <si>
    <t>Degradation factor.</t>
  </si>
  <si>
    <t>Aerobic degradation:</t>
  </si>
  <si>
    <t xml:space="preserve">R </t>
  </si>
  <si>
    <t xml:space="preserve"> Inherently biodegradable according to OECD guidelines.</t>
  </si>
  <si>
    <t xml:space="preserve">P </t>
  </si>
  <si>
    <t xml:space="preserve">O </t>
  </si>
  <si>
    <t xml:space="preserve">NA </t>
  </si>
  <si>
    <t>Anaerobic degradation:</t>
  </si>
  <si>
    <t xml:space="preserve">Y </t>
  </si>
  <si>
    <t xml:space="preserve">N </t>
  </si>
  <si>
    <t>Tensid aus Palmöl/Palmkernöl</t>
  </si>
  <si>
    <t>Tensid nicht aus Palmöl/Palmkernöl</t>
  </si>
  <si>
    <t>(bitte auswählen oder eingeben)</t>
  </si>
  <si>
    <t>Lebensmittel zugelassen</t>
  </si>
  <si>
    <t>approved for foodstuff</t>
  </si>
  <si>
    <t>2) Reibekörper = N</t>
  </si>
  <si>
    <t>KVV chron / AG</t>
  </si>
  <si>
    <t>CDV chron / AC</t>
  </si>
  <si>
    <t>=aNBO (Tensid)</t>
  </si>
  <si>
    <t>=aNBO (surf.)</t>
  </si>
  <si>
    <t>(in l/g AG)</t>
  </si>
  <si>
    <t>(in l/g AC)</t>
  </si>
  <si>
    <t>=aNBO (org. Sub.)</t>
  </si>
  <si>
    <t>=anNBO (org. Sub.)</t>
  </si>
  <si>
    <t>Sekundärverpackungsteil (i)
(bitte Teile angeben)</t>
  </si>
  <si>
    <t>Produkt mit Sekundärverpackung</t>
  </si>
  <si>
    <t>Produkt mit Nachfüllpackungen</t>
  </si>
  <si>
    <t>Weight of the product (in the primary packaging) in gram (D):</t>
  </si>
  <si>
    <t>F = V x R / Vnachf. (aufgerundet auf nächste ganze Zahl)</t>
  </si>
  <si>
    <t>Originalpackung</t>
  </si>
  <si>
    <t>Nachfüllpackung</t>
  </si>
  <si>
    <t>Weight of the product (in the primary packaging) in gram (Drefill):</t>
  </si>
  <si>
    <t>Gewicht des Produkts 
(in der Primärverpackung) in Gramm (D):</t>
  </si>
  <si>
    <t>Gewicht des Produkts 
(in der Primärverpackung) in Gramm (Dnachf.):</t>
  </si>
  <si>
    <t>Anzahl Originalpackungen in Sekundärverpackung</t>
  </si>
  <si>
    <t>Gewicht des Primär-verpackungsteils (Wi) in g</t>
  </si>
  <si>
    <t>Gewicht des Sekundär-verpackungsteils (Wi) in g</t>
  </si>
  <si>
    <t>Product with refill offered</t>
  </si>
  <si>
    <t>F = V x R / Vrefill (rounded up to the next whole number)</t>
  </si>
  <si>
    <t>parent pack</t>
  </si>
  <si>
    <t>refill pack</t>
  </si>
  <si>
    <t>Volumen des Produkts 
(in der Primärverpackung) in ml (V):</t>
  </si>
  <si>
    <t>Volumen des Produkts 
(in der Primärverpackung) in ml (Vnachf.):</t>
  </si>
  <si>
    <t>Product with secondary packaging</t>
  </si>
  <si>
    <t>Amount of parent packs in secondary packaging</t>
  </si>
  <si>
    <t>weight of this primary 
packaging part (Wi) in g</t>
  </si>
  <si>
    <t>weight of this secondary  
packaging part (Wi) in g</t>
  </si>
  <si>
    <t>davon nicht erneuerbar/
wiederverwertet (Ni)* in g</t>
  </si>
  <si>
    <t>Volume of the product 
(in the primary packaging) in ml (Vrefill):</t>
  </si>
  <si>
    <t>Volume of the product
(in the primary packaging) in ml (V):</t>
  </si>
  <si>
    <t>part of the primary 
packaging (i) 
(please name the part)</t>
  </si>
  <si>
    <t>part of the secondary 
packaging (i)
(please name the part)</t>
  </si>
  <si>
    <t>proportional weight of 
the grouping packaging</t>
  </si>
  <si>
    <t>Proportionales Gewicht 
der Umverpackung</t>
  </si>
  <si>
    <t>(please select or fill-in)</t>
  </si>
  <si>
    <t>=aNBO (org. subst.)</t>
  </si>
  <si>
    <t>=anNBO (org. subst.)</t>
  </si>
  <si>
    <t>Falls H/EUH-Hinweis mit möglichen Beschränkungen erkannt wird, wechselt Schrift auf "rot"</t>
  </si>
  <si>
    <t>In case H/EUH-statement with possible restrictions are detected, font changed to red</t>
  </si>
  <si>
    <t>Tensid ohne leichte aerobe Abbaubarkeit</t>
  </si>
  <si>
    <t xml:space="preserve">Surfactant not readily biodegradable </t>
  </si>
  <si>
    <t>2) rubbing/abrasive agents = N</t>
  </si>
  <si>
    <t>The number of time that the parent pack can be refilled (R). 
Provide values or use default values of R=5 for plastics and R=2 for cardborad.</t>
  </si>
  <si>
    <t>Wie oft kann die Originalpackung nachgefüllt werden? (R)
Nachweisen oder Standardwerte R = 2 für Pappe und  R = 5 für Kunststoff verwenden.</t>
  </si>
  <si>
    <t>Spezifikation</t>
  </si>
  <si>
    <t xml:space="preserve">Nachweis </t>
  </si>
  <si>
    <t xml:space="preserve">Book&amp;Claim </t>
  </si>
  <si>
    <t>Produktionszeitraum
von</t>
  </si>
  <si>
    <t>bis</t>
  </si>
  <si>
    <t>Bezeichnung lt. IUPAC</t>
  </si>
  <si>
    <t>Name (IUPAC)</t>
  </si>
  <si>
    <t>(bitte auswählen)</t>
  </si>
  <si>
    <t>(please select)</t>
  </si>
  <si>
    <t>Nachweis</t>
  </si>
  <si>
    <t>Produktionsmenge 
(der beantragten Rezeptur) in  t</t>
  </si>
  <si>
    <t>Specification</t>
  </si>
  <si>
    <t>Production volume 
(requested formulation) in  t</t>
  </si>
  <si>
    <t>production period
from</t>
  </si>
  <si>
    <t>to</t>
  </si>
  <si>
    <t>Verification</t>
  </si>
  <si>
    <t>Sonstige</t>
  </si>
  <si>
    <t>Other</t>
  </si>
  <si>
    <t>Konz</t>
  </si>
  <si>
    <t>VP</t>
  </si>
  <si>
    <t>active content</t>
  </si>
  <si>
    <t xml:space="preserve">Aktivgehalt </t>
  </si>
  <si>
    <t>im Vorprodukt (in %)</t>
  </si>
  <si>
    <t>in the pre-product (in %)</t>
  </si>
  <si>
    <t>Primärverpackung und Produkt (g) (=m1)</t>
  </si>
  <si>
    <t>Primärverpackung und Restprodukt bei normaler Verwendung (g) (=m2)</t>
  </si>
  <si>
    <t>Primärverpackung, leer und gesäubert (g) (=m3)</t>
  </si>
  <si>
    <t>R = ((m2 – m3)/(m1 – m3)) × 100 ( %)</t>
  </si>
  <si>
    <t>Primary packaging and product (g) (=m1)</t>
  </si>
  <si>
    <t>Primary packaging and product residue in normal conditions of use (g) (=m2)</t>
  </si>
  <si>
    <t>Primary packaging emptied and cleaned (g) (=m3)</t>
  </si>
  <si>
    <t>Etikett</t>
  </si>
  <si>
    <t>Verschluss</t>
  </si>
  <si>
    <t>Klebstoff</t>
  </si>
  <si>
    <t>PETG -Polyethylenterephthalat, glykol-modifiziert</t>
  </si>
  <si>
    <t>Glas</t>
  </si>
  <si>
    <t>Metal</t>
  </si>
  <si>
    <t>Polyamid</t>
  </si>
  <si>
    <t>funktionelle Polyolefine</t>
  </si>
  <si>
    <t>Metall- und Lichtschutzbeschichtung</t>
  </si>
  <si>
    <t>nicht vorhanden</t>
  </si>
  <si>
    <t>Flasche</t>
  </si>
  <si>
    <t>Silikon, D &gt; 1 g/cm3</t>
  </si>
  <si>
    <t>Beschichtung</t>
  </si>
  <si>
    <t>Material Behälter/Flasche</t>
  </si>
  <si>
    <t>Material Verschluss</t>
  </si>
  <si>
    <t>Material Container/Bottle</t>
  </si>
  <si>
    <t>Material Label</t>
  </si>
  <si>
    <t>Material Closure</t>
  </si>
  <si>
    <t>Material Barrierebeschichtung</t>
  </si>
  <si>
    <t>Material Barriere Coating</t>
  </si>
  <si>
    <t>Adhesive</t>
  </si>
  <si>
    <t>PETG Polyethylene terephthalate glycol-modified</t>
  </si>
  <si>
    <t>EVA - Ethylenvinylacetat</t>
  </si>
  <si>
    <t>EVOH - Ethylenvinylalkohol</t>
  </si>
  <si>
    <t>HDPE - High-density polyethylen</t>
  </si>
  <si>
    <t>PET - Polyethylenterephthalat</t>
  </si>
  <si>
    <t>PP - Polypropylen</t>
  </si>
  <si>
    <t>PS - Polystyrol</t>
  </si>
  <si>
    <t>PVC - Polyvinylchlorid</t>
  </si>
  <si>
    <t>EVA - Ethylene Vinyl Acetate</t>
  </si>
  <si>
    <t>EVOH - Ethylene vinyl alcohol</t>
  </si>
  <si>
    <t>HDPE - High-density polyethylene</t>
  </si>
  <si>
    <t>PET - Polyethylenterephthalate</t>
  </si>
  <si>
    <t>PP - Polypropylene</t>
  </si>
  <si>
    <t>PS - Polystyrene</t>
  </si>
  <si>
    <t>PVC - Polyvinylchloride</t>
  </si>
  <si>
    <t>Glass</t>
  </si>
  <si>
    <t>Silicone, D &gt; 1 g/cm4</t>
  </si>
  <si>
    <t>Polyamide</t>
  </si>
  <si>
    <t>functional polyolefins</t>
  </si>
  <si>
    <t>metallised and light blocking barriers</t>
  </si>
  <si>
    <t>nonexistent</t>
  </si>
  <si>
    <t>„Rinse-off“-Kosmetikprodukte: Berechnung Kriterium 4 (c) und 4 (d)</t>
  </si>
  <si>
    <t>rinse-off cosmetic products: Calculation criteria 4 (c) and 4 (d)</t>
  </si>
  <si>
    <t>x</t>
  </si>
  <si>
    <t>Nicht-Tensid aus Palm/Palmkernöl</t>
  </si>
  <si>
    <t>Enthält Palm/Palmkernöl</t>
  </si>
  <si>
    <t>non-surfactant from palm/palm kernel oil</t>
  </si>
  <si>
    <t xml:space="preserve">Surfactant not from palm/palm kernel oil </t>
  </si>
  <si>
    <t>Surfactant from palm/palm kernel oil</t>
  </si>
  <si>
    <t>Amount 
of palm/palm kernel oil
(in  t) (Book&amp;Claim)</t>
  </si>
  <si>
    <t>Menge 
an Palm/Palmkernöl
(in  t) (Book&amp;Claim)</t>
  </si>
  <si>
    <t>Inhaltsstoff 3)</t>
  </si>
  <si>
    <t>3) angezeigt werden nur Inhaltsstoffe, die Palm/Palmkernöl enthalten</t>
  </si>
  <si>
    <t>Palm/Palmkernöl-Anteil (in %)</t>
  </si>
  <si>
    <t>Proportion palm/pamkernel oil (in %)</t>
  </si>
  <si>
    <t>Lieferscheine/Rechnungen (segregiert oder MB)</t>
  </si>
  <si>
    <t>Delivery notes/Invoices (segregated or MB)</t>
  </si>
  <si>
    <t>(=Declaration Manufacturer of the product)</t>
  </si>
  <si>
    <t>(=Erklärung Hersteller des Produkts)</t>
  </si>
  <si>
    <t>Vertragsnummer:</t>
  </si>
  <si>
    <t>Contract number:</t>
  </si>
  <si>
    <t>Zeichennehmer:</t>
  </si>
  <si>
    <t>am Gesamt-Tensid-System</t>
  </si>
  <si>
    <t>(in the total carbon in the surfactant system)</t>
  </si>
  <si>
    <t>regenerativer Kohlenstoffanteil (in %)</t>
  </si>
  <si>
    <t>regenerative carbon content of the total carbon (in %)</t>
  </si>
  <si>
    <t>Minimaler Wert</t>
  </si>
  <si>
    <t>minimum value</t>
  </si>
  <si>
    <t>oder am Rohstoff
(in  t) (segregiert/Mass-Balance)</t>
  </si>
  <si>
    <t>or of raw material
(in  t) (segregated/Mass-Balance)</t>
  </si>
  <si>
    <t>im Vorprodukt enthalten</t>
  </si>
  <si>
    <t>contained in primary product</t>
  </si>
  <si>
    <t>(please choose)</t>
  </si>
  <si>
    <t>3) angezeigt werden nur Tenside</t>
  </si>
  <si>
    <t>3) Only surfactants are visible</t>
  </si>
  <si>
    <t>Version</t>
  </si>
  <si>
    <t>Release</t>
  </si>
  <si>
    <t>Changes</t>
  </si>
  <si>
    <t>Rezeptureingang</t>
  </si>
  <si>
    <t xml:space="preserve">Bemerkungen: </t>
  </si>
  <si>
    <t xml:space="preserve">Kontrolle RAL </t>
  </si>
  <si>
    <t>ggf. zurück an Antragsteller</t>
  </si>
  <si>
    <t>ggf. Eingang geänderte Rezeptur</t>
  </si>
  <si>
    <t xml:space="preserve">ggf. Kontrolle RAL </t>
  </si>
  <si>
    <t>Weiterleitung UBA</t>
  </si>
  <si>
    <t>Zurück vom UBA</t>
  </si>
  <si>
    <t>3) Automatisch werden alle Inhaltstoffe übernommen.</t>
  </si>
  <si>
    <t>Formulierung des Waschmittels (Zusammensetzung aus Vorprodukten)</t>
  </si>
  <si>
    <t>Formulation of the laundry detergent (composition of primary products)</t>
  </si>
  <si>
    <t>Vollwaschmittel, Buntwaschmittel</t>
  </si>
  <si>
    <t>Feinwaschmittel</t>
  </si>
  <si>
    <t>Fleckenentferner</t>
  </si>
  <si>
    <t>Produktform</t>
  </si>
  <si>
    <t>fest (Pulver)</t>
  </si>
  <si>
    <t>flüssig (inkl. Gel)</t>
  </si>
  <si>
    <t>Produktform:</t>
  </si>
  <si>
    <t>Stoff</t>
  </si>
  <si>
    <t>Enzym</t>
  </si>
  <si>
    <t>Enzyme</t>
  </si>
  <si>
    <t>Bleichmittel</t>
  </si>
  <si>
    <t>Bleach</t>
  </si>
  <si>
    <t>Bleach activator</t>
  </si>
  <si>
    <t>Bleichkatalysator</t>
  </si>
  <si>
    <t>Dosis</t>
  </si>
  <si>
    <t>dosage</t>
  </si>
  <si>
    <t>(in g/kg Wäsche)</t>
  </si>
  <si>
    <t>(in g/kg laundry)</t>
  </si>
  <si>
    <t>Organic substance not readily biodegradable</t>
  </si>
  <si>
    <t>Organic substance anaerobically non-biodegradable</t>
  </si>
  <si>
    <t>Organischer Inhaltsstoff ohne leichte aerobe Abbaubarkeit</t>
  </si>
  <si>
    <t>Organischer Inhaltsstoff ohne anaerobe Abbaubarkeit</t>
  </si>
  <si>
    <t>solid (powder)</t>
  </si>
  <si>
    <t>liquid (incl. gel)</t>
  </si>
  <si>
    <t>Fest</t>
  </si>
  <si>
    <t>Flüssig</t>
  </si>
  <si>
    <t>Bezugsdosierung (in g/kg oder ml/kg Wäsche):</t>
  </si>
  <si>
    <t>=( Wi + Ui ) /
 ( Di x ri )</t>
  </si>
  <si>
    <t>Formulierung des Waschmittels (Inhaltsstoffe)</t>
  </si>
  <si>
    <t>Formulation of the laundry detergent (ingoing substances)</t>
  </si>
  <si>
    <t>Waschmittel: DID-Nr aller Inhaltsstoffe bzw. Werte nach Teil B der DID-Liste</t>
  </si>
  <si>
    <t xml:space="preserve">Laundry detergent: DID-no of all ingoing substances resp. values acc. Part B </t>
  </si>
  <si>
    <t>Waschmittel: Berechnung zu Kriterium 3.3</t>
  </si>
  <si>
    <t>Waschmittel:  Berechnung zu Kriterium 3.2</t>
  </si>
  <si>
    <t>Laundry detergent: Calculation for criteria 3.3</t>
  </si>
  <si>
    <t>Laundry detergent: Calculation for criteria 3.2</t>
  </si>
  <si>
    <t>Beschreibung der Verpackung:</t>
  </si>
  <si>
    <t>Anzahl produzierter/verkaufter 
Einheiten (Primärverpackungen)</t>
  </si>
  <si>
    <t>Amount produced/sold 
units (primary packaging):</t>
  </si>
  <si>
    <t>Teil (i) der Primärverpackung 
(bitte Teil benennen)</t>
  </si>
  <si>
    <t>Part (i) of the primary packaging 
(please specify part)</t>
  </si>
  <si>
    <t>Gewicht des
Teils (i)
in g (Wi)</t>
  </si>
  <si>
    <t>Weight of 
this part (i)
in g (Wi)</t>
  </si>
  <si>
    <t>Wieder-
verwertungs-
zahl (ri)</t>
  </si>
  <si>
    <t>Recycling
figure (ri)</t>
  </si>
  <si>
    <t>(Di)</t>
  </si>
  <si>
    <t>Erstverpackung</t>
  </si>
  <si>
    <t>Packaging parent pack</t>
  </si>
  <si>
    <t>Packaging refill pack</t>
  </si>
  <si>
    <t>=GNV</t>
  </si>
  <si>
    <t>=WUR</t>
  </si>
  <si>
    <t>Packungsgröße 1</t>
  </si>
  <si>
    <t>packaging size 1</t>
  </si>
  <si>
    <t>Packungsgröße 2</t>
  </si>
  <si>
    <t>packaging size 2</t>
  </si>
  <si>
    <t>Packungsgröße 3</t>
  </si>
  <si>
    <t>packaging size 3</t>
  </si>
  <si>
    <t>Packungsgröße 4</t>
  </si>
  <si>
    <t>packaging size 4</t>
  </si>
  <si>
    <t>Maximaler Wert</t>
  </si>
  <si>
    <t>Pulver</t>
  </si>
  <si>
    <t>Andere</t>
  </si>
  <si>
    <t>Powder</t>
  </si>
  <si>
    <t>Höchste empfohlenen Dosierung
(für feste in g/kg, für flüssige in ml/kg Wäsche)</t>
  </si>
  <si>
    <t>Highest recommended dosage 
(in g/kg for solids, in ml/kg laundry for liquids)</t>
  </si>
  <si>
    <t xml:space="preserve"> für weiches Wasser (0 - 6° dH)</t>
  </si>
  <si>
    <t>for soft water  (0 - 6° dH)</t>
  </si>
  <si>
    <t xml:space="preserve"> für mittleres Wasser (7 - 13° dH)</t>
  </si>
  <si>
    <t>for medium water  (7 - 13° dH)</t>
  </si>
  <si>
    <t xml:space="preserve"> für hartes Wasser &gt;14° dH)</t>
  </si>
  <si>
    <t>for hard water  (&gt;14° dH)</t>
  </si>
  <si>
    <t>Verschmut-
zungsgrad:
Leicht</t>
  </si>
  <si>
    <t>Degree of soiling:
Light</t>
  </si>
  <si>
    <t>Verschmut-
zungsgrad:
Mittel</t>
  </si>
  <si>
    <t>Degree of soiling:
Medium</t>
  </si>
  <si>
    <t>Verschmut-
zungsgrad:
Schwer</t>
  </si>
  <si>
    <t>Degree of soiling:
Heavy</t>
  </si>
  <si>
    <t>Empfohlene Dosierungen für Füllmenge Wäsche (in kg)</t>
  </si>
  <si>
    <t>Empfohlene Dosierungen lt. Label für unterscheidliche Wasserhärten</t>
  </si>
  <si>
    <t>Höchstwert für Dosierung</t>
  </si>
  <si>
    <t>Bezugsdosierung (in g/kg Wäsche):</t>
  </si>
  <si>
    <t>Kriterium 3.14.2 eingehalten?</t>
  </si>
  <si>
    <t xml:space="preserve">Waschmittel: Eingaben und Berechnungen zur Dosierung </t>
  </si>
  <si>
    <t>Laundry detergent: Input and Calculation for Dosage</t>
  </si>
  <si>
    <t>Heavy-duty laundry detergent, Colour-safe detergent</t>
  </si>
  <si>
    <t>Stain remover</t>
  </si>
  <si>
    <t>Form of product:</t>
  </si>
  <si>
    <t>Reference dosage (in g/kg or ml/kg laundry)</t>
  </si>
  <si>
    <t>Reference dosage (in g/kg laundry)</t>
  </si>
  <si>
    <t>(für feste Produkte in g, für flüssige Produkte in ml angeben
Bei Dosierungen für Vor- und Hauptwaschgang ist die Gesamtdosierung anzugeben )</t>
  </si>
  <si>
    <t>(for solid products in g, for liquid products in ml; total dosage (prewash + wash) if applicable)</t>
  </si>
  <si>
    <t>Recommended dosage for laundry load</t>
  </si>
  <si>
    <t>Recommended dosage for different water hardness</t>
  </si>
  <si>
    <t>Maximal value for dosage</t>
  </si>
  <si>
    <t>Criteria 3.14.2 fulfilled?</t>
  </si>
  <si>
    <t>Anlage 2 zur RAL-UZ202 (Ausgabe Januar 2016) V2</t>
  </si>
  <si>
    <t>annex 2 for RAL-UZ202 (Edition January 2016) V2</t>
  </si>
  <si>
    <t>Ausnahme für anNBO</t>
  </si>
  <si>
    <t>Organischer Stoff</t>
  </si>
  <si>
    <t>organic substance</t>
  </si>
  <si>
    <t>keine</t>
  </si>
  <si>
    <t>no</t>
  </si>
  <si>
    <t>Ausnahme anNBO</t>
  </si>
  <si>
    <t>Elementarer 
Phosphor</t>
  </si>
  <si>
    <t>elemental phosphorus</t>
  </si>
  <si>
    <t>(in % vom Molekular-
gewicht des
Inhaltsstoff)</t>
  </si>
  <si>
    <t>(in % of the substance's 
molecular weight)</t>
  </si>
  <si>
    <t>Contains palm/palm kernel oil</t>
  </si>
  <si>
    <t>Mikroorganismen</t>
  </si>
  <si>
    <t>Microorganisms</t>
  </si>
  <si>
    <t>Liquid</t>
  </si>
  <si>
    <t>Solid</t>
  </si>
  <si>
    <t>gelöst</t>
  </si>
  <si>
    <t>solved</t>
  </si>
  <si>
    <t>Fest (dispergiert)</t>
  </si>
  <si>
    <t>Solid (dispersed)</t>
  </si>
  <si>
    <t>(nano)</t>
  </si>
  <si>
    <t>420</t>
  </si>
  <si>
    <t>Wenn H-Satz beschränkt: 
Ausnahme weil:</t>
  </si>
  <si>
    <t>If H-phrase restricted:
exemption because</t>
  </si>
  <si>
    <t>Ausnahme für Substanz</t>
  </si>
  <si>
    <t>Derogated substance</t>
  </si>
  <si>
    <t>Ausnahme</t>
  </si>
  <si>
    <t>Below measurement 
threshold</t>
  </si>
  <si>
    <t>VOC
(bp &lt; 150°C)</t>
  </si>
  <si>
    <t>Detergents Ingredients Database, version 2016</t>
  </si>
  <si>
    <t xml:space="preserve">                                         </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</si>
  <si>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</si>
  <si>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</si>
  <si>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</si>
  <si>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</si>
  <si>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</si>
  <si>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</si>
  <si>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</si>
  <si>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</si>
  <si>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</si>
  <si>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</si>
  <si>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</si>
  <si>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</si>
  <si>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</si>
  <si>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</si>
  <si>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</si>
  <si>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</si>
  <si>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</si>
  <si>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</si>
  <si>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</si>
  <si>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</si>
  <si>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</si>
  <si>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</si>
  <si>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C14-15 Alcohol, predominately linear, ≤ 2,5 EO</t>
  </si>
  <si>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</si>
  <si>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</si>
  <si>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</si>
  <si>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</si>
  <si>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</si>
  <si>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</si>
  <si>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</si>
  <si>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</si>
  <si>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</si>
  <si>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</si>
  <si>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</si>
  <si>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</si>
  <si>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</si>
  <si>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</si>
  <si>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</si>
  <si>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</si>
  <si>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</si>
  <si>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</si>
  <si>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</si>
  <si>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</si>
  <si>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</si>
  <si>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</si>
  <si>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</si>
  <si>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</si>
  <si>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</si>
  <si>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</si>
  <si>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</si>
  <si>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 xml:space="preserve">Zeolite                   (Insoluble Inorganic)                       </t>
  </si>
  <si>
    <t xml:space="preserve">Fatty acids, C≥14-C≤22 (even numbered) (Remark: soap is listed in DID 2025)    </t>
  </si>
  <si>
    <t>Fatty acid, C≥6-C≤12 methyl ester</t>
  </si>
  <si>
    <t>Cetyl Alcohol and Cetearyl Alcohol</t>
  </si>
  <si>
    <t xml:space="preserve">Calcium- and sodium chloride </t>
  </si>
  <si>
    <t>Silicon dioxide, quartz          (Insoluble inorganic)</t>
  </si>
  <si>
    <t>Xylene sulphonate</t>
  </si>
  <si>
    <t>Proteins except enzymes</t>
  </si>
  <si>
    <r>
      <t xml:space="preserve">Iminodisuccinat </t>
    </r>
  </si>
  <si>
    <t>Methanesulphonic acid</t>
  </si>
  <si>
    <t>Aloe vera</t>
  </si>
  <si>
    <t>Panthenol</t>
  </si>
  <si>
    <t>Caprylyl glycol</t>
  </si>
  <si>
    <t>Glycerides, C14-18 and C16-18-unsatd. mono-, di- and tri-</t>
  </si>
  <si>
    <t>pH (Konzentrat)</t>
  </si>
  <si>
    <t>Kennzeichnung H-Sätze</t>
  </si>
  <si>
    <t>Für Kinder</t>
  </si>
  <si>
    <t>Vergabe (Auswahl)</t>
  </si>
  <si>
    <t>Produktart (Nach Vergabe)</t>
  </si>
  <si>
    <t>COMMISSION DECISION</t>
  </si>
  <si>
    <t>BESCHLUSS DER KOMMISSION</t>
  </si>
  <si>
    <t>Rinse aid</t>
  </si>
  <si>
    <t>Stain remover (pre-treatment only)</t>
  </si>
  <si>
    <t>Beschluss</t>
  </si>
  <si>
    <t>(2017/xxx/EU) I&amp;I Dishwasher detergents</t>
  </si>
  <si>
    <t>(2017/xxx/EU) I&amp;I Laundry detergents</t>
  </si>
  <si>
    <t xml:space="preserve">Multi-component system Part 1 </t>
  </si>
  <si>
    <t>Multi-component system Part 2</t>
  </si>
  <si>
    <t>Multi-component system Part 3</t>
  </si>
  <si>
    <t>Multi-component system Part 4</t>
  </si>
  <si>
    <t>Multi-component system Part 5</t>
  </si>
  <si>
    <t>Multi-component system Part 6</t>
  </si>
  <si>
    <t>Multi-component system Part 7</t>
  </si>
  <si>
    <t>Multi-component system Part 8</t>
  </si>
  <si>
    <t xml:space="preserve">Mehrkomponentensystem Teil 1 </t>
  </si>
  <si>
    <t>Mehrkomponentensystem Teil 2</t>
  </si>
  <si>
    <t>Mehrkomponentensystem Teil 3</t>
  </si>
  <si>
    <t>Mehrkomponentensystem Teil 4</t>
  </si>
  <si>
    <t>Mehrkomponentensystem Teil 5</t>
  </si>
  <si>
    <t>Mehrkomponentensystem Teil 6</t>
  </si>
  <si>
    <t>Mehrkomponentensystem Teil 7</t>
  </si>
  <si>
    <t>Mehrkomponentensystem Teil 8</t>
  </si>
  <si>
    <t>Produkt</t>
  </si>
  <si>
    <t>Bitte bei Mehrkomponententeil Funktion spezifizieren:</t>
  </si>
  <si>
    <t>All-purpose cleaner, RTU</t>
  </si>
  <si>
    <t>All-purpose cleaner, undiluted</t>
  </si>
  <si>
    <t>Kitchen cleaner, RTU</t>
  </si>
  <si>
    <t xml:space="preserve">Kitchen cleaner, undiluted </t>
  </si>
  <si>
    <t>Window cleaner, RTU</t>
  </si>
  <si>
    <t>Window cleaner, undiluted</t>
  </si>
  <si>
    <t>Sanitary cleaner, RTU</t>
  </si>
  <si>
    <t xml:space="preserve">Sanitary cleaner, undiluted </t>
  </si>
  <si>
    <t>pH (gebrauchsfertig)</t>
  </si>
  <si>
    <t>pH (concentrate)</t>
  </si>
  <si>
    <t>pH (RTU)</t>
  </si>
  <si>
    <t>for private use</t>
  </si>
  <si>
    <t>for professional use</t>
  </si>
  <si>
    <t>for private and professional use</t>
  </si>
  <si>
    <t>für privaten Gebrauch</t>
  </si>
  <si>
    <t>für professionellen Gebrauch</t>
  </si>
  <si>
    <t>für pivaten und professionellen Gebrauch</t>
  </si>
  <si>
    <t>Kennzeichnung (H-Sätze)</t>
  </si>
  <si>
    <t>Dichte Konzentrat (falls flüssig/Gel):</t>
  </si>
  <si>
    <t>spec. grav. concentrate (if liquid/gel):</t>
  </si>
  <si>
    <t>Privat</t>
  </si>
  <si>
    <t>Anwendung</t>
  </si>
  <si>
    <t>Application</t>
  </si>
  <si>
    <t>Licence Holder:</t>
  </si>
  <si>
    <t>Enthält Konservierungsmittel</t>
  </si>
  <si>
    <t>Enthält Duftstoffe</t>
  </si>
  <si>
    <t>Enthält Farbstoffe</t>
  </si>
  <si>
    <t>Enthält Mikroorganismen</t>
  </si>
  <si>
    <t>Enthält Enzyme</t>
  </si>
  <si>
    <t>Enthält Palm/Palmkernöl oder deren Derivate</t>
  </si>
  <si>
    <t>Contains palm/palm kernel oil or derivates</t>
  </si>
  <si>
    <t>Contains colouring agents</t>
  </si>
  <si>
    <t>Contains preservatives</t>
  </si>
  <si>
    <t>Contains fragrances</t>
  </si>
  <si>
    <t>Contains micro-organisms</t>
  </si>
  <si>
    <t>Einheit Referenzdosierung (Auswahl)</t>
  </si>
  <si>
    <t>Einheit</t>
  </si>
  <si>
    <t>HDD: g/l Spülwasser</t>
  </si>
  <si>
    <t>HDD: ml/l Spülwasser</t>
  </si>
  <si>
    <t>HSC: Gebrauchsfertiges Produkt (RTU)</t>
  </si>
  <si>
    <t>HSC: g/l Reinigungslösung</t>
  </si>
  <si>
    <t>Allzweckreiniger, unverdünnt</t>
  </si>
  <si>
    <t>Allzweckreiniger, gebrauchsfertig (RTU)</t>
  </si>
  <si>
    <t xml:space="preserve">Küchenreiniger, unverdünnt </t>
  </si>
  <si>
    <t>Fensterreiniger, unverdünnt</t>
  </si>
  <si>
    <t xml:space="preserve">Sanitärreiniger, unverdünnt </t>
  </si>
  <si>
    <t>Küchenreiniger, gebrauchsfertig (RTU)</t>
  </si>
  <si>
    <t>Fensterreiniger, gebrauchsfertig (RTU)</t>
  </si>
  <si>
    <t>Sanitärreiniger, gebrauchsfertig (RTU)</t>
  </si>
  <si>
    <t>Fleckenentferner (ausschließlich zur Vorbehandlung)</t>
  </si>
  <si>
    <t>(2017/xxx/EU) I&amp;I Maschinengeschirrspülmittel</t>
  </si>
  <si>
    <t xml:space="preserve">(2017/xxx/EU) I&amp;I Waschmittel </t>
  </si>
  <si>
    <t>Klarspüler</t>
  </si>
  <si>
    <t>LD: g/kg Wäsche</t>
  </si>
  <si>
    <t>LD: ml/kg Wäsche</t>
  </si>
  <si>
    <t>DD: g/Spülgang</t>
  </si>
  <si>
    <t>DD: ml/Spülgang</t>
  </si>
  <si>
    <t>HDD: g/l washing water</t>
  </si>
  <si>
    <t>HDD: ml/l washing water</t>
  </si>
  <si>
    <t>DD: g/wash</t>
  </si>
  <si>
    <t>DD: ml/wash</t>
  </si>
  <si>
    <t>LD: g/kg Laundry</t>
  </si>
  <si>
    <t>LD: ml/kg Laundry</t>
  </si>
  <si>
    <t>HSC: RTU product</t>
  </si>
  <si>
    <t>HSC: g/l cleaning solution</t>
  </si>
  <si>
    <t>Hersteller/Lieferant</t>
  </si>
  <si>
    <t>Manufacturer/retailer</t>
  </si>
  <si>
    <t>Handgeschirrspülmittel</t>
  </si>
  <si>
    <t>Hand dishwashing detergent</t>
  </si>
  <si>
    <t>Unterhalb der 
Bestimmungsgrenze</t>
  </si>
  <si>
    <t>Please specify function if part of a Multi-component system:</t>
  </si>
  <si>
    <t>(in g/...)</t>
  </si>
  <si>
    <t>(in l/...)</t>
  </si>
  <si>
    <t>Tensid (H400/H412) ohne anaerobe Abbaubarkeit</t>
  </si>
  <si>
    <t xml:space="preserve">Surfactant (H400/H412) anaerobically non-biodegradable </t>
  </si>
  <si>
    <t>(für Tenside)</t>
  </si>
  <si>
    <t>mit H400</t>
  </si>
  <si>
    <t>mit H412</t>
  </si>
  <si>
    <t>mit H400 oder 412</t>
  </si>
  <si>
    <t>VOC</t>
  </si>
  <si>
    <t>KVV</t>
  </si>
  <si>
    <t>aNBO</t>
  </si>
  <si>
    <t>anNBO</t>
  </si>
  <si>
    <t>=VOC</t>
  </si>
  <si>
    <t>=P</t>
  </si>
  <si>
    <t>no limit</t>
  </si>
  <si>
    <t>Monofunktionales Geschirrspülmittel</t>
  </si>
  <si>
    <t>Multifunktionales Geschirrspülmittel</t>
  </si>
  <si>
    <t>Single-function dishwasher detergents</t>
  </si>
  <si>
    <t>Multi-function dishwasher detergents</t>
  </si>
  <si>
    <t>Voll- und Buntwaschmittel (Pulver/Tabletten)</t>
  </si>
  <si>
    <t>Feinwaschmittel (Pulver/Tabletten)</t>
  </si>
  <si>
    <t>Voll- und Buntwaschmittel (Flüssigkeit/Kapsel/Gel)</t>
  </si>
  <si>
    <t>Feinwaschmittel (Flüssigkeit/Kapsel/Gel)</t>
  </si>
  <si>
    <t>Heavy-duty detergent, colour-safe detergent (powder/tablets)</t>
  </si>
  <si>
    <t>Light-duty detergent  (powder/tablets)</t>
  </si>
  <si>
    <t>Heavy-duty detergent, colour-safe detergent (liquid, capsules, gel)</t>
  </si>
  <si>
    <t>Light-duty detergent (liquid, capsules, gel)</t>
  </si>
  <si>
    <t>314</t>
  </si>
  <si>
    <t>H314 restricted only for HDD</t>
  </si>
  <si>
    <t>H314 nur für HDD unzulässig</t>
  </si>
  <si>
    <t>Referenzdosierung
(in g/Einheit lt. Beschluss)</t>
  </si>
  <si>
    <t>Reference Dosage
(in g/unit as in decision)</t>
  </si>
  <si>
    <t>HSC: ml/l Reinigungslösung</t>
  </si>
  <si>
    <t>HSC: ml/l cleaning solution</t>
  </si>
  <si>
    <t>GNV</t>
  </si>
  <si>
    <t>Referenzdosierung:</t>
  </si>
  <si>
    <t>reference dosage:</t>
  </si>
  <si>
    <t>Wiederverwertes Material der Primärverpackung:</t>
  </si>
  <si>
    <t>Recycled materials in primary packaging:</t>
  </si>
  <si>
    <t>Packungsgröße 5</t>
  </si>
  <si>
    <t>packaging size 5</t>
  </si>
  <si>
    <t>Packungsgröße 6</t>
  </si>
  <si>
    <t>packaging size 6</t>
  </si>
  <si>
    <t>Packungsgröße 7</t>
  </si>
  <si>
    <t>packaging size 7</t>
  </si>
  <si>
    <t>Packungsgröße 8</t>
  </si>
  <si>
    <t>packaging size 8</t>
  </si>
  <si>
    <t>Höchstwert Referenzdosierung</t>
  </si>
  <si>
    <t xml:space="preserve">Höchstwert der Referenzdosierung: </t>
  </si>
  <si>
    <t>Höchstwert der Referenzdosierung eingehalten:</t>
  </si>
  <si>
    <t>Für HSC/gebrauchsfertiges 
Produkt (RTU) 1000 und 
für Klarspüler 3 eingeben.</t>
  </si>
  <si>
    <t>Zeichenanwender / Produktname (Land):</t>
  </si>
  <si>
    <t>Distributor / Product name (Country):</t>
  </si>
  <si>
    <t>Ausnahmen</t>
  </si>
  <si>
    <t>Only for HSC (RTU): trigger spray</t>
  </si>
  <si>
    <t>Only for HSC: Undiluted product for the sole purpose of refilling trigger sprays</t>
  </si>
  <si>
    <t>Only for LD: Liquid/gel laundry detergents (in tablets or capsules)</t>
  </si>
  <si>
    <t>Nur für HSC (RTU): Triggerflasche</t>
  </si>
  <si>
    <t>Nur für HSC: unverdünntes Produkt für das Nachfüllen von Triggersprays</t>
  </si>
  <si>
    <t>Nur für LD: Waschmittel als Flüssigkeit/Gel (in Tabletten/Kapseln)</t>
  </si>
  <si>
    <t>Ausnahmen für GNV? (Auswahl)</t>
  </si>
  <si>
    <t>Packaging size 1 to 8</t>
  </si>
  <si>
    <t>Packungsgröße 1 bis 8</t>
  </si>
  <si>
    <t>Limit of reference dosage fulfilled:</t>
  </si>
  <si>
    <t>Limit of reference dosage:</t>
  </si>
  <si>
    <t>Template</t>
  </si>
  <si>
    <t>Template May 2017</t>
  </si>
  <si>
    <t>Verpackungsbestandteil
(Ausgenommen: Pumpmechanismen auch von Sprays)</t>
  </si>
  <si>
    <t>Material Etikett/Manschette</t>
  </si>
  <si>
    <t>Any other plastic materials for sleeves/labels with D &gt;1 g/cm3</t>
  </si>
  <si>
    <t>sonstige Kunststoffmaterialien mit D &gt;1 g/cm3</t>
  </si>
  <si>
    <t>Silicone, D &lt; 1 g/cm4</t>
  </si>
  <si>
    <t>Silikon, D &lt; 1 g/cm3</t>
  </si>
  <si>
    <t>Metall</t>
  </si>
  <si>
    <t>Volumen/Gewicht des Produkts in der 
Primärverpackung (bei Referenzdosierung
in ml in l, bei Referenzdosierung in g in kg):</t>
  </si>
  <si>
    <t>Volume of the product in the primary
packaging (if reference dosage in ml 
in l, if reference dosage in g in kg):</t>
  </si>
  <si>
    <t xml:space="preserve">davon Neumaterial
in g (Ui) </t>
  </si>
  <si>
    <t>thereof virgin
material in g (Ui)</t>
  </si>
  <si>
    <t>Part of the packaging
(excempted: Pump mechanisms (including in sprays)</t>
  </si>
  <si>
    <t xml:space="preserve">
Fill in 1000 for HSC/RTU product
 and 3 for Rinse-aid.</t>
  </si>
  <si>
    <t>exemption for anNBO</t>
  </si>
  <si>
    <t>1): Sofern eine DID-Nummer eingegeben wird, werden die Spalten M und N (AW/TW) sowie O und P (Abbaubarkeiten) automatisch gefüllt. Sofern die Substanz nicht in der DID-Liste enthalten ist, "not included" auswählen, die AW/TW-Werte bzw. die Abbaubarkeiten bestimmen und in den Spalten H bis K eingeben.</t>
  </si>
  <si>
    <t>1): If a DID-no will be selected the columns M and N (DF/TF) as well as O and P (biodegrability) filled automatically. If the substance is not in the DID-Liste select "not included" and fill-in the values for DF/TF and the biodegrability in the columns H to K.</t>
  </si>
  <si>
    <t>Für HSC die Anwendung (z.B. 
Badreiniger, saurer WC Reiniger, 
Fußbodenreiniger) beschreiben:</t>
  </si>
  <si>
    <t>Specify for HSC the application 
(e.g. bathroom cleaner, acid toilet
cleaner, floor cleaner):</t>
  </si>
  <si>
    <t>Formel Blatt "Results-2" in Spalte I "P" durch "Q" ersetzt</t>
  </si>
  <si>
    <t>Höchstdosierung für DD auf Blatt "Product" ergänzt, Schriftänderung auf rot für BCF/log Kow wenn überschritten</t>
  </si>
  <si>
    <t>Weitere DID-Nr in Rot, Wasser in Zelle B12 in Formulation, KVV-Zahlen ohne Leerzeichen in Auswahldaten, Aktivgehalt max 200 wg. Reaktion, Form im Produkt in allen Zellen</t>
  </si>
  <si>
    <t>Template June 2017</t>
  </si>
  <si>
    <t>=anNBO (Tensid H400/H412)</t>
  </si>
  <si>
    <t>=anNBO (surf. H400/H412)</t>
  </si>
  <si>
    <t>Korrektur in Formel bei Packaging size 2-4 und 6-8 (stand überall C$13) , diverse kleine Änderungen</t>
  </si>
  <si>
    <t>Biologisch leicht abbaubar nach OECD Richtlinien</t>
  </si>
  <si>
    <t>Biologisch inherent abbaubar nach OECD Richtlinien</t>
  </si>
  <si>
    <t>Inherently biodegradable according to OECD guidelines.</t>
  </si>
  <si>
    <t>(EU) 2017/1218 Waschmittel</t>
  </si>
  <si>
    <t>(EU) 2017/1216 Maschinengeschirrspülmittel</t>
  </si>
  <si>
    <t>(EU) 2017/1214) Handgeschirrspülmittel</t>
  </si>
  <si>
    <t>(EU) 2017/1217) Reinigungsmittel für  harte Oberflächen</t>
  </si>
  <si>
    <t>(EU) 2017/1217) Hard surface cleaning products</t>
  </si>
  <si>
    <t>(EU) 2017/1214) Hand dishwashing detergents</t>
  </si>
  <si>
    <t>(EU) 2017/1218) Laundry detergents</t>
  </si>
  <si>
    <t>(EU) 2017/1216) Dishwasher detergents</t>
  </si>
  <si>
    <t>05/2017 (test)</t>
  </si>
  <si>
    <t>ohne</t>
  </si>
  <si>
    <t>Testversion 1</t>
  </si>
  <si>
    <t>Testversion 2</t>
  </si>
  <si>
    <t>Testversion 3</t>
  </si>
  <si>
    <t>Testversion 4</t>
  </si>
  <si>
    <t>Testversion 5</t>
  </si>
  <si>
    <t xml:space="preserve">Version 1 </t>
  </si>
  <si>
    <t>07/2017</t>
  </si>
  <si>
    <t>Einfügen der Beschlüsse</t>
  </si>
  <si>
    <t>Contains enzymes</t>
  </si>
  <si>
    <t>Unit reference dosage (Select)</t>
  </si>
  <si>
    <t>Template July 2017</t>
  </si>
  <si>
    <t>Version 2</t>
  </si>
  <si>
    <t>Template August 2017</t>
  </si>
  <si>
    <t>08/2017</t>
  </si>
  <si>
    <t xml:space="preserve">Änderung der Einheit Blatt Results-1 Zellen H11 bis K11 </t>
  </si>
  <si>
    <t>Version 3</t>
  </si>
  <si>
    <t>Template Nov 2017</t>
  </si>
  <si>
    <t>Änderung der DID-list 2016 auf final</t>
  </si>
  <si>
    <t>Exception for WUR? (Select)</t>
  </si>
  <si>
    <t>Non-ionic surfactants (****)</t>
  </si>
  <si>
    <r>
      <t>C8-11 Alcohol, predominately linear, ≤</t>
    </r>
    <r>
      <rPr>
        <sz val="8.1"/>
        <color rgb="FF00B050"/>
        <rFont val="Arial"/>
        <family val="2"/>
      </rPr>
      <t>2,5 EO</t>
    </r>
  </si>
  <si>
    <r>
      <t>C8-11 Alcohol, predominately linear, &gt;2,5 - ≤10</t>
    </r>
    <r>
      <rPr>
        <sz val="8.1"/>
        <color rgb="FF00B050"/>
        <rFont val="Arial"/>
        <family val="2"/>
      </rPr>
      <t xml:space="preserve"> EO</t>
    </r>
  </si>
  <si>
    <r>
      <t>C8-11 Alcohol, predominately linear, &gt;10</t>
    </r>
    <r>
      <rPr>
        <sz val="8.1"/>
        <color rgb="FF00B050"/>
        <rFont val="Arial"/>
        <family val="2"/>
      </rPr>
      <t xml:space="preserve"> EO</t>
    </r>
  </si>
  <si>
    <r>
      <t>C9-11 Alcohol, branched, ≤</t>
    </r>
    <r>
      <rPr>
        <sz val="8.1"/>
        <color rgb="FF00B050"/>
        <rFont val="Arial"/>
        <family val="2"/>
      </rPr>
      <t>2,5 EO</t>
    </r>
  </si>
  <si>
    <r>
      <t>C14-15 Alcohol, predominately linear, &gt;2,5 - ≤10</t>
    </r>
    <r>
      <rPr>
        <sz val="8.1"/>
        <color rgb="FF00B050"/>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</si>
  <si>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</si>
  <si>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</si>
  <si>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</si>
  <si>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</si>
  <si>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</si>
  <si>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MOSÓ- ÉS TISZTÍTÓSZEREK</t>
  </si>
  <si>
    <t>1. Pályázati adatlap</t>
  </si>
  <si>
    <t xml:space="preserve">A pályázó vállalat teljes neve: </t>
  </si>
  <si>
    <t>Postacíme:</t>
  </si>
  <si>
    <t>Adószáma:</t>
  </si>
  <si>
    <t>Bankszámlaszáma:</t>
  </si>
  <si>
    <t>Központi telefonszám(ok):</t>
  </si>
  <si>
    <t>Honlap címe:</t>
  </si>
  <si>
    <t>Felelős vezető neve:</t>
  </si>
  <si>
    <t>Beosztása:</t>
  </si>
  <si>
    <t>Telefonszáma:</t>
  </si>
  <si>
    <t>E-mail címe:</t>
  </si>
  <si>
    <t>Kapcsolattartó személy neve:</t>
  </si>
  <si>
    <t>'  + __ __ / ___ ____</t>
  </si>
  <si>
    <t>Milyen minőségben pályázik az EU-ökocímkére?</t>
  </si>
  <si>
    <t>Gyártóként</t>
  </si>
  <si>
    <t>Importőrként</t>
  </si>
  <si>
    <t>Forgalmazóként (nagykereskedő)</t>
  </si>
  <si>
    <t>Forgalmazóként (kiskereskedő)</t>
  </si>
  <si>
    <t>Szolgáltatóként</t>
  </si>
  <si>
    <t>Igen</t>
  </si>
  <si>
    <t>Nem</t>
  </si>
  <si>
    <t>A termék kereskedelmi neve:</t>
  </si>
  <si>
    <t>A termék rendeltetése és specifikációja (kiszerelése)</t>
  </si>
  <si>
    <t>Termékcsoport</t>
  </si>
  <si>
    <t>Amennyiben a termék az Európai Gazdasági Térségen (EU + Izland +  Lichtenstein + Norvégia) kívülről származik, az EGT mely tagállamaiban forgalmazzák vagy fogják forgalmazni?</t>
  </si>
  <si>
    <t>Kérjük, adja meg, hogy a termék melyik országban milyen néven kerül forgalomba!</t>
  </si>
  <si>
    <t>A pályázó vállalati besorolására vonatkozó nyilatkozat</t>
  </si>
  <si>
    <t>Keltezés:</t>
  </si>
  <si>
    <t>Aláírás</t>
  </si>
  <si>
    <t>Pecsét</t>
  </si>
  <si>
    <t>kemény felületekre szánt tisztítószerek</t>
  </si>
  <si>
    <t>kézi mosogatószerek</t>
  </si>
  <si>
    <t>gépi mosogatószerek</t>
  </si>
  <si>
    <t>mosószerek</t>
  </si>
  <si>
    <t xml:space="preserve">* Igen válasz esetén csatolni kell a legfrissebb éves környezeti nyilatkozatot (EMAS), illetve az érvényes ISO 14001 tanúsítványt, a vállalat környezeti politikáját és környezeti céljait (ISO 14001). </t>
  </si>
  <si>
    <t>Kitöltött?</t>
  </si>
  <si>
    <t>FIGYELEM! A pályázó vállalati besorolására vonatkozó kérdések mindegyikére választ kell adni!</t>
  </si>
  <si>
    <t>Magyar</t>
  </si>
  <si>
    <t>Védjegyhasználó</t>
  </si>
  <si>
    <t>Szerződés száma:</t>
  </si>
  <si>
    <t>Dátum:</t>
  </si>
  <si>
    <t>Gyártó / Forgalmazó:</t>
  </si>
  <si>
    <t>Biztonsági adatlap</t>
  </si>
  <si>
    <t>Víz</t>
  </si>
  <si>
    <t>(100-t adjon ki!)</t>
  </si>
  <si>
    <t>A pályázó megjegyzései</t>
  </si>
  <si>
    <t>Forgalmazó / Termék neve (Ország):</t>
  </si>
  <si>
    <t>(Kérjük, válassza ki vagy adja meg!)</t>
  </si>
  <si>
    <t>Színezék</t>
  </si>
  <si>
    <t>Felületaktív anyag</t>
  </si>
  <si>
    <t>Kézi mosogatószer</t>
  </si>
  <si>
    <t>A BIZOTTSÁG HATÁROZATA</t>
  </si>
  <si>
    <t>Mérési küszöb alatti</t>
  </si>
  <si>
    <t>Folyékony</t>
  </si>
  <si>
    <t>Szilárd</t>
  </si>
  <si>
    <t>Teljesül-e a 3.14.2 kritérium?</t>
  </si>
  <si>
    <t>Tartósítószert tartalmaz</t>
  </si>
  <si>
    <t>Illatanyagokat tartalmaz</t>
  </si>
  <si>
    <t>Színezéket tartalmaz</t>
  </si>
  <si>
    <t>Mikroorganizmusokat tartalmaz</t>
  </si>
  <si>
    <t>Enzimeket tartalmaz</t>
  </si>
  <si>
    <t>Kiszerelési egység sorszáma, 1-től 8-ig</t>
  </si>
  <si>
    <t>A referenciaadagra vonatkozó határérték:</t>
  </si>
  <si>
    <t>Újrahasznosított anyagok aránya az elsődleges csomagolásban:</t>
  </si>
  <si>
    <t>A referenciaadagra vonatkozó határérték teljesül:</t>
  </si>
  <si>
    <t>Referenciaadag:</t>
  </si>
  <si>
    <t>A referenciaadag mértékegysége (válassza ki!)</t>
  </si>
  <si>
    <t>pH (használatra kész)</t>
  </si>
  <si>
    <t>pH (koncentrátum)</t>
  </si>
  <si>
    <t>háztartási felhasználásra</t>
  </si>
  <si>
    <t>Címkézés (H-mondatok)</t>
  </si>
  <si>
    <t>Gyermekek számára</t>
  </si>
  <si>
    <t>Díj (válassza ki!)</t>
  </si>
  <si>
    <t xml:space="preserve">Amennyiben H-mondat vonatkozik rá, kivételnek számít, mert:
</t>
  </si>
  <si>
    <t>Utántöltő csomagolás</t>
  </si>
  <si>
    <t>Eredmény</t>
  </si>
  <si>
    <t>Por</t>
  </si>
  <si>
    <t>Egyéb</t>
  </si>
  <si>
    <t>Határérték</t>
  </si>
  <si>
    <t>1. kiszerelés</t>
  </si>
  <si>
    <t>2. kiszerelés</t>
  </si>
  <si>
    <t>3. kiszerelés</t>
  </si>
  <si>
    <t>4. kiszerelés</t>
  </si>
  <si>
    <t>5. kiszerelés</t>
  </si>
  <si>
    <t>6. kiszerelés</t>
  </si>
  <si>
    <t>7. kiszerelés</t>
  </si>
  <si>
    <t>8. kiszerelés</t>
  </si>
  <si>
    <t>=THA</t>
  </si>
  <si>
    <t>Cikkszám:</t>
  </si>
  <si>
    <t>Termelt / Eladott termékek darabszáma (elsődleges csomagolásúak):</t>
  </si>
  <si>
    <t>A csomagolás leírása:</t>
  </si>
  <si>
    <t>szilárd (por)</t>
  </si>
  <si>
    <t>folyékony (beleértve a gélt is)</t>
  </si>
  <si>
    <t>Folteltávolító</t>
  </si>
  <si>
    <t>Pálmaolajat / Pálmamagolajat tartalmaz</t>
  </si>
  <si>
    <t>Üveg</t>
  </si>
  <si>
    <t>Fém</t>
  </si>
  <si>
    <t>(válassza ki)</t>
  </si>
  <si>
    <t>Termelési időszak kezdete:</t>
  </si>
  <si>
    <t>vége:</t>
  </si>
  <si>
    <t>Ellenőrzés</t>
  </si>
  <si>
    <t>A termék fajtája:</t>
  </si>
  <si>
    <t>Verziószám:</t>
  </si>
  <si>
    <t>Veszélyt jelző R-mondatok (2)</t>
  </si>
  <si>
    <t>Összesen:</t>
  </si>
  <si>
    <t>A mosószer  összetétele (mosószer összetevők szerint)</t>
  </si>
  <si>
    <t>A mosószer összetétele (hozzáadott anyagok szerint)</t>
  </si>
  <si>
    <t>Csak akkor töltse ki, ha az anyag nem szerepel a DID-listán.</t>
  </si>
  <si>
    <t>1): A DID-lista szám kiválasztásakor az L és M (LT - lebonthatósági tényező)  és TT - toxicitási tényező értéke), illetve az N és O (biológiai lebonthatóság) oszlopok megfelelő mezői automatikusan kitöltésre kerülnek. Ha az anyag nem szerepel a DID-listán, válassza a "nem szerepel" választ. Ebben az esetben az LT/TT  tényező értékét, valamint a biologiai lebonthatóságra vonatkozó választ a H - K oszlopokban adhatja meg.</t>
  </si>
  <si>
    <t>LT</t>
  </si>
  <si>
    <r>
      <t xml:space="preserve">TT </t>
    </r>
    <r>
      <rPr>
        <vertAlign val="subscript"/>
        <sz val="10"/>
        <rFont val="Arial"/>
        <family val="2"/>
      </rPr>
      <t>krónikus</t>
    </r>
  </si>
  <si>
    <t>( g/ 1 kg mosnivaló)</t>
  </si>
  <si>
    <t>=aNBO (felületaktív anyag)</t>
  </si>
  <si>
    <t>=anNBO (felületaktív H400/H412)</t>
  </si>
  <si>
    <t>=aNBO (szerves anyag)</t>
  </si>
  <si>
    <t>=anNBO (szerves anyag)</t>
  </si>
  <si>
    <t>adag</t>
  </si>
  <si>
    <t>(g/...)</t>
  </si>
  <si>
    <t>1) 1272/2008/EK rendelet az anyagok és keverékek osztályozásáról, címkézéséről és csomagolásáról, a 67/548/EGK és az 1999/45/EK irányelv módosításáról és hatályon kívül helyezéséről, valamint az 1907/2006/EK rendelet módosításáról</t>
  </si>
  <si>
    <t>2)  A 2006/121/EK irányelv (REACH rendelet és a 199/45/EK irányelv által módosított 67/548/EGK rendelet a veszélyes anyagok osztályozására, csomagolására és címkézésére vonatkozó törvényi, rendeleti és közigazgatási rendelkezések közelítéséről</t>
  </si>
  <si>
    <t>(kérjük, válassza ki)</t>
  </si>
  <si>
    <t>Érték</t>
  </si>
  <si>
    <t>Biocid tulajdonságú anyag</t>
  </si>
  <si>
    <t>Enzim</t>
  </si>
  <si>
    <t>Fehérítő</t>
  </si>
  <si>
    <t>Kemény felületekre szánt tisztítószer esetén adja meg a termék rendeltetését (pl. fürdőszobai tisztító, vízkőeltávolító WC tisztító, padlótisztító stb.)</t>
  </si>
  <si>
    <t>A termék halmazállapota:</t>
  </si>
  <si>
    <t>Amennyiben a H/EUH mondatok között a feltételrendszer által kizárt mondat is van, a mező szövege pirosra változik</t>
  </si>
  <si>
    <t>Élelmiszerekre is engedélyezett</t>
  </si>
  <si>
    <t>A termék utántöltő csomagolásban is elérhető</t>
  </si>
  <si>
    <t>Eredeti (nem utántöltő) csomagolás</t>
  </si>
  <si>
    <t>Másodlagos csomagolással forgalmazott termék</t>
  </si>
  <si>
    <t>A másodlagos csomagolásban található eredeti csomagolású termékek száma</t>
  </si>
  <si>
    <t>Az (i) sorszámú elsődleges csomagolás része 
(kérjük, nevezze meg)</t>
  </si>
  <si>
    <t>thereof not renewable/
recycled (Ni)* in g</t>
  </si>
  <si>
    <t>Ajánlott felhasználási terület</t>
  </si>
  <si>
    <t>A THA számítás szempontjából kivételt jelent? (Válasszon)</t>
  </si>
  <si>
    <t xml:space="preserve">H314 csak a kézi mosogatószer esetén tiltott </t>
  </si>
  <si>
    <t>Referenciaadag
(g/a feltételrendszerben megadott egység)</t>
  </si>
  <si>
    <t>A koncentrátum sűrűsége (folyékony/gél állapotú tisztítószer esetén)</t>
  </si>
  <si>
    <t>Pálmaolajat, pálmamagbélolajat vagy ezek származékait tartalmazza</t>
  </si>
  <si>
    <t>A használatra kész kemény felületekre szánt tisztítószerek esetében 1000-t, az öblítőszerek esetében 3-t kell beírni</t>
  </si>
  <si>
    <t>Referenciaadag (g/1 kg mosnivaló vagy ml/1 kg mosnivaló mértékegységben megadva):</t>
  </si>
  <si>
    <t>g/1 liter tisztítószer oldat</t>
  </si>
  <si>
    <t>ml/1 liter tisztítószeroldat</t>
  </si>
  <si>
    <t>g/1 liter mosogatóvíz</t>
  </si>
  <si>
    <t>ml/1 liter mosogatóvíz</t>
  </si>
  <si>
    <t>g/1 kg szennyes ruha</t>
  </si>
  <si>
    <t>ml/1 kg szennyes ruha</t>
  </si>
  <si>
    <t>g/mosogatási ciklus</t>
  </si>
  <si>
    <t>ml/mosogatási ciklus</t>
  </si>
  <si>
    <t>gépi mosogatószerek ipari és intézményi felhasználásra</t>
  </si>
  <si>
    <t>mosószerek ipari és intézményi felhasználásra</t>
  </si>
  <si>
    <t>2017/1217/EU kemény felületekre szánt tisztítószerek uniós ökocímke kritériumairól</t>
  </si>
  <si>
    <t>2017/1214/EU a kézi mosogatószerek uniós ökocímke kritériumairól</t>
  </si>
  <si>
    <t>2017/1218/EU a mosószerek uniós ökocímke kritériumairól</t>
  </si>
  <si>
    <t>2017/1216/EU határozat a gépi mosogatószerek uniós ökocímke kritériumairól</t>
  </si>
  <si>
    <t>2017/1215/EU határozat az  ipari és intézményi felhasználásra szánt gépi mosogatószerek uniós ökocímke kritériumairól</t>
  </si>
  <si>
    <t>2017/1219/EU az ipari  és  intézményi  felhasználásra szánt mosószerek uniós ökocímke kritériumairól</t>
  </si>
  <si>
    <t>Szilárd (por alakú)</t>
  </si>
  <si>
    <t>A legmagasabb ajánlott adag 
(g/1 kg mosnivaló mértékegységben a szilárd, ml/1 kg mosnivaló mértékegységben a folyékony mosószereknél)</t>
  </si>
  <si>
    <t xml:space="preserve"> lágy vízhez (0 - 6  nk°)</t>
  </si>
  <si>
    <t xml:space="preserve"> közepes keménységű vízhez (7 - 13 nk°)</t>
  </si>
  <si>
    <t xml:space="preserve"> kemény vízhez &gt;14 nk°)</t>
  </si>
  <si>
    <t>Szennyezettség mértéke: erősen szennyezett</t>
  </si>
  <si>
    <t>Szennyezettség mértéke: enyhén szennyezett</t>
  </si>
  <si>
    <t>Ajánlott adagolás egy normál töltet ruhához (kg)</t>
  </si>
  <si>
    <t>Ajánlott adagolás különböző vízkeménységhez</t>
  </si>
  <si>
    <t>Ajánlott legmagasabb adag</t>
  </si>
  <si>
    <t>Referenciaadag (in g/1 kg mosnivaló):</t>
  </si>
  <si>
    <t xml:space="preserve">Mosószer: Felhasznált alapanyagok és adagolási számítás </t>
  </si>
  <si>
    <t>(az anyag moilekulasúlyának %-ában)</t>
  </si>
  <si>
    <t>Egyfunkciós gépi mosogatószer</t>
  </si>
  <si>
    <t>Öblítő</t>
  </si>
  <si>
    <t>Kímélő mosószer (por/tabletta)</t>
  </si>
  <si>
    <t>Kímélő mosószer (folyékony, kapszulás, gél állagú)</t>
  </si>
  <si>
    <t>Folteltávolító (kizárólag előkezelésre)</t>
  </si>
  <si>
    <t>Többkomponensű rendszer 1. rész</t>
  </si>
  <si>
    <t>Többkomponensű rendszer 2. rész</t>
  </si>
  <si>
    <t>Többkomponensű rendszer 3. rész</t>
  </si>
  <si>
    <t>Többkomponensű rendszer 4. rész</t>
  </si>
  <si>
    <t>Többkomponensű rendszer 5. rész</t>
  </si>
  <si>
    <t>Többkomponensű rendszer 6. rész</t>
  </si>
  <si>
    <t>Többkomponensű rendszer 7. rész</t>
  </si>
  <si>
    <t>Többkomponensű rendszer 8. rész</t>
  </si>
  <si>
    <t>Amennyiben egy többkomponensű rendszer része, jelölje meg a funkcióját!</t>
  </si>
  <si>
    <t>Csak mosószereknél: Folyékony / gél állagú mosószerek (tablettában vagy kapszulában)</t>
  </si>
  <si>
    <t>Használatra kész kemény felületekre szánt tisztítószer</t>
  </si>
  <si>
    <t>Szennyezettség mértéke: közepesen szennyezett</t>
  </si>
  <si>
    <t>Intenzív tisztító hatású és színkímélő hatású mosószer (por/tabletta)</t>
  </si>
  <si>
    <t>Intenzív tisztító hatású és színkímélő hatású mosószer (folyékony, kapszulás, gél állagú)</t>
  </si>
  <si>
    <t>Az elsődleges csomagolás (i) része
(Kérjük, nevezze meg!)</t>
  </si>
  <si>
    <t>Az elsődleges csomagolásban található  termék tömege (ha a referenciaadag ml-ben lett megadva, itt a tömeget literben, ha a referenciaadag g-ban volt megadva, itt a tömeget kg-ban kell megadni)</t>
  </si>
  <si>
    <t>Teljes adag (előmosás + mosásá); szilárd termék esetében grammban, folyékony termékek esetében ml-ben kell megadni</t>
  </si>
  <si>
    <t>nincs</t>
  </si>
  <si>
    <t>Termékfajta</t>
  </si>
  <si>
    <t>Light-duty laundry detergent</t>
  </si>
  <si>
    <t>Kímélő mosószer</t>
  </si>
  <si>
    <t>legalacsonyabb érték</t>
  </si>
  <si>
    <t>A RAL-UZ202 (2016. januári kiadás) V2 2. függeléke</t>
  </si>
  <si>
    <t>a teljes felületaktív rendszerben</t>
  </si>
  <si>
    <t>Pálmaolajból/pálmamagolajból származó nem-felületaktív anyag</t>
  </si>
  <si>
    <t>3) Csak a felületaktív anyagok láthatók</t>
  </si>
  <si>
    <t>Nem pálmaolajból/pálmamagolajból származó felületaktív anyag</t>
  </si>
  <si>
    <t>Pálmaolajból/pálmamagolajból származó felületaktív anyag</t>
  </si>
  <si>
    <t>nemlétező</t>
  </si>
  <si>
    <t>fémezett és fényvédő zárórétegek</t>
  </si>
  <si>
    <t>funkcionális poliolefinek</t>
  </si>
  <si>
    <t>EVA – etilén-vinil-acetát</t>
  </si>
  <si>
    <t>ragasztóanyag</t>
  </si>
  <si>
    <t>HDPE – nagy sűrűségű polietilén</t>
  </si>
  <si>
    <t>PET – polietilén-tereftalát</t>
  </si>
  <si>
    <t>PETG – glikol-módosított polietilén-tereftalát</t>
  </si>
  <si>
    <t>PP – polipropilén</t>
  </si>
  <si>
    <t>PVC – polivinil-klorid</t>
  </si>
  <si>
    <t>PS – polisztirol</t>
  </si>
  <si>
    <t>EVOH - Etilén-vinil-alkohol</t>
  </si>
  <si>
    <t>poliamid</t>
  </si>
  <si>
    <t>Szilikon, D &gt; 1 g/cm3</t>
  </si>
  <si>
    <t>Szilikon, D &lt; 1 g/cm3</t>
  </si>
  <si>
    <t>Mosószerek: A 3.3 kritériumhoz kapcsolódó számítás</t>
  </si>
  <si>
    <t>Mosószerek. A 3.2. kritériumhoz kapcsolódó számítás</t>
  </si>
  <si>
    <t>Leöblíthető kozmetikai termékek: A 4 (c) és a  4 (d) kritériumokhoz kapcsolódó számítás</t>
  </si>
  <si>
    <t>Elsődleges csomagolás és termék (g) (=m1)</t>
  </si>
  <si>
    <t>A pálmaolaj / pálmamagolaj aránya, %</t>
  </si>
  <si>
    <t>Részletezés</t>
  </si>
  <si>
    <t>(=a termék gyártójának nyilatkozata)</t>
  </si>
  <si>
    <t>Elsődleges csomagolás és visszamaradó termék szokásos használat mellett, g (=m2)</t>
  </si>
  <si>
    <t>Elsődleges csomagolás kiürítve és megtisztítva, g (=m3)</t>
  </si>
  <si>
    <t>2) súroló összetevő/hatóanyag = N</t>
  </si>
  <si>
    <t>könnyen lebontható</t>
  </si>
  <si>
    <t>biológiailag potenciálisan lebontható</t>
  </si>
  <si>
    <t>Nem értelmezhető/ Nem alkalmazható</t>
  </si>
  <si>
    <t>Biológiailag könnyen lebomló az OECD iránymutatás szerint</t>
  </si>
  <si>
    <t>Biológiailag potenciális lebomló az OECD iránymutatás szerint</t>
  </si>
  <si>
    <t>Biológiai úton nehezen lebontható. Az összetevő a vizsgálat során nem bizonyult biológiailag potenciálisan lebomlónak.</t>
  </si>
  <si>
    <t>Az összetevőt nem vizsgálták</t>
  </si>
  <si>
    <t xml:space="preserve">Nem alkalmazható / Nem értelmezhető </t>
  </si>
  <si>
    <t>biológiai lebonthatóság</t>
  </si>
  <si>
    <t>A csomagolás ismertetése:</t>
  </si>
  <si>
    <t>Az elsődleges csomagolásban található termék tömege, g (D)</t>
  </si>
  <si>
    <t>Az eredeti csomagolást hányszor lehet újratölteni?  (R)
Adja meg az értéket vagy használja az alapértelmezés szerinti értékeket : műanyag esetén R = 5,  kartonpapír esetén R = 2</t>
  </si>
  <si>
    <t>Biológiailag nem lebomló felületaktív anyag</t>
  </si>
  <si>
    <t>( l/...)</t>
  </si>
  <si>
    <t>(l/g AG)</t>
  </si>
  <si>
    <t>Mosószer: az alapanyagok DID-száma vagy a DID-lista B részében szereplő értékek</t>
  </si>
  <si>
    <t>1): A DID-szám kiválasztása esetén az M és N oszlopok (LT, TT), illetve az O és P oszlopok (biológiai lebonthatóság) automatikusan kitöltődnek. Ha az anyag nem szerepel a DID-listában, válassza a "nem szerepel" választ, és töltse ki a H_K oszlopokban az LT/TT -re és a biológiai lebonthatóságra vonatkozó értékeket.</t>
  </si>
  <si>
    <t>A gyűjtőcsomagolás arányos részének tömege, g</t>
  </si>
  <si>
    <t>A szekunder csomagolás i-edik eleme/része
(kérjük, nevezze meg)</t>
  </si>
  <si>
    <t>Az elsődleges csomagolásban található termékmennyiség (D), ml</t>
  </si>
  <si>
    <t>A szóban forgó termék termelési volumene, t</t>
  </si>
  <si>
    <t>A pálmaolaj/pálmamagolaj volumene, t</t>
  </si>
  <si>
    <t>Szállítólevelek/Számlák (külön vagy anyagmérleg)</t>
  </si>
  <si>
    <t>A címke/ráhúzható címke anyaga</t>
  </si>
  <si>
    <t>a teljes szén-dioxidból az újrahasznosított szén-dioxid aránya, %</t>
  </si>
  <si>
    <t>szám</t>
  </si>
  <si>
    <t>Illatanyag</t>
  </si>
  <si>
    <t>Fehérítő katalizátor</t>
  </si>
  <si>
    <t>Mikroorganizmus</t>
  </si>
  <si>
    <t>Oldott</t>
  </si>
  <si>
    <t>Book&amp;Claim (forgalomképes tanúsítványok rendszere)</t>
  </si>
  <si>
    <t>azonosságmegőrzés, elkülönítés vagy tömegmérleg szerinti) tanúsítvány</t>
  </si>
  <si>
    <t>vagy a nyersanyag volumene (elkülönítés/tömegmérleg szerinti), tonna</t>
  </si>
  <si>
    <t>Az összetevőre nem készült vizsgálat</t>
  </si>
  <si>
    <t>Magyar 1.0</t>
  </si>
  <si>
    <t>Aktív összetevő</t>
  </si>
  <si>
    <t>A készítményen belüli aránya</t>
  </si>
  <si>
    <t>=( Ti + Hi ) /
 ( Di x Ri )</t>
  </si>
  <si>
    <t>2. A kemény felületekre szánt tisztítószer gyártójának nyilatkozata</t>
  </si>
  <si>
    <t>A termék neve:</t>
  </si>
  <si>
    <t>Product name:</t>
  </si>
  <si>
    <t xml:space="preserve">Kijelentem, hogy a termék megfelel azon ország(ok) valamennyi vonatkozó jogi követelményének, amely(ek)ben a terméket forgalmazni kívánjuk. </t>
  </si>
  <si>
    <t>I declare that the product meets all applicable legal requirements of the country or countries in which the product is intended to be placed on the market.</t>
  </si>
  <si>
    <t>I declare that the most updated DID list, available on the EU Ecolabel website, is used for this application.</t>
  </si>
  <si>
    <t>Kijelentem, hogy a pályázat összeállításához a DID-jegyzék legfrissebb, az uniós ökocímke honlapon található változatát használtuk.</t>
  </si>
  <si>
    <t>All-purpose cleaner, which includes detergent products intended for the routine indoor cleaning of hard surfaces such as walls, floors and other fixed surfaces.</t>
  </si>
  <si>
    <t>Kitchen cleaner, which includes detergent products intended for the routine cleaning and degreasing of kitchen surfaces such as countertops, stovetops, kitchen sinks and kitchen appliance surfaces.</t>
  </si>
  <si>
    <t>Konyhai tisztítószer, amelyet többek között az olyan konyhai felületek, mint a konyhapultok, tűzhelyek, konyhai mosogatók és konyhai készülékek felületeinek rendszeres tisztítására és zsírtalanítására szántak.</t>
  </si>
  <si>
    <t>2. Declaration A - from the manufacturer of the hard surface cleaning product</t>
  </si>
  <si>
    <t>DETERGENTS AND CLEANING PRODUCTS</t>
  </si>
  <si>
    <t>1. General information</t>
  </si>
  <si>
    <t>As the applicant for the EU Ecolabel for “hard surface cleaning product”, I the undersigned declare that the</t>
  </si>
  <si>
    <t>hard surface cleaning product is manufactured as expressed here and in the other documents submitted for demonstrating the accomplishment with the EU Ecolabel criteria.</t>
  </si>
  <si>
    <t>Window cleaner, which includes detergent products intended for the routine cleaning of windows, glass and other highly polished surfaces.</t>
  </si>
  <si>
    <t>Sanitary cleaner, which includes detergent products intended for the routine removal, including by scouring, of dirt or deposits in sanitary facilities, such as laundry rooms, toilets, bathrooms and showers.</t>
  </si>
  <si>
    <t>The product applying for an EU Ecolabel licence is a product for:</t>
  </si>
  <si>
    <t>Professional use.</t>
  </si>
  <si>
    <t>The product applying for an EU Ecolabel licence is sold in:</t>
  </si>
  <si>
    <t>Ready-to-use (RTU) form.</t>
  </si>
  <si>
    <t>Undiluted form.</t>
  </si>
  <si>
    <t>Both RTU and undiluted forms are sold as part of a single lot (e.g. one bottle of RTU product and arefill bottle of undiluted product).</t>
  </si>
  <si>
    <t>I declare that the product is a mixture of chemical substances.</t>
  </si>
  <si>
    <t>I declare that all product ingoing substances are listed in the following table:</t>
  </si>
  <si>
    <t>Ingoing substance</t>
  </si>
  <si>
    <t>Water content in the product:</t>
  </si>
  <si>
    <t>A termék besorolása:</t>
  </si>
  <si>
    <t>Scope:</t>
  </si>
  <si>
    <t>Service provider</t>
  </si>
  <si>
    <t>Dishwashing detergent</t>
  </si>
  <si>
    <t>Laundry detergent</t>
  </si>
  <si>
    <t>Hard surface cleaning product</t>
  </si>
  <si>
    <t>Dishwashing detergent for industrial and institutional use</t>
  </si>
  <si>
    <t>Laundry detergent for industrial and institutional use</t>
  </si>
  <si>
    <t>Manufacturer</t>
  </si>
  <si>
    <t>Wholesaler</t>
  </si>
  <si>
    <t>Retailer</t>
  </si>
  <si>
    <t>Általános tisztítószer, használatra kész</t>
  </si>
  <si>
    <t>Általános tisztítószer, hígítatlan</t>
  </si>
  <si>
    <t>Konyhai tisztítószer, használatra kész</t>
  </si>
  <si>
    <t xml:space="preserve">Konyhai tisztítószer, hígítatlan </t>
  </si>
  <si>
    <t>Ablaktisztítószer, használatra kész</t>
  </si>
  <si>
    <t>Ablaktisztítószer, hígítatlan</t>
  </si>
  <si>
    <t>Importer</t>
  </si>
  <si>
    <t>Ablaktisztítószer, amely többek között az ablakok, üveg és más csiszolt felületek rendszeres tisztítására szolgál</t>
  </si>
  <si>
    <t>Szaniterhelyiségek tisztításához használt tisztítószer, többek között a szaniterhelyiségek (például mosókonyhák, WC-k, fürdőszobák és zuhanyozók) szennyeződéseinek és lerakódásainak – többek között súrolással való – rendszeres eltávolítására</t>
  </si>
  <si>
    <t>A pályázatban szereplő termék felhasználási célja:</t>
  </si>
  <si>
    <t>A pályázatban szereplő termék:</t>
  </si>
  <si>
    <t>Felhasználásra kész és hígítatlan termék egy közös csomagolásban (pl. egy flakon felhasználásra kész termék és egy utántöltéshez használható hígítatlan termék).</t>
  </si>
  <si>
    <t>Undiluted form but sold for the sole purpose to refill trigger sprays e.g. capsules</t>
  </si>
  <si>
    <t>Hígítatlan termék (pl. kapszula), amelyet elsősorban szórófejes palackok utántöltéséhez forgalmaznak.</t>
  </si>
  <si>
    <t>A termék víztartalma:</t>
  </si>
  <si>
    <t>% (w/w)</t>
  </si>
  <si>
    <t>Felhasználásra kész termék</t>
  </si>
  <si>
    <t>Hígítatlan termék</t>
  </si>
  <si>
    <t>Kijelentem, hogy a termék vegyi anyagok keveréke.</t>
  </si>
  <si>
    <t>Chemical name</t>
  </si>
  <si>
    <t>Funkciója a termékben</t>
  </si>
  <si>
    <t>Form / physical state in the product</t>
  </si>
  <si>
    <t>CAS No. (or CI No. or other precise description)</t>
  </si>
  <si>
    <t>Concentration (%, w/w)</t>
  </si>
  <si>
    <t>DID Number (if applicable)</t>
  </si>
  <si>
    <t>Function in the product (e.g. surfactant, builder...)</t>
  </si>
  <si>
    <t>Szerepe a termékben (pl. felületaktív anyag, építő vagy adalékanyag stb.)</t>
  </si>
  <si>
    <t>DID szám (ha van)</t>
  </si>
  <si>
    <t>Formája / Halmazállapota a termékben</t>
  </si>
  <si>
    <t>(súly) %</t>
  </si>
  <si>
    <t>Az Összetétel munkalapon az utolsó kitöltött sor sorszáma:</t>
  </si>
  <si>
    <t>Kitöltött sorok száma</t>
  </si>
  <si>
    <t>CAS szám (vagy CI szám vagy más pontos meghatározás)</t>
  </si>
  <si>
    <t>kitöltött sorok száma:</t>
  </si>
  <si>
    <t>Jelölje be az alábbi jelölőnégyzetet! A megjelenő hibaüzenettel ne törődjön, csak kattintson az OK gombra, és folytassa a nyomtatvány kitöltését.</t>
  </si>
  <si>
    <t xml:space="preserve">Private use. </t>
  </si>
  <si>
    <t>It does not contain micro-organisms that have been deliberately added by the manufacturer.</t>
  </si>
  <si>
    <t xml:space="preserve">Háztartási felhasználásra szánt termék. </t>
  </si>
  <si>
    <t>Válassza ki a megfelelőt!</t>
  </si>
  <si>
    <t>Please, check!</t>
  </si>
  <si>
    <t>Check the field. On the appearing error message tick OK! Despite the error message you can continue filling in the form.</t>
  </si>
  <si>
    <t>biológiailag nem lebomló, perzisztens</t>
  </si>
  <si>
    <t>Mentesített anyag</t>
  </si>
  <si>
    <t>Tartósítószer</t>
  </si>
  <si>
    <t>Preservative</t>
  </si>
  <si>
    <t>Melyik felhasznált alapanyagban?</t>
  </si>
  <si>
    <t>aránya az alapanyagban, %</t>
  </si>
  <si>
    <t>%
(=g/100 g termék)</t>
  </si>
  <si>
    <t>Összetevő</t>
  </si>
  <si>
    <t>megnevezése (IUPAC szerint)</t>
  </si>
  <si>
    <t>kereskedelmi megnevezése</t>
  </si>
  <si>
    <t>Kijelentem, hogy a termék minden összetevője szerepel az alábbi táblázatban.</t>
  </si>
  <si>
    <t>kémiai megnevezése</t>
  </si>
  <si>
    <t>Formája a termékben</t>
  </si>
  <si>
    <t>Halmazállapot a termékben</t>
  </si>
  <si>
    <t>Szerves anyag</t>
  </si>
  <si>
    <t>Biológiai úton nehezen lebontható szervesanyag</t>
  </si>
  <si>
    <t>Anaerob módon biológiailag nem lebontható  szervesanyag</t>
  </si>
  <si>
    <t>Az Alapanyagok! munkalapon</t>
  </si>
  <si>
    <t>(*) Preservatives, fragrances and colouring agents shall be indicated regardless of concentration. Other ingoing substances shall be indicated if they are present at or above the concentration of 0,010% weight by weight.</t>
  </si>
  <si>
    <t>(**) If the ingoing substance is in the form of nanomaterial, it should be indicated with the word ‘nano’ written in brackets.</t>
  </si>
  <si>
    <t>For substances forming part of a mixture, I attach the SDS of the mixture.</t>
  </si>
  <si>
    <t>(*) A tartósítószereket, illatanyagokat és színezőanyagokat a koncentrációjuktól függetlenül fel kell tüntetni. Az egyéb felhasznált anyagokat akkor kell feltüntetni, ha koncentrációjuk a termékben legalább 0,010 %(m/m).</t>
  </si>
  <si>
    <t>(**) A jegyzékben minden, nanoanyag formájában jelen lévő alapanyagot egyértelműen meg kell jelölni a mellette zárójelben lévő „nano” szóval.</t>
  </si>
  <si>
    <t>Csatolom a jegyzékben szereplő minden egyes felhasznált anyagnak az 1907/2006/EK európai parlamenti és tanácsi rendeletnek (1) megfelelő biztonsági adatlapját.</t>
  </si>
  <si>
    <t>A keverékekben található összetevők esetében csatolom a keverék adatlapját.</t>
  </si>
  <si>
    <t>1/ Az Európai Parlament és a Tanács 1907/2006/EK rendelete (2006. december 18.) a vegyi anyagok regisztrálásáról, értékeléséről, engedélyezéséről és korlátozásáról (REACH)  (OJ L 396, 2006.12.30, p. 1).</t>
  </si>
  <si>
    <t>csatolva?</t>
  </si>
  <si>
    <t>Gyártói megfelelőségi nyilatkozat</t>
  </si>
  <si>
    <t>Hiányzó biztonsági adatlap</t>
  </si>
  <si>
    <t>Hiányzók összesen:</t>
  </si>
  <si>
    <t>I attach the SDS of all the ingoing substances included in the product in accordance with Regulation (EC) No 1907/2006 of the European Parliament and of the Council 1/.</t>
  </si>
  <si>
    <t>I declare that the critical dilution volume (CDVchronic) of the product is within the indicated limit:</t>
  </si>
  <si>
    <t>Kijelentem, hogy a termék kritikus hígítási térfogata (KHTkrónikus) nem haladja meg a referenciaadagra vonatkozó határértékeket.</t>
  </si>
  <si>
    <r>
      <t xml:space="preserve">KHT </t>
    </r>
    <r>
      <rPr>
        <vertAlign val="subscript"/>
        <sz val="10"/>
        <rFont val="Arial"/>
        <family val="2"/>
      </rPr>
      <t>krónikus</t>
    </r>
  </si>
  <si>
    <t>cleaning solution</t>
  </si>
  <si>
    <t>tisztítószer oldat</t>
  </si>
  <si>
    <t>I attach the spreadsheet with the calculation of the CDVchronic of the product.</t>
  </si>
  <si>
    <t>Csatolom a a termék kritikus hígítási térfogatára vonatkozó számítást tartalmazó munkalapot.</t>
  </si>
  <si>
    <t>A KHT határértéke</t>
  </si>
  <si>
    <t>Limit CDV</t>
  </si>
  <si>
    <t>Határértéken belüli?</t>
  </si>
  <si>
    <t>Általános tisztítószer, azaz olyan termék, amely többek között az olyan kemény felületek, mint a falak, padlók és egyéb rögzített felületek rendszeres beltéri tisztítására szolgál.</t>
  </si>
  <si>
    <t>Please select one of the two following options.</t>
  </si>
  <si>
    <t>Elemi foszfor</t>
  </si>
  <si>
    <t>Válasszon az alábbi két válasz közül:</t>
  </si>
  <si>
    <t>All the ingoing substances included in the formulation of the product appear in the DID list Part A.</t>
  </si>
  <si>
    <t>The following ingoing substances included in the formulation of the product do not appear in the DID list Part A</t>
  </si>
  <si>
    <t>A termék összetevői közül az alábbi táblázatban feltüntetettek nem szerepelnek a DID-jegyzék A. részében.</t>
  </si>
  <si>
    <t>Name of the substance</t>
  </si>
  <si>
    <t>Az összetevő neve</t>
  </si>
  <si>
    <t>Chronic or acute toxicity factor</t>
  </si>
  <si>
    <t>Inorganic substance with very low water-solubility or insoluble in water</t>
  </si>
  <si>
    <t>I attach a signed declaration with the values of chronic or acute toxicity, as well as the aerobic biodegradability of each ingoing substance not listed in the DID list. I attach the calculation and the related documentation of the data used for the calculation of the chronic or acute toxicity factor and the degradation factor.</t>
  </si>
  <si>
    <t>Krónikus  vagy akut toxicitási tényező</t>
  </si>
  <si>
    <t>anNBO összetevőkre vonatkozó mentesség</t>
  </si>
  <si>
    <t>Vízben nem oldódó vagy nehezen oldható szervetlen anyag</t>
  </si>
  <si>
    <t>Aerob</t>
  </si>
  <si>
    <t>Aerobic</t>
  </si>
  <si>
    <t>A termék valamennyi összetevője szerepel a DID-jegyzék A. részében.</t>
  </si>
  <si>
    <t>in the DID-List (always in English)</t>
  </si>
  <si>
    <t>nem szerepel</t>
  </si>
  <si>
    <t>a DID-jegyzékben</t>
  </si>
  <si>
    <t>X</t>
  </si>
  <si>
    <t>----</t>
  </si>
  <si>
    <t>A felületaktív anyagok biológiai lebonthatósága</t>
  </si>
  <si>
    <t>Biodegradability of surfactants</t>
  </si>
  <si>
    <t>I declare that all surfactants included in the product are readily degradable (aerobically).</t>
  </si>
  <si>
    <t>Kijelentem, hogy a termék kizárólag (aerob körülmények között) biológiailag könnyen lebomló felületaktív anyagokat tartalmaz.</t>
  </si>
  <si>
    <t>Felületaktív?</t>
  </si>
  <si>
    <t>Könnyen lebomló?</t>
  </si>
  <si>
    <t>I declare that the surfactants included in the product which are classified as hazardous to the aquatic environment (H400 or H412), in accordance with Regulation (EC) No 1272/2008 of the European Parliament and of the Council, are in addition anaerobically biodegradable.</t>
  </si>
  <si>
    <t>Kijelentem, hogy a termékben található minden olyan felületaktív anyag, amely az 1272/2008/EK európai parlamenti és tanácsi rendelet szerint veszélyes a vízi környezetre (H400 vagy H412 besorolású), anaerob körülmények között is biológiailag lebontható.</t>
  </si>
  <si>
    <t>All the surfactants included in the formulation of the product appear in the DID list Part A.</t>
  </si>
  <si>
    <t>The following surfactants included in the formulation of the product do not appear in the DID list Part A</t>
  </si>
  <si>
    <t>A termékben található felületaktív anyagok közül az alábbi táblázatban felsorolt anyagok nem szerepelnek a DID-jegyzék A. részében.</t>
  </si>
  <si>
    <t>A termékben található minden felületaktív anyag szerepel a DID-jegyzék A. részében.</t>
  </si>
  <si>
    <t>Name of the surfactant</t>
  </si>
  <si>
    <t>A felületaktív anyag neve</t>
  </si>
  <si>
    <t>Surfactants classified as hazardous to the aquatic environment (H400, H412)</t>
  </si>
  <si>
    <t>A vízi környezetre veszélyes besorolású anyag (H400, H412)</t>
  </si>
  <si>
    <t>Anaerobically degradable</t>
  </si>
  <si>
    <t>Anaerob körülmények között biológiailag lebontható</t>
  </si>
  <si>
    <t>AA és AB együtt</t>
  </si>
  <si>
    <t>Anaerob úton lebontható?</t>
  </si>
  <si>
    <t>Felületaktív és anaerob úton lebomló?</t>
  </si>
  <si>
    <t>For surfactants not included in the DID list Part A, I attach documentation related to their degradability.</t>
  </si>
  <si>
    <t>Csatolom a DID-jegyzék A. részében nem szereplő összetevők akut és krónikus toxicitási értékeit, valamint az aerob módon történő biológiai lebonthatóságát tartalmazó aláírt nyilatkozatot. Csatolom továbbá az akut és krónikus toxicitási tényező, illetve a biológiai lebonthatósági tényező kiszámítását, továbbá a számításhoz használt adatokat alátámasztó dokumentációt.</t>
  </si>
  <si>
    <t>Csatolom a DID-jegyzék A. részében nem szereplő felületaktív anyagok biológiai lebonthatóságára vonatkozó dokumentációt.</t>
  </si>
  <si>
    <t>Biodegradability of organic compounds</t>
  </si>
  <si>
    <t>A szerves vegyületek biológiai lebonthatósága</t>
  </si>
  <si>
    <t>I declare that the content of organic substances in the product that are not readily biodegradable or anaerobically non-biodegradable is below the indicated limits</t>
  </si>
  <si>
    <t>I attach the spreadsheet with the calculation of the aNBO and anNBO of the product.</t>
  </si>
  <si>
    <t>Kijelentem, hogy  a termék aerob úton biológiailag nehezen lebontható  (aNBO) vagy anaerob módon biológiailag nem lebontható (anNBO) szervesanyag-tartalma a referenciaadagban a következő határértékek alatt marad:</t>
  </si>
  <si>
    <t>Csatolom a termék szervesanyag-tartalmára vonatkozó aNBO és anNBO számításokat tartalmazó munkalapot.</t>
  </si>
  <si>
    <t>All the organic substances included in the formulation of the product appear in the DID list Part A.</t>
  </si>
  <si>
    <t>Kijelentem, hogy a termékben található minden szervesanyag szerepel a DID-jegyzék A. részében.</t>
  </si>
  <si>
    <t>The following organic substances included in the formulation of the product do not appear in the DID list Part A.</t>
  </si>
  <si>
    <t>A termékben található szervesanyagok közül az alábbi táblázatban felsorolt anyagok nem szerepelnek a DID-jegyzék A. részében.</t>
  </si>
  <si>
    <t>Adsorption</t>
  </si>
  <si>
    <t>Desorption</t>
  </si>
  <si>
    <t>BCF vagy log Kow</t>
  </si>
  <si>
    <t>BCF or log Kow</t>
  </si>
  <si>
    <t>Name of the organic substance</t>
  </si>
  <si>
    <t>A szerves vegyület neve</t>
  </si>
  <si>
    <t>Anaerobic</t>
  </si>
  <si>
    <t>Anaerob</t>
  </si>
  <si>
    <t>Szerves anyag és nem DID-listás?</t>
  </si>
  <si>
    <t>Surfactant és nem DID-listás?</t>
  </si>
  <si>
    <t>Kitöltött összesen:</t>
  </si>
  <si>
    <t>utolsó sor 1</t>
  </si>
  <si>
    <t>Az utolsó sor sorszáma:</t>
  </si>
  <si>
    <t>Nem Did-listás</t>
  </si>
  <si>
    <t>Adszorpció</t>
  </si>
  <si>
    <t>Deszorpció</t>
  </si>
  <si>
    <t>I attach supporting evidence.</t>
  </si>
  <si>
    <t>Csatolom az adatokat alátámasztó dokumentációt.</t>
  </si>
  <si>
    <t>I declare that the product does not contain ingoing substances derived neither from palm oil or palm kernel oil, nor from chemical derivatives of palm oil and for palm kernel oil.</t>
  </si>
  <si>
    <t>I declare that the product contains ingoing substances derived from palm oil or palm kernel oil. And subsequently:</t>
  </si>
  <si>
    <t>I declare that the palm oil or the palm kernel oil used in the manufacturing of the ingoing substances originates from sustainably managed plantations.</t>
  </si>
  <si>
    <t>I declare that the palm oil or the palm kernel oil used in the manufacturing of the ingoing substances is covered by a Chain of Custody certificate (CoC).</t>
  </si>
  <si>
    <t>I declare that the product contains ingoing substances derived from chemical derivatives of palm oil or palm kernel oil. I declare that I participate in a book &amp; claim system, and therefore buy credits from certified growers, crushers and independent smallholders. I attach:</t>
  </si>
  <si>
    <t>I attach a declaration from the supplier(s) with the relevant evidence.</t>
  </si>
  <si>
    <t>Kijelentem, hogy a termék pálmaolajból, pálmamagbélolajból vagy ezek kémiai származékaiból származó alapanyagot tartalmaz. Ezért:</t>
  </si>
  <si>
    <t>Kijelentem, hogy a termék pálmaolaj, illetve pálmamagbélolaj kémiai származékaiból készült alapanyagot tartalmaz. Kijelentem továbbá, hogy  egy  „book and claim” rendszer  (forgalomképes tanúsítványok rendszere) tagjaként tanúsított termelőktől, feldolgozóktól és független kistermelőktől vásárolok tanúsítványokat.</t>
  </si>
  <si>
    <t>Kijelentem, hogy a termék nem tartalmaz pálmaolajból és pálmamagbélolajból vagy ezek kémiai származékaiból származó alapanyagot.</t>
  </si>
  <si>
    <t>RSPO - IP</t>
  </si>
  <si>
    <t>RSPO - MB</t>
  </si>
  <si>
    <t>RSPO -   S</t>
  </si>
  <si>
    <t>Name of the ingoing substance</t>
  </si>
  <si>
    <t>Az alapanyag neve</t>
  </si>
  <si>
    <t>Pálmaolajat tartalmaz</t>
  </si>
  <si>
    <t>RSPO - credits</t>
  </si>
  <si>
    <t>RSPO tanúsítványok</t>
  </si>
  <si>
    <t>Feltételes formázás: Akkor kell bejelölni, ha</t>
  </si>
  <si>
    <t>L123 igaz és L133 hamis</t>
  </si>
  <si>
    <t>Kizárt és korlátozás hatálya alá eső meghatározott anyagok</t>
  </si>
  <si>
    <t>Specified excluded and restricted substances</t>
  </si>
  <si>
    <t>(i) Excluded substances</t>
  </si>
  <si>
    <t>i. Kizárt anyagok</t>
  </si>
  <si>
    <t>I declare that the product does not contain any of the following substances regardless of concentration:</t>
  </si>
  <si>
    <t>Kijelentem, hogy az alábbiakban felsorolt anyagok semmilyen koncentrációban nem szerepelnek a termék összetételében:</t>
  </si>
  <si>
    <t xml:space="preserve">Alkyl phenol ethoxylates (APEOs) and other alkyl phenol derivatives, </t>
  </si>
  <si>
    <t xml:space="preserve">alkil-fenol-etoxilátok (APEO-k) és egyéb alkil-fenol-származékok, </t>
  </si>
  <si>
    <t xml:space="preserve">Atranol, </t>
  </si>
  <si>
    <t xml:space="preserve">atranol, </t>
  </si>
  <si>
    <t xml:space="preserve">Chloroatranol, </t>
  </si>
  <si>
    <t xml:space="preserve">klóratranol, </t>
  </si>
  <si>
    <t xml:space="preserve">Diethylenetriaminepentaacetic acid (DTPA), </t>
  </si>
  <si>
    <t xml:space="preserve">dietilén-triamin-pentaecetsav (DTPA), </t>
  </si>
  <si>
    <t xml:space="preserve">Ethylenediaminetetraacetic acid (EDTA) and its salts, </t>
  </si>
  <si>
    <t xml:space="preserve">etilén-diamin-tetraecetsav (EDTA) és sói, </t>
  </si>
  <si>
    <t xml:space="preserve">Formaldehyde and its releasers (e.g. 2-bromo-2-nitropropane-1,3-diol, 5-bromo-5-nitro-1,3-dioxane, sodium hydroxyl methyl glycinate, diazolidinylurea) with the exception of impurities of formaldehyde in surfactants based on polyalkoxy chemistry up to a concentration of 0,010 % weight by weight in the ingoing substance, </t>
  </si>
  <si>
    <t xml:space="preserve">formaldehid és az olyan anyagok, amelyekből felszabadul (pl. 2-bróm-2-nitropropán-1,3-diol, 5-bróm-5-nitro1,3-dioxán, nátrium-hidroxi-metil-glicinát, diazolidinil-karbamid), kivéve a polialkoxi-vegyészettel kialakított felületaktív anyagokban előforduló formaldehidszennyeződéseket az alapanyag 0,010 %(m/m)-ának megfelelő koncentrációig, </t>
  </si>
  <si>
    <t xml:space="preserve">Glutaraldehyde, </t>
  </si>
  <si>
    <t xml:space="preserve">glutáraldehid, </t>
  </si>
  <si>
    <t xml:space="preserve">Hydroxyisohexyl 3-cyclohexene carboxaldehyde (HICC), </t>
  </si>
  <si>
    <t xml:space="preserve">hidroxi-izohexil-3-ciklohexén-karboxaldehid (HICC), </t>
  </si>
  <si>
    <t xml:space="preserve">Microplastics, </t>
  </si>
  <si>
    <t xml:space="preserve">mikroműanyagok, </t>
  </si>
  <si>
    <t xml:space="preserve">Nanosilver, </t>
  </si>
  <si>
    <t xml:space="preserve">nanoezüst, </t>
  </si>
  <si>
    <t xml:space="preserve">Nitromusks and polycyclic musks, </t>
  </si>
  <si>
    <t xml:space="preserve">nitropézsmák és policiklusos pézsmák, </t>
  </si>
  <si>
    <t xml:space="preserve">Phosphates, </t>
  </si>
  <si>
    <t xml:space="preserve">foszfátok, </t>
  </si>
  <si>
    <t xml:space="preserve">Perfluorinated alkylates, </t>
  </si>
  <si>
    <t xml:space="preserve">perfluorozott alkilátok, </t>
  </si>
  <si>
    <t xml:space="preserve">Quaternary ammonium salts not readily biodegradable, </t>
  </si>
  <si>
    <t xml:space="preserve">biológiai úton nehezen lebontható kvaterner ammóniumsók, </t>
  </si>
  <si>
    <t xml:space="preserve">Reactive chlorine compounds, </t>
  </si>
  <si>
    <t xml:space="preserve">reaktív klórvegyületek, </t>
  </si>
  <si>
    <t xml:space="preserve">Rhodamine B, </t>
  </si>
  <si>
    <t xml:space="preserve">rhodamin B, </t>
  </si>
  <si>
    <t xml:space="preserve">Triclosan, </t>
  </si>
  <si>
    <t xml:space="preserve">triklozán, </t>
  </si>
  <si>
    <t xml:space="preserve">3-iodo-2-propynyl butylcarbamate, </t>
  </si>
  <si>
    <t xml:space="preserve">3-jód-2-propinil-butilkarbamát, </t>
  </si>
  <si>
    <t xml:space="preserve">Aromatic hydrocarbons, </t>
  </si>
  <si>
    <t xml:space="preserve">aromás szénhidrogének, </t>
  </si>
  <si>
    <t>Halogenated hydrocarbons.</t>
  </si>
  <si>
    <t xml:space="preserve">halogénezett szénhidrogének. </t>
  </si>
  <si>
    <t xml:space="preserve">-  </t>
  </si>
  <si>
    <t>I attach declaration(s) from supplier(s), confirming that the listed substances have not been included in each raw material formulation regardless of concentration.</t>
  </si>
  <si>
    <t>Csatolom a szállító(k) megfelelőségi nyilatkozatát, amely(ek) megerősíti(k), hogy a felsorolt anyagok semmilyen koncentrációban sem szerepelnek a termék összetételében.</t>
  </si>
  <si>
    <t xml:space="preserve">2-methyl-2H-isothiazol-3-one </t>
  </si>
  <si>
    <t xml:space="preserve">1,2-Benzisothiazol-3(2H)-one </t>
  </si>
  <si>
    <t xml:space="preserve">5-chloro-2-methyl-4-isothiazolin-3-one/2-methyl-4-isothiazolin-3-one </t>
  </si>
  <si>
    <t>2-metil-2H-izotiazol-3-on</t>
  </si>
  <si>
    <t>1,2-benzizotiazol-3(2H)-on</t>
  </si>
  <si>
    <t>5-klór-2-metil-4-izotiazolin-3-on/2-metil-4-izotiazolin-3-on</t>
  </si>
  <si>
    <t>Korlátozás hatálya alá eső anyag</t>
  </si>
  <si>
    <t>Restricted substance</t>
  </si>
  <si>
    <t>% weight by weight</t>
  </si>
  <si>
    <t>% (m/m)</t>
  </si>
  <si>
    <t>Concentration in the product</t>
  </si>
  <si>
    <t>Koncentráció a termékben</t>
  </si>
  <si>
    <t>I declare that the product does not contain any of the following substances above the indicated limits [insert the concentration in the product, if applicable]:</t>
  </si>
  <si>
    <t>Kijelentem, hogy a termék összetételében az itt megadottnál nagyobb koncentrációban az alábbiakban felsorolt anyagok egyike sem szerepel.  (A termék által tartalmazott összetevőhöz írja be a koncentrációt!)</t>
  </si>
  <si>
    <t>I attach declaration(s) from supplier(s).</t>
  </si>
  <si>
    <t>I declare that the total phosphorus (P) content calculated as elemental P is limited to the following values for the reference dosage [insert the concentration in the product, if applicable]:</t>
  </si>
  <si>
    <t>Kijelentem, hogy az elemi foszforként kiszámított teljes foszfortartalom (P) a referenciaadagban nem haladja meg a következő értékeket:</t>
  </si>
  <si>
    <t xml:space="preserve">Szanitertisztító, használatra kész </t>
  </si>
  <si>
    <t>Szanitertisztító, hígítatlan</t>
  </si>
  <si>
    <t>P content</t>
  </si>
  <si>
    <t>Foszfortartalom</t>
  </si>
  <si>
    <t>of RTU product</t>
  </si>
  <si>
    <t>használatra kész termék</t>
  </si>
  <si>
    <t>of cleaning solution</t>
  </si>
  <si>
    <t>Csatolom a termék foszfortartalmára vonatkozó számításokat.</t>
  </si>
  <si>
    <t>I attach the calculation of P content.</t>
  </si>
  <si>
    <t>I declare that fragrance substances subject to the declaration requirement provided in Regulation (EC) No 648/20042 are not present in the product in quantities ≥ 0,010 % weight by weight per substance.</t>
  </si>
  <si>
    <t>Kijelentem, hogy a 648/2004/EK rendeletben előírt címkézési követelmény hatálya alá tartozó illatanyagok nincsenek jelen az anyag 0,010 %(m/m)-ának megfelelő, vagy azt meghaladó mennyiségben.</t>
  </si>
  <si>
    <t>I declare that VOCs are not present above the limits specified below [insert the concentration in the product, if applicable]:</t>
  </si>
  <si>
    <t>VOC content</t>
  </si>
  <si>
    <t>Illékony szerves vegyületek aránya</t>
  </si>
  <si>
    <t>I attach the calculation of VOC content.</t>
  </si>
  <si>
    <t>Csatolom a termék illékony szervesanyag-tartalmára vonatkozó számításokat.</t>
  </si>
  <si>
    <t>Hazardous substances</t>
  </si>
  <si>
    <t>Veszélyes anyagok</t>
  </si>
  <si>
    <t>(i) Final product</t>
  </si>
  <si>
    <t>i. Késztermék</t>
  </si>
  <si>
    <t>I declare that the final product is not classified and labelled as being acutely toxic, a specific target organ toxicant, a respiratory or skin sensitizer, carcinogenic, mutagenic or toxic for reproduction, or hazardous to the aquatic environment, as defined in Annex I to Regulation (EC) No 1272/2008 and in accordance with the following list:</t>
  </si>
  <si>
    <t>Kijelentem, hogy a késztermék nem minősül az 1272/2008/EK rendelet I. mellékletének meghatározása és az alábbi táblázatban felsoroltak szerint akut toxicitású, célszervi toxicitású, légzőszervi vagy bőrszenzibilizáló, rákkeltő, mutagén vagy reprodukciót károsító vagy a vízi környezetre veszélyes besorolású, illetve ennek megfelelően címkézett anyagnak.</t>
  </si>
  <si>
    <t xml:space="preserve">Acute toxicity </t>
  </si>
  <si>
    <t xml:space="preserve">Categories 1 and 2 </t>
  </si>
  <si>
    <t xml:space="preserve">H300 Fatal if swallowed </t>
  </si>
  <si>
    <t xml:space="preserve">H310 Fatal in contact with skin </t>
  </si>
  <si>
    <t xml:space="preserve">H330 Fatal if inhaled </t>
  </si>
  <si>
    <t xml:space="preserve">H304 May be fatal if swallowed and enters airways </t>
  </si>
  <si>
    <t xml:space="preserve">Specific target organ toxicity </t>
  </si>
  <si>
    <t xml:space="preserve">Category 1 </t>
  </si>
  <si>
    <t xml:space="preserve">H370 Causes damage to organs </t>
  </si>
  <si>
    <t xml:space="preserve">H372 Causes damage to organs through prolonged or repeated exposure </t>
  </si>
  <si>
    <t xml:space="preserve">Respiratory and skin sensitization </t>
  </si>
  <si>
    <t xml:space="preserve">Category 1A/1 </t>
  </si>
  <si>
    <t xml:space="preserve">H317 May cause allergic skin reaction </t>
  </si>
  <si>
    <t xml:space="preserve">H334 May cause allergy or asthma symptoms or breathing difficulties if inhaled </t>
  </si>
  <si>
    <t xml:space="preserve">Carcinogenic, mutagenic or toxic for reproduction </t>
  </si>
  <si>
    <t xml:space="preserve">Categories 1A and 1B </t>
  </si>
  <si>
    <t xml:space="preserve">H340 May cause genetic defects </t>
  </si>
  <si>
    <t xml:space="preserve">H350 May cause cancer </t>
  </si>
  <si>
    <t xml:space="preserve">H350i May cause cancer by inhalation </t>
  </si>
  <si>
    <t xml:space="preserve">H360F May damage fertility </t>
  </si>
  <si>
    <t xml:space="preserve">H360D May damage the unborn child </t>
  </si>
  <si>
    <t xml:space="preserve">H360FD May damage fertility. May damage the unborn child </t>
  </si>
  <si>
    <t xml:space="preserve">H360Fd May damage fertility. Suspected of damaging the unborn child </t>
  </si>
  <si>
    <t xml:space="preserve">H360Df May damage the unborn child. Suspected of damaging fertility </t>
  </si>
  <si>
    <t xml:space="preserve">Hazardous to the aquatic environment </t>
  </si>
  <si>
    <t xml:space="preserve">H400 Very toxic to aquatic life </t>
  </si>
  <si>
    <t xml:space="preserve">H410 Very toxic to aquatic life with long-lasting effects </t>
  </si>
  <si>
    <t xml:space="preserve">H411 Toxic to aquatic life with long-lasting effects </t>
  </si>
  <si>
    <t xml:space="preserve">Hazardous to the ozone layer </t>
  </si>
  <si>
    <t xml:space="preserve">H420 Hazardous to the ozone layer </t>
  </si>
  <si>
    <t xml:space="preserve">Category 3 </t>
  </si>
  <si>
    <t xml:space="preserve">H301 Toxic if swallowed </t>
  </si>
  <si>
    <t xml:space="preserve">H311 Toxic in contact with skin </t>
  </si>
  <si>
    <t xml:space="preserve">H331 Toxic if inhaled </t>
  </si>
  <si>
    <t xml:space="preserve">EUH070 Toxic by eye contact </t>
  </si>
  <si>
    <t xml:space="preserve">Category 2 </t>
  </si>
  <si>
    <t xml:space="preserve">H371 May cause damage to organs </t>
  </si>
  <si>
    <t xml:space="preserve">H373 May cause damage to organs through prolonged or repeated exposure </t>
  </si>
  <si>
    <t xml:space="preserve">Category 1B </t>
  </si>
  <si>
    <t xml:space="preserve">H341 Suspected of causing genetic defects </t>
  </si>
  <si>
    <t xml:space="preserve">H351 Suspected of causing cancer </t>
  </si>
  <si>
    <t xml:space="preserve">H361f Suspected of damaging fertility </t>
  </si>
  <si>
    <t xml:space="preserve">H361d Suspected of damaging the unborn child </t>
  </si>
  <si>
    <t xml:space="preserve">H361fd Suspected of damaging fertility. Suspected of damaging the unborn child </t>
  </si>
  <si>
    <t xml:space="preserve">H362 May cause harm to breast fed children </t>
  </si>
  <si>
    <t xml:space="preserve">Categories 3 and 4 </t>
  </si>
  <si>
    <t xml:space="preserve">H412 Harmful to aquatic life with long-lasting effects </t>
  </si>
  <si>
    <t xml:space="preserve">H413 May cause long-lasting effects to aquatic life </t>
  </si>
  <si>
    <t>Akut toxicitás</t>
  </si>
  <si>
    <t>1. és 2. kategória</t>
  </si>
  <si>
    <t>H300 Lenyelve halálos</t>
  </si>
  <si>
    <t>H310 Bőrrel érintkezve halálos</t>
  </si>
  <si>
    <t>H330 Belélegezve halálos</t>
  </si>
  <si>
    <t>H304 Lenyelve és a légutakba kerülve halálos lehet</t>
  </si>
  <si>
    <t>Célszervi toxicitás</t>
  </si>
  <si>
    <t>1. kategória</t>
  </si>
  <si>
    <t>H370 Károsítja a szerveket</t>
  </si>
  <si>
    <t>H372 Ismétlődő vagy hosszabb expozíció esetén károsítja a szerveket</t>
  </si>
  <si>
    <t>Légzőszervi és bőrszenzibilizáció</t>
  </si>
  <si>
    <t>1A/1. kategória 1B</t>
  </si>
  <si>
    <t>H317 Allergiás bőrreakciót válthat ki</t>
  </si>
  <si>
    <t>H334 Belélegezve allergiás és asztmás tüneteket és nehéz légzést okozhat</t>
  </si>
  <si>
    <t>Rákkeltő, mutagén vagy reprodukciót károsító</t>
  </si>
  <si>
    <t>1A. és 1B. Kategória</t>
  </si>
  <si>
    <t>H340 Genetikai károsodást okozhat</t>
  </si>
  <si>
    <t>H350 Rákot okozhat</t>
  </si>
  <si>
    <t>H350i Belélegezve rákot okozhat</t>
  </si>
  <si>
    <t>H360F Károsíthatja a termékenységet</t>
  </si>
  <si>
    <t>H360D Károsíthatja a születendő gyermeket</t>
  </si>
  <si>
    <t>H360FD Károsíthatja a termékenységet és a születendő gyermeket.</t>
  </si>
  <si>
    <t>H360Fd Károsíthatja a termékenységet vagy feltehetően károsítja a születendő gyermeket.</t>
  </si>
  <si>
    <t>H360Df Károsíthatja a születendő gyermeket vagy feltehetően károsítja a termékenységet.</t>
  </si>
  <si>
    <t>A vízi környezetre veszélyes</t>
  </si>
  <si>
    <t>H400 Nagyon mérgező a vízi élővilágra</t>
  </si>
  <si>
    <t>H410 Nagyon mérgező a vízi élővilágra, hosszan tartó károsodást okoz</t>
  </si>
  <si>
    <t>H411 Mérgező a vízi élővilágra, hosszan tartó károsodást okoz</t>
  </si>
  <si>
    <t>Veszélyes az ózonrétegre</t>
  </si>
  <si>
    <t>H420 Veszélyes az ózonrétegre</t>
  </si>
  <si>
    <t>3. kategória</t>
  </si>
  <si>
    <t>H301 Lenyelve mérgező</t>
  </si>
  <si>
    <t>H311 Bőrrel érintkezve mérgező</t>
  </si>
  <si>
    <t>H331 Belélegezve mérgező</t>
  </si>
  <si>
    <t>EUH070 Szembe kerülve mérgező</t>
  </si>
  <si>
    <t>2. kategória</t>
  </si>
  <si>
    <t>H371 Károsíthatja a szerveket</t>
  </si>
  <si>
    <t>H373 Ismétlődő vagy hosszabb expozíció esetén károsíthatja a szerveket</t>
  </si>
  <si>
    <t>1B. kategória</t>
  </si>
  <si>
    <t>H341 Feltehetően genetikai károsodást okoz</t>
  </si>
  <si>
    <t>H351 Feltehetően rákot okoz</t>
  </si>
  <si>
    <t>H361f Feltehetően károsítja a termékenységet</t>
  </si>
  <si>
    <t>H361d Feltehetően károsítja a születendő gyermeket</t>
  </si>
  <si>
    <t>H361fd Feltehetően károsítja a termékenységet vagy a születendő gyermeket.</t>
  </si>
  <si>
    <t>H362 A szoptatott gyermeket károsíthatja</t>
  </si>
  <si>
    <t>3. és 4. kategória</t>
  </si>
  <si>
    <t>H412 Ártalmas a vízi élővilágra, hosszan tartó károsodást okoz</t>
  </si>
  <si>
    <t>H413 Hosszan tartó ártalmas hatást gyakorolhat a vízi élővilágra</t>
  </si>
  <si>
    <t>A veszélyességi osztályozás korlátozásai és kategóriái</t>
  </si>
  <si>
    <t>Restricted hazard classifications and their categorization</t>
  </si>
  <si>
    <t>(ii) Ingoing substances</t>
  </si>
  <si>
    <t>ii. Alapanyagok</t>
  </si>
  <si>
    <t>I declare that the product does not contain ingoing substances at a concentration of or above 0,010 % weight by weight in the final product that meet the criteria for classification as toxic, hazardous to the aquatic environment, respiratory or skin sensitizers, carcinogenic, mutagenic or toxic for reproduction in accordance with Annex I to regulation (EC) No 1272/2008 and in accordance with the list in Table above on Restricted hazard classifications and their categorization.</t>
  </si>
  <si>
    <t>Kijelentem, hogy a termék nem tartalmaz a késztermék 0,010 %(m/m)-ának megfelelő vagy azt meghaladó koncentrációban olyan alapanyagokat, amelyek kimerítik az 1272/2008/EK rendelet I. melléklete és a fenti táblázat felsorolása szerinti mérgező, a vízi környezetre veszélyes, légzőszervi vagy bőrszenzibilizáló, rákkeltő, mutagén vagy reprodukciót károsító anyagként való besorolás feltételeit.</t>
  </si>
  <si>
    <t>I attach declarations from suppliers or SDS confirming that any of the ingoing substances which meets the criteria for classification with one or more of the hazard statements listed in such table in the form(s) and physical state(s) in which they are present in the product, unless specifically derogated, is not present in the final above the concentration of 0,010% weight by weight.</t>
  </si>
  <si>
    <t>The product contains ingoing substances listed in Annexes IV and V of Regulation (EC) No 1907/2006 that are excluded from sub-criterion 2(b)(ii).</t>
  </si>
  <si>
    <t>I declare that the product contains the following derogated substances [insert the name and the amount in the final product of these substances]:</t>
  </si>
  <si>
    <t>A termék az 1907/2006/EK rendelet IV. és V. mellékletében felsorolt összetevőket tartalmaz, amelyek a rendelet 2. cikke értelmében mentességet kapnak a regisztrálási, továbbfelhasználói és értékelési követelmények alól.</t>
  </si>
  <si>
    <t>Kijelentem, hogy a termék a következő mentesített anyagokat tartalmazza.</t>
  </si>
  <si>
    <t>Hazard Statement</t>
  </si>
  <si>
    <t>Substance</t>
  </si>
  <si>
    <t>Anyag</t>
  </si>
  <si>
    <t>Figyelmeztető mondatok 
(H-mondatok)</t>
  </si>
  <si>
    <t>Koncentráció (%m/m)</t>
  </si>
  <si>
    <t>NTA as an impurity in MGDA and GLDA (**)</t>
  </si>
  <si>
    <t>Az NTA mint az MGDA- ban és a GLDA-ban jelenlévő szennyeződés(**)</t>
  </si>
  <si>
    <t>(*) Including stabilisers and other auxiliary substances in the preparations</t>
  </si>
  <si>
    <t>(*) A stabilizálószereket és a készítmények más segédanyagait is beleértve.</t>
  </si>
  <si>
    <t>(**) A nyersanyag kevesebb mint 0,2 %-ában, amennyiben a késztermékben az összkoncentráció 0,10 % alatt marad.</t>
  </si>
  <si>
    <t>(**) In concentrations lower than 0,2 % in the raw material as long as the total concentration in the final product is lower than 0,10 %.</t>
  </si>
  <si>
    <t>H mondatok</t>
  </si>
  <si>
    <t>H400 és felületaktív</t>
  </si>
  <si>
    <t xml:space="preserve">H351 </t>
  </si>
  <si>
    <t xml:space="preserve">H412 </t>
  </si>
  <si>
    <t>és felületaktív</t>
  </si>
  <si>
    <t xml:space="preserve">H317 </t>
  </si>
  <si>
    <t>és enzim</t>
  </si>
  <si>
    <t xml:space="preserve">H334 </t>
  </si>
  <si>
    <t>I attach declarations from suppliers or SDS confirming that these ingoing substances fulfil the derogation conditions.</t>
  </si>
  <si>
    <t>Ezt a jelölőnégyzetet csak akkor kell bejelölni, ha L268 értéke Igaz</t>
  </si>
  <si>
    <t>Substances of very high concern (SVHCs)</t>
  </si>
  <si>
    <t>Különös aggodalomra okot adó anyagok (SVHC-k)</t>
  </si>
  <si>
    <t>I declare that the final product does not contain any ingoing substances that have been identified in accordance with the procedure described in Article 59(1) of Regulation (EU) No 1907/2006.</t>
  </si>
  <si>
    <t>I attach declarations from suppliers or SDS confirming the non-presence of all the candidate list substances.</t>
  </si>
  <si>
    <t>I declare that the latest list of SVHCs has been used on the date of this declaration.</t>
  </si>
  <si>
    <t>Kijelentem, hogy a késztermék nem tartalmaz olyan alapanyagot, amelyet az 1907/2006/EK rendelet 59. cikkének (1) bekezdésében leírt, a különös aggodalomra okot adó anyagok jelöltlistájának összeállítására szolgáló eljárás szerint azonosítottak.</t>
  </si>
  <si>
    <t>Igazolásként csatolom a beszállítók nyilatkozatát.</t>
  </si>
  <si>
    <t>Csatolom a beszállítók megfelelőségi nyilatkozatait vagy a termékek biztonsági adatlapját annak bizonyítására, hogy a termék nem tartalmazza a késztermék 0,010 %(m/m)-ának megfelelő vagy azt meghaladó koncentrációban olyan alapanyagokat, amelyek abban a formájukban és halmazállapotukban, amelyben a termékben jelen vannak, megfelelnek a fenti táblázatban szereplő egy vagy több veszélyességi kategóriának,  hacsak ezekre az összetevőkre nem vonatkozik speciális mentesség.</t>
  </si>
  <si>
    <t>Csatolom a beszállítók megfelelőségi nyilatkozatait vagy a termékek biztonsági adatlapját annak bizonyítására, hogy a termék felsorolt összetevői mentesített anyagnak számítanak.</t>
  </si>
  <si>
    <t>Csatolom a beszállítók nyilatkozatait vagy a biztonsági adatlapokat annak bizonyítására, hogy a termék a jelöltlistán szereplő anyagok egyikét sem tartalmazza.</t>
  </si>
  <si>
    <t>Illatanyagok</t>
  </si>
  <si>
    <t>I declare that all the fragrances included in the product are manufactured and handled following the code of practice of the International Fragrance Association (IFRA).</t>
  </si>
  <si>
    <t>Kijelentem, hogy a termékhez illatanyagként hozzáadott valamennyi alapanyag gyártása és kezelése a Nemzetközi Illatanyagipari Szövetség (IFRA) eljárási kódexének (1) megfelelően történt.</t>
  </si>
  <si>
    <t>I declare that the product does not contain fragrance substances.</t>
  </si>
  <si>
    <t>Kijelentem, hogy a termék nem tartalmaz illatanyagot.</t>
  </si>
  <si>
    <t>Tartósítószerek</t>
  </si>
  <si>
    <t>Funkciók előfordulásai</t>
  </si>
  <si>
    <t>I declare that all the preservatives included in the product have the unique purpose of preserving the product; therefore, they are present in the dosage appropriate for this purpose.</t>
  </si>
  <si>
    <t xml:space="preserve">Kijelentem, hogy a termék kizárólag tartósítás céljából és csak az e célnak megfelelő mennyiségben tartalmaz tartósítószereket. </t>
  </si>
  <si>
    <t>I declare that all the preservatives included in the product are not bio-accumulating. The following value has been measured/provided in order to prove that.</t>
  </si>
  <si>
    <t>Kijelentem, hogy a fenti nyilatkozatot a különös aggodalomra okot adó anyagok legfrissebb (a kérelem benyújtásának napján érvényes) jegyzékét figyelembe véve tettem.</t>
  </si>
  <si>
    <t>Ezt a jelölőnégyzetet csak akkor kell bejelölni, ha az Alapanyagok munkalapon az AJ63-AN63 cellák összege nagyobb 0-nál.</t>
  </si>
  <si>
    <t xml:space="preserve">Kijelentem, hogy a termék nem tartalmaz </t>
  </si>
  <si>
    <t xml:space="preserve">I declare that the product does not contain </t>
  </si>
  <si>
    <t>Ellenőrizze, és hasonlítsa össze az 'Összetétel' munkalap D és az 'Alapanyagok munkalap H oszlopának a kitöltését!</t>
  </si>
  <si>
    <t>Please, check and compare Worksheet 'Összetétel' Column D and Worksheet  'Alapanyagok' Column H!</t>
  </si>
  <si>
    <t>Tartósítószerek esetén lehetséges válaszok:  BCF / log Kow, színezékek esetén:</t>
  </si>
  <si>
    <r>
      <t>BCF  /  log K</t>
    </r>
    <r>
      <rPr>
        <vertAlign val="subscript"/>
        <sz val="10"/>
        <rFont val="Arial"/>
        <family val="2"/>
      </rPr>
      <t>ow</t>
    </r>
    <r>
      <rPr>
        <sz val="10"/>
        <rFont val="Arial"/>
        <family val="2"/>
      </rPr>
      <t xml:space="preserve"> /  Élelmiszerekre is engedélyezett</t>
    </r>
  </si>
  <si>
    <t>BCF/Log Kow</t>
  </si>
  <si>
    <t>Kijelentem, hogy a termékben található tartósítószerek nem bioakkumulatívak. Ezt bizonyítja az összetevők bioakkumulációs tényezője / bioakkumulációs potenciálja:</t>
  </si>
  <si>
    <t>I declare that the packaging or any other communication of the product does not claim or suggest that it has an antimicrobial or disinfecting effect.</t>
  </si>
  <si>
    <t>Kijelentem, hogy a csomagolás vagy bármely egyéb, a termékről szóló tájékoztató anyag nem állítja vagy sugallja, hogy a termék mikrobaölő vagy fertőtlenítő hatású.</t>
  </si>
  <si>
    <t>Csatolom</t>
  </si>
  <si>
    <t>I attach</t>
  </si>
  <si>
    <t>Declarations from suppliers or SDS of any preservative added, showing that the dosage included is for preservation purposes only.</t>
  </si>
  <si>
    <t>Information on BCF or log Kow values of the product.</t>
  </si>
  <si>
    <t>Artwork of the packaging.</t>
  </si>
  <si>
    <t>The product contains colouring agents not approved for use in food.</t>
  </si>
  <si>
    <t>The product contains colouring agents approved for use in food.</t>
  </si>
  <si>
    <t>A termék csak élelmiszerekben való felhasználásra engedélyezett színezőanyago(ka)t tartalmaz.</t>
  </si>
  <si>
    <t>A termék élelmiszerekben való felhasználásra nem engedélyezett színezőanyago(ka)t tartalmaz.</t>
  </si>
  <si>
    <t>Kijelentem, hogy a termékben található  színezőanyagok nem bioakkumulatívak. Ezt bizonyítja az összetevők bioakkumulációs tényezője / bioakkumulációs potenciálja:</t>
  </si>
  <si>
    <t>Színezékek</t>
  </si>
  <si>
    <t>eng.</t>
  </si>
  <si>
    <t>nem eng.</t>
  </si>
  <si>
    <t>Élelmiszerekben nem eng. Színezék</t>
  </si>
  <si>
    <t>I declare that all the colouring agents included in the product are not bio-accumulating. The following value has been measured in order to prove that (choose the most appropriate according to the criterion text):</t>
  </si>
  <si>
    <t>a beszállítók nyilatkozatát</t>
  </si>
  <si>
    <t>Declarations from suppliers.</t>
  </si>
  <si>
    <t>SDS of any colouring agent added.</t>
  </si>
  <si>
    <t>minden hozzááadott színezék biztonsági adatlapját</t>
  </si>
  <si>
    <t>a termék BCF vagy log Kow értékére vonatkozó információt</t>
  </si>
  <si>
    <t>minden hozzáadott tartósítószerhez a beszállítók megfelelőségi nyilatkozatát vagy a termék biztonsági adatlapját annak bizonyítására, hogy a termék kizárólag csak a tartósítási célnak megfelelő mennyiségű tartósítószert tartalmaz</t>
  </si>
  <si>
    <t>a csomagolás címketervét</t>
  </si>
  <si>
    <t>I attach supporting evidence demonstrating that the colouring agent is approved for food use.</t>
  </si>
  <si>
    <t>Csatolom a dokumentációt, amely igazolja, hogy a színezőanyag élelmiszerekben való felhasználását engedélyezték.</t>
  </si>
  <si>
    <t>Enzymes</t>
  </si>
  <si>
    <t>Enzimek</t>
  </si>
  <si>
    <t>The product contains enzymes.</t>
  </si>
  <si>
    <t>A termék enzimeket tartalmaz.</t>
  </si>
  <si>
    <t>I declare that only enzyme encapsulated (in solid form) and/or enzyme liquids/slurries have been used.</t>
  </si>
  <si>
    <t>Kijelentem, hogy a termékhez csak kapszulázott (szilárd formában lévő) enzim és enzimtartalmú folyadék/szuszpenzió lett hozzáadva.</t>
  </si>
  <si>
    <t>A termék nem tartalmaz enzimeket.</t>
  </si>
  <si>
    <t>The product does not contain enzymes.</t>
  </si>
  <si>
    <t>I declare that the product does not contain micro-organisms intentionally added.</t>
  </si>
  <si>
    <t>Kijelentem, hogy a termék nem tartalmaz szándékosan hozzáadott mikroorganizmusokat.</t>
  </si>
  <si>
    <t>I declare that there are micro-organisms that have been intentionally added to the product, and their concentration is equal to or higher than 0,010% weight by weight.</t>
  </si>
  <si>
    <t xml:space="preserve">Kijelentem, hogy a termék  szándékosan hozzáadott mikroorganizmusokat tartalmaz, amelyek koncentrációja ≥ 0,010 % (m/m). </t>
  </si>
  <si>
    <t>I declare that the product accomplishes all the following subcriteria from (i) to (x):</t>
  </si>
  <si>
    <t>Kijelentem, hogy a termék az alábbi (i)-(x) alkritériumok mindegyikének megfelel:</t>
  </si>
  <si>
    <t>(i) Identification: For identification choose at least one option: ATCC3, IDA4 or attach documentation on DNA identification in accordance with a “Strain identification protocol” (using 16S ribosomal DNA sequencing or and equivalent method)]:</t>
  </si>
  <si>
    <t>i. Azonosítás: Válassza ki minden szándékosan hozzáadott mikroorganizmus ATCC3-számát, IDA4 számát, vagy csatolja a  16S riboszómális DNS-szekventálással vagy azzal egyenértékű módszerrel végzett törzsazonosítási dokumentációját.</t>
  </si>
  <si>
    <t>Csatolom a DNS-azonosítási dokumentációt.</t>
  </si>
  <si>
    <t>Name (to the strain)</t>
  </si>
  <si>
    <t>I attach documentation on DNA identification</t>
  </si>
  <si>
    <t>Név (törzs)</t>
  </si>
  <si>
    <t>ii. Biztonság:</t>
  </si>
  <si>
    <t>(ii) Safety:</t>
  </si>
  <si>
    <t>I declare that all micro-organisms belong to:</t>
  </si>
  <si>
    <t>- Risk Group I as defined by Directive 2000/54/EC – biological agents at work</t>
  </si>
  <si>
    <t>- The Qualified Presumption of Safety (QPS) list issued by the European Food SafetyAuthority (EFSA).</t>
  </si>
  <si>
    <t>I attach documentation demonstrating that all micro-organisms belong to Risk Group I and the QPS list.</t>
  </si>
  <si>
    <t>(iii) Absence of contaminants:</t>
  </si>
  <si>
    <t>I declare that pathogenic micro-organisms, as defined below, are not present in any of the strains included in the finished product when screened using the indicated test methods or equivalent:</t>
  </si>
  <si>
    <t>- E. Coli, test method ISO 16649-3:2005</t>
  </si>
  <si>
    <t>Kijelentem, hogy minden szándékosan hozzáadott mikroorganizmus a következőkbe tartozik:</t>
  </si>
  <si>
    <t>— a 2000/54/EK irányelv (1) meghatározása szerinti I. kockázati csoport – a munka során biológiai anyagoknak való kitettség,</t>
  </si>
  <si>
    <t>— az Európai Élelmiszerbiztonsági Hatóság (EFSA) által közzétett, „vélelmezetten biztonságos” minősítésű anyagok jegyzéke.</t>
  </si>
  <si>
    <t>Csatolom a dokumentációt, amelyik bizonyítja, hogy minden szándékosan hozzáadott mikroorganizmus az I. kockázati csopotba és a "vélelmezetten biztonságos" minősítésű anyagok jegyzékébe tartozik.</t>
  </si>
  <si>
    <t>iii. Szennyező anyagok hiánya:</t>
  </si>
  <si>
    <t xml:space="preserve">— E. Coli, az ISO 16649-3:2005 szabvány szerinti vizsgálati módszer, </t>
  </si>
  <si>
    <t xml:space="preserve">— Streptococcus (Enterococcus), az ISO 21528-1:2004 szabvány szerinti vizsgálati módszer, </t>
  </si>
  <si>
    <t xml:space="preserve">— Staphylococcus aureus, az ISO 6888-1 szabvány szerinti vizsgálati módszer, </t>
  </si>
  <si>
    <t xml:space="preserve">— Bacillus cereus, az ISO 7932:2004 vagy az ISO 21871 szabvány szerinti vizsgálati módszer, </t>
  </si>
  <si>
    <t>— Salmonella, az ISO 6579:2002 vagy az ISO 19250 szabvány szerinti vizsgálati módszer.</t>
  </si>
  <si>
    <t>Kijelentem, hogy a termékben nincsenek az alábbiak közé tartozó  mikroorganizmusok.</t>
  </si>
  <si>
    <t>- Streptococcus (Enterococcus), test method ISO 21528-1:2004</t>
  </si>
  <si>
    <t>- Staphylococcus aureus, test method ISO 6888-1</t>
  </si>
  <si>
    <t>- Bacillus cereus, test method ISO 7932:2004 or ISO 21871</t>
  </si>
  <si>
    <t>- Salmonella, test method ISO 6579:2002 or ISO 19250</t>
  </si>
  <si>
    <t>I attach test documentation demonstrating that the pathogenic micro-organisms are not present in the product.</t>
  </si>
  <si>
    <t>(iv) Genetically modified micro-organisms (GMMs):</t>
  </si>
  <si>
    <t>I declare that all micro-organisms are not GMMs.</t>
  </si>
  <si>
    <t>I attach documentation demonstrating that all micro-organisms are not GMMs.</t>
  </si>
  <si>
    <t>(v) Antibiotic susceptibility:</t>
  </si>
  <si>
    <t>I declare that all micro-organisms, with the exception of intrinsic resistance, are susceptible to each of the five major antibiotic classes (aminoglycoside, macrolide, beta-lactam, tetracycline and fluoroquinolones) in accordance with the EUCAST disk diffusion method or equivalent.</t>
  </si>
  <si>
    <t>I attach test documentation demonstrating that all micro-organisms, with the exception of intrinsic resistance, are susceptible to each of the five major antibiotic classes indicated in the sub-criterion.</t>
  </si>
  <si>
    <t>(vi) Microbial count:</t>
  </si>
  <si>
    <t>I attach test documentation of CFU per ml of in-use solution.</t>
  </si>
  <si>
    <t>(vii) Shelf life:</t>
  </si>
  <si>
    <t>I declare that the minimum shelf life of the product is not lower than 24 months and that the microbial count does not decrease more than 10% every 12 months in accordance with ISO 4833-1:2014.</t>
  </si>
  <si>
    <t>I attach test documentation of CFU per ml of in-use solution every 12 months for a product stored until the end of its shelf life.</t>
  </si>
  <si>
    <t>(viii) Fitness for use:</t>
  </si>
  <si>
    <t>I declare that the product fulfil all the requirements set out in Criterion Fitness for Use and that all claims made by the manufacturer on the actions of the micro-organisms contained in the product have an antimicrobial or disinfecting effect.</t>
  </si>
  <si>
    <t>Test results from a third-party laboratory demonstrating the claimed actions of the micro-organisms</t>
  </si>
  <si>
    <t>Artwork of the packaging or a copy of the product’s label highlighting any claims made on the actions of the micro-organisms.</t>
  </si>
  <si>
    <t>(ix) Claims:</t>
  </si>
  <si>
    <t>I attach artwork of the packaging or a copy of the product’s label.</t>
  </si>
  <si>
    <t>(x) User information:</t>
  </si>
  <si>
    <t>I declare that the product label includes the following information:</t>
  </si>
  <si>
    <t>- That the product contains micro-organisms</t>
  </si>
  <si>
    <t>- That the product shall not be used with a spray trigger mechanism</t>
  </si>
  <si>
    <t>- That the product should not be used on surfaces in contact with food</t>
  </si>
  <si>
    <t>- An indication of the shelf life of the product</t>
  </si>
  <si>
    <t>iv. Géntechnológiával módosított mikroorganizmusok (GMM-ek)</t>
  </si>
  <si>
    <t>A szándékosan hozzáadott mikroorganizmusok nem  géntechnológiával módosított mikroorganizmusok.</t>
  </si>
  <si>
    <t>Csatolom a dokumentációt, amelyik bizonyítja, hogy a szándékosan hozzáadott mikroorganizmusok nem GMM-ek.</t>
  </si>
  <si>
    <t>v. Antibiotikumokkal szembeni érzékenység:</t>
  </si>
  <si>
    <t>Kijelentem, hogy minden szándékosan hozzáadott mikroorganizmus – a természetes ellenállását leszámítva – az EUCAST korongdiffúziós módszerével vagy azzal egyenértékű módszerrel igazoltan érzékeny az öt nagy antibiotikum-osztály mindegyikére (aminoglikozidok, makrolidok, béta-laktámok, tetraciklinek és fluorkinolonok).</t>
  </si>
  <si>
    <t>Csatolom a dokumentációt, amelyik bizonyítja, hogy a szándékosan hozzáadott mikroorganizmus – a természetes ellenállásukat leszámítva -  érzékenyek az alkritériumban felsorolt öt nagy antibiotikum-osztály mindegyikére.</t>
  </si>
  <si>
    <t>vi. Mikrobaszám:</t>
  </si>
  <si>
    <t>(limit: equal to or greater than 1x105 CFU per ml in accordance with ISO 4833-1:2014). [Note that for undiluted products, the dilution ratio recommended for ‘normal’ cleaning shall be used].</t>
  </si>
  <si>
    <t xml:space="preserve">Csatolom a használatra kész oldat CFU/ml tartalmáról szóló vizsgálati dokumentációt. </t>
  </si>
  <si>
    <t>vii. Eltarthatóság:</t>
  </si>
  <si>
    <t>Kijelentem, hogy a termék minimális eltarthatósága legalább 24 hónap, és a mikrobaszám 12 hónap alatt nem csökken 10 %-ot meghaladó mértékben, az ISO 4833-1:2014 szabványnak megfelelően.</t>
  </si>
  <si>
    <t>Csatolom az eltarthatóságának végéig tárolt termékből készített használatra kész oldat 12 havonta mért CFU/ml tartalmáról  szóló vizsgálati dokumentációt.</t>
  </si>
  <si>
    <t>viii. Használatra való alkalmasság:</t>
  </si>
  <si>
    <t>Kijelentem, hogy a termék teljesíti a 6. kritérium keretében a használatra való alkalmasságra, illetve a gyártó által a termékben jelen lévő mikroorganizmusok mikrobaölő vagy fertőtlenítő hatására vonatkozóan tett állításokra előírt valamennyi követelményt.</t>
  </si>
  <si>
    <t>ix. Állítások:</t>
  </si>
  <si>
    <t>Csatolom a termék csomagolásának a tervét vagy a címketervet.</t>
  </si>
  <si>
    <t>x. A felhasználók tájékoztatása:</t>
  </si>
  <si>
    <t>Kijelentem, hogy a termékcímke tartalmazza a következő információkat:</t>
  </si>
  <si>
    <t>— hogy a termék mikroorganizmusokat tartalmaz,</t>
  </si>
  <si>
    <t>— hogy a terméket nem szabad szórófej-mechanizmussal együtt használni,</t>
  </si>
  <si>
    <t>— hogy a terméket nem szabad élelmiszerrel érintkezésbe kerülő felületeken használni,</t>
  </si>
  <si>
    <t>— a termék eltarthatósága.</t>
  </si>
  <si>
    <t>Kijelentem, hogy a használatra kész formában lévő termékek normál csíraszáma milliliterenként</t>
  </si>
  <si>
    <t xml:space="preserve">I declare that products in their in-use form have a standard plate count of: </t>
  </si>
  <si>
    <t>harmadik fél laboratóriuma által végzett vizsgálat eredményeit, amelyek igazolják a mikroorganizmusok hatásaira vonatkozóan tett állításokat</t>
  </si>
  <si>
    <t>a csomagolás  vagy a termékcímke tervét, amelyen láthatóak a mikroorganizmusok hatásaira vonatkozó állítások</t>
  </si>
  <si>
    <t>Csatolom a dokumentációt, amelyik bizonyítja, hogy a termékben nincsenek patogén mikroorganizmusok.</t>
  </si>
  <si>
    <t>Products sold in spray bottles</t>
  </si>
  <si>
    <t>Szórófejes palackokban értékesített termékek</t>
  </si>
  <si>
    <t>I declare that spray bottles are refillable and reusable.</t>
  </si>
  <si>
    <t>I attach documentation describing or demonstrating how the spray bottles that are part of the packaging can be refilled.</t>
  </si>
  <si>
    <t>Kijelentem, hogy a szórófejes palackok újratölthetőek és újrahasználhatóak.</t>
  </si>
  <si>
    <t>Csatolom a megfelelő dokumentációt, amelyik leírja vagy bemutatja, hogy a csomagolás részét képező szórófejes palackokat hogyan lehet utántölteni.</t>
  </si>
  <si>
    <t>Csomagolás-visszaváltási rendszerek</t>
  </si>
  <si>
    <t>Packaging take-back systems</t>
  </si>
  <si>
    <t>I attach documentation describing or demonstrating that a take-back system has been put in place for the packaging.</t>
  </si>
  <si>
    <t>a)</t>
  </si>
  <si>
    <t xml:space="preserve">b) </t>
  </si>
  <si>
    <t>Weight/utility ratio (WUR)</t>
  </si>
  <si>
    <t>Tömeg/hasznosság arány (THA)</t>
  </si>
  <si>
    <t>Csatolom a megfelelő dokumentációt, amelyik leírja vagy bizonyítja, hogy a csomagolás-visszaváltási rendszer megvalósult.</t>
  </si>
  <si>
    <t>Csatolom a nyilatkozatot alátámasztó dokumentációt:</t>
  </si>
  <si>
    <t>I attach supporting evidence:</t>
  </si>
  <si>
    <t>Gyártói nyilatkozat(ok)</t>
  </si>
  <si>
    <t>Egyéb (nevezze meg):</t>
  </si>
  <si>
    <t>Kiszerelés sorszáma</t>
  </si>
  <si>
    <t>Packaging size id.</t>
  </si>
  <si>
    <t>WUR</t>
  </si>
  <si>
    <t>THA</t>
  </si>
  <si>
    <t>Number of different packaging forms included in the application (please, select):</t>
  </si>
  <si>
    <t>A pályázatban szereplő kiszerelési változatok száma (válassza ki):</t>
  </si>
  <si>
    <t>Declarations related to Criterion 5 munt be filled in for each packaging form separately.</t>
  </si>
  <si>
    <t>Az 5. kritériummal kapcsolatos nyilatkozatokat minden kiszerelési változatra külön-külön ki kell tölteni!</t>
  </si>
  <si>
    <t>Kijelentem, hogy az adott kiszerelés nem tartalmaz szórófejes palackot.</t>
  </si>
  <si>
    <t>Kijelentem, hogy a termék a termékre / az adott kiszerelésre vonatkozó visszaváltási rendszer hatálya alá tartozó csomagolásban kerül forgalomba.</t>
  </si>
  <si>
    <t>Az adott kiszerelés mentesül az 5. c) és d) pontokban megfogalmazott követelmények alól.</t>
  </si>
  <si>
    <t>Kijelentem, hogy a termék nem a termékre / az adott kiszerelésre vonatkozó visszaváltási rendszer hatálya alá tartozó csomagolásban kerül forgalomba, így nem mentesül az 5. kritérium c) és d) pontjában megadott kritériumok alól. (A c) és d) pontokat ki kell tölteni.)</t>
  </si>
  <si>
    <t>Kijelentem, hogy az adott kiszerelésben a termék elsődleges csomagolása több mint 80 %-ban újrahasznosított anyagokból készül.</t>
  </si>
  <si>
    <t>Kijelentem, hogy az adott kiszerelés esetében a THA arány nem haladja meg a vonatkozó határértéket.</t>
  </si>
  <si>
    <t>Kijelentem, hogy az adott kiszerelés esetében a termék szórófejes palackban kerül forgalomba.</t>
  </si>
  <si>
    <t>I declare that in the current packaging form the product is sold in spray bottles.</t>
  </si>
  <si>
    <t>I declare that the spray bottles used  for this form of packaging do not contain propellants.</t>
  </si>
  <si>
    <t>Kijelentem, hogy az adott kiszerelésű termékeknél a szórófejes palackok nem tartalmaznak hajtógázt.</t>
  </si>
  <si>
    <t>I declare that the current form of packaging does not include spray bottles.</t>
  </si>
  <si>
    <t>I declare that this form of packaging is part of a take-back system for the product.</t>
  </si>
  <si>
    <t>The current packaging form is exempted from the requirements set out in points (c) and (d) of this Criterion 5.</t>
  </si>
  <si>
    <t>I declare that the current packaging form is not part of a take-back system for a product, therefore it is not exempted from the requirements set out in points (c) and (d) of this Criterion 5. (The following sections (c) and (d) must be completed.)</t>
  </si>
  <si>
    <t>I declare that in case of the current packaging form the primary packaging of the product is made of more than 80% recycled materials.</t>
  </si>
  <si>
    <t>I declare that in the current packaging form the primary packaging of the product is made of less than 80% recycled materials.</t>
  </si>
  <si>
    <t>I declare that the WUR of the current packaging form does not exceed the indicated limits.</t>
  </si>
  <si>
    <t>I attach the spreadsheet with the calculation of WUR.</t>
  </si>
  <si>
    <t>Csatolom a THA kiszámítását bemutató munkalapot.</t>
  </si>
  <si>
    <t>Design for recycling</t>
  </si>
  <si>
    <t>Az újrahasznosítást megkönnyítő kialakítás</t>
  </si>
  <si>
    <t>I declare that the material composition of the product’s packaging is the following:</t>
  </si>
  <si>
    <t>Kijelentem, hogy a termék csomagolása a következő anyagokból áll:</t>
  </si>
  <si>
    <t>Kijelentem, hogy a termék csomagolása vagy bármely egyéb tájékoztató anyag nem állítja vagy sugallja, hogy a termék mikrobaölő vagy fertőtlenítő hatású.</t>
  </si>
  <si>
    <t>A tartály vagy palack anyaga</t>
  </si>
  <si>
    <t>A záróelem anyaga</t>
  </si>
  <si>
    <t>A záróréteg-bevonat anyaga</t>
  </si>
  <si>
    <t>Csomagoláselem ( a pumpa kivételével - a permetezett anyagoknál is)</t>
  </si>
  <si>
    <t>I attach photos or technical drawings of the primary packaging.</t>
  </si>
  <si>
    <t>Adhesives</t>
  </si>
  <si>
    <t>Ragasztók</t>
  </si>
  <si>
    <t>Csatolom az elsődleges csomagolás fényképét vagy műszaki rajzokat  az elsődleges csomagolásról.</t>
  </si>
  <si>
    <t>Hányadik elem a menüből</t>
  </si>
  <si>
    <t>THA Határérték</t>
  </si>
  <si>
    <t>g/l tisztítószer oldat</t>
  </si>
  <si>
    <t>Kijelentem, hogy a termék NEM a termékre / az adott kiszerelésre vonatkozó visszaváltási rendszer hatálya alá tartozó csomagolásban kerül forgalomba, így nem mentesül az 5. kritérium c) és d) pontjában megadott kritériumok alól. (A c) és d) pontokat ki kell tölteni.)</t>
  </si>
  <si>
    <t>Kiszerelések kitöltöttsége</t>
  </si>
  <si>
    <t>Ezek itt már azonosítókkal ellátott jelölőnégyzetek (70-72)</t>
  </si>
  <si>
    <t>Csak kemény felületekre szánt (használatra kész) tisztítószereknél: Szórófejes palack</t>
  </si>
  <si>
    <t>Csak kemény felületekre szánt tisztítószereknél: a szórófejes palackok újratöltésére szánt hígítatlan termék</t>
  </si>
  <si>
    <t>I declare that the product has been tested under the conditions specified in the “'Framework for testing the performance of hard surface cleaners'” and the product has achieved at least the minimum cleaning performance.required.</t>
  </si>
  <si>
    <t>I attach documentation demonstrating compliance with the laboratory requirements included in the relevant harmonised standards for testing and calibration laboratories,</t>
  </si>
  <si>
    <t>I attach supporting information or spreadsheet with the results of the testing.</t>
  </si>
  <si>
    <t>Csatolom a dokumentációt, amely igazolja a vonatkozó harmonizált szabványokban a vizsgáló- és kalibrálólaboratóriumok számára előírt laboratóriumi követelményeknek való megfelelést.</t>
  </si>
  <si>
    <t>Csatolom a vizsgálati eredményeket tartalmazó dokumentációt.</t>
  </si>
  <si>
    <t>I declare that the product label/packaging includes instructions for proper use so as to maximize product performance and minimize waste, and reduce water pollution and use of resources. These instructions are legible or include graphical representation or icons and include dosing instructions, packaging disposal information and environmental information.</t>
  </si>
  <si>
    <t>I attach a sample of the product label.</t>
  </si>
  <si>
    <t>Csatolom a termékcímke mintát.</t>
  </si>
  <si>
    <t>I declare that suitable steps have been taken to help consumers respect the recommended dosage (i.e. by making available the dosing instructions and a convenient dosing system).</t>
  </si>
  <si>
    <t>I declare that dosage instructions include information on the recommended dosage for at least two levels of soiling.</t>
  </si>
  <si>
    <t xml:space="preserve">Kijelentem, hogy az adagolási utasításban legalább két különböző mértékű szennyezettségnek megfelelő ajánlott adagolás van feltüntetve. </t>
  </si>
  <si>
    <t>I declare that dosage instructions include the impact of the water hardness on the dosing.</t>
  </si>
  <si>
    <t>Kijelentem, hogy az adagolási utasításban megtalálható, hogy a vízkeménység hogyan befolyásolja az adagolást.</t>
  </si>
  <si>
    <t>I declare that dosage instructions include indications of the most prevalent water hardness in the area where the product is intended to be marketed or where this information can be found.</t>
  </si>
  <si>
    <t>I declare that the product is a RTU product. The following text appears on the packaging: "This product is not intended for a large-scale cleaning".</t>
  </si>
  <si>
    <t>Kijelentem, hogy ez a termék használatra kész termék, amelynek a csomagolásán fel van tüntetve a következő szöveg: „Ez a termék nem ipari takarításra szolgál.”</t>
  </si>
  <si>
    <t>I declare that the primary packaging includes information on the reuse, recycling and correct disposal of packaging.</t>
  </si>
  <si>
    <t>I declare that the primary packaging includes a text indicating the importance of using the correct dosage and the lowest recommended temperature.</t>
  </si>
  <si>
    <t>I declare that the logo is used according to the logo guidelines</t>
  </si>
  <si>
    <t>I declare that the EU Ecolabel registration/licence number appears on the product and it is used according to the logo guidelines</t>
  </si>
  <si>
    <t>I declare that the label contains a text box with the following text:</t>
  </si>
  <si>
    <t>“Limited impact on the aquatic environment”</t>
  </si>
  <si>
    <t>“Restricted amount of hazardous substances”</t>
  </si>
  <si>
    <t>“Tested for cleaning performance”</t>
  </si>
  <si>
    <t>I attach a sample of the product label or artwork of the packaging where the EU Ecolabel is placed.</t>
  </si>
  <si>
    <t>In addition I, the undersigned, hereby declare that all the documents provided to demonstrate the accomplishment with the criteria are true and correspond to reality.</t>
  </si>
  <si>
    <t>"A vízi környezetre gyakorolt hatás korlátozott;"</t>
  </si>
  <si>
    <t>Alacsonyabb vízi környezet károsító hatás</t>
  </si>
  <si>
    <t>"Korlátozott veszélyesanyag-tartalom;"</t>
  </si>
  <si>
    <t>"Ellenőrzött tisztító hatás."</t>
  </si>
  <si>
    <t>Mellékelem az uniós ökocímkét feltüntető termékcímke mintáját vagy a csomagolási  tervet.</t>
  </si>
  <si>
    <t>Alulírott kijelentem továbbá, hogy a termék ökocímke kritériumoknak való megfelelőségét igazoló valamennyi dokumentum valódi, és a tartalmuk megfelel a valóságnak.</t>
  </si>
  <si>
    <t>Kijelentem, hogy az elsődleges csomagoláson fel vannak tüntetve a csomagolás újrafelhasználására, újrahasznosítására és a csomagolási hulladék megfelelő elhelyezésére vonatkozó információkat.</t>
  </si>
  <si>
    <t>Kijelentem, hogy az elsődleges csomagoláson szövegesen fel van tüntetve, hogy az energia- és a vízfogyasztás minimálisra csökkentése, valamint a vízszennyezés visszaszorítása érdekében fontos betartani a helyes adagolást és a legalacsonyabb ajánlott hőmérsékletet.</t>
  </si>
  <si>
    <t>Kijelentem, hogy az uniós ökocímke logóját az arculati előírásoknak megfelelően használjuk.</t>
  </si>
  <si>
    <t>Kijelentem, hogy az uniós ökocímke nyilvántartási/engedélyezési száma olvasható és jól látható módon van a terméken feltüntetve.</t>
  </si>
  <si>
    <t>Kijelentem, hogy a címkén a következő szöveget tartalmazó opcionális szövegdoboz is fel van tüntetve:</t>
  </si>
  <si>
    <t>Kijelentem, hogy a termék a „Framework for testing the performance of hard surface cleaners” (Kemény felületekre való tisztítószerek hatásossági vizsgálata - elérhető az EU ökocímke honlapján) című tanulmány szerint végzett vizsgálat alapján legalább az előírt minimális tisztító hatással rendelkezik.</t>
  </si>
  <si>
    <t>Kijelentem, hogy termék címkéjén/csomagolásán megtalálható a használati utasítás, amely segít maximalizálni a termék hatékonyságát és minimálisra csökkenteni a képződő hulladékot, valamint  a vízszennyezést és a természeti erőforrások felhasználását. A használati utasítás olvasható formában, grafikusan ábrázolva vagy ikonok formájában tartalmazza az adagolásra, a csomagolás ártalmatlanítására és a környezetvédelemre vonatkozó információkat.</t>
  </si>
  <si>
    <t>Dosing instructions</t>
  </si>
  <si>
    <t>Packaging disposal information</t>
  </si>
  <si>
    <t>Environmental information</t>
  </si>
  <si>
    <t>Adagolási utasítások</t>
  </si>
  <si>
    <t>A csomagolás ártalmatlanítására vonatkozó információk</t>
  </si>
  <si>
    <t>Környezetvédelmi információk</t>
  </si>
  <si>
    <t>Kijelentem, hogy a termék megfelelő módon segíti a fogyasztókat az ajánlott adagolás betartásában (a termék tartalmazza az adagolási utasítást és az adagoláshoz szükséges eszközöket).</t>
  </si>
  <si>
    <t>Kijelentem, hogy az adagolási utasítás tartalmazza annak a térségnek a jellemző vízkeménységét, ahol a terméket forgalomba kívánják hozni, vagy azt, hogy ez az információ hol található meg.</t>
  </si>
  <si>
    <t>Place and date:</t>
  </si>
  <si>
    <t>Company name/stamp:</t>
  </si>
  <si>
    <t>Responsible person, phone number and e-mail:</t>
  </si>
  <si>
    <t>Signature of responsible person:</t>
  </si>
  <si>
    <t>Keltezés (hely, dátum):</t>
  </si>
  <si>
    <t>A vállalat neve / pecsétje</t>
  </si>
  <si>
    <t>Képviselő aláírása:</t>
  </si>
  <si>
    <t>Képviselő neve, telefonszáma, elektronikus postacíme:</t>
  </si>
  <si>
    <t>Mire használható ez az adatlap?</t>
  </si>
  <si>
    <t>A pályázónak annyi a teendője, hogy kitölti és kinyomtatja azokat a munkalapokat, amelyek lapfüle zöld színű, és csatolja a Nyilatkozatok munkalapokon az egyes kritériumoknál megjelölt dokumentumokat.</t>
  </si>
  <si>
    <t>What is the purpose of this file?</t>
  </si>
  <si>
    <t>It includes the questionnaire of the Application guideline required by the Hungarian Competent Body (see page 17 of the Application guideline) as well as questions related to the fulfilment of the ecolabel criteria and declarations required by the EU ecolabel criteria.</t>
  </si>
  <si>
    <t>A fájl makrókat tartalmaz, ezért a fájl megnyitásánál jóvá kell hagyni a makrók használatát. (Ezek a makrók nem károsítják a gépet, ártalmatlanok.)
A fájl megnyitásakor a menüsor alatti sárga csíkban megjelenik a figyelmeztetés: „A rendszer letiltotta az aktív tartalom egy részét. Kattintson a részletekért.”
A makrók engedélyezéséhez kattintson a figyelmeztetés mellett található „Tartalom engedélyezése” feliratú mezőre.</t>
  </si>
  <si>
    <t>Full name of the applicant company:</t>
  </si>
  <si>
    <t>Postal address:</t>
  </si>
  <si>
    <t>Street address (postal code, region, city, district, street name, number)</t>
  </si>
  <si>
    <t>Tax / VAT number:</t>
  </si>
  <si>
    <t>Number of bank account:</t>
  </si>
  <si>
    <t>Phone number(s):</t>
  </si>
  <si>
    <t>Website:</t>
  </si>
  <si>
    <t>Name of legal representative of the company:</t>
  </si>
  <si>
    <t>Position:</t>
  </si>
  <si>
    <t>Phone number of legal representative:</t>
  </si>
  <si>
    <t>Name of the contact person:</t>
  </si>
  <si>
    <t>Phone number:</t>
  </si>
  <si>
    <t>E-mail:</t>
  </si>
  <si>
    <t>In what capacity do you apply for the EU ecolabel?</t>
  </si>
  <si>
    <t>Information about the product:</t>
  </si>
  <si>
    <t>Trade name:</t>
  </si>
  <si>
    <t>Product group</t>
  </si>
  <si>
    <t>Designation and specification of the product(s), including registered name(s):</t>
  </si>
  <si>
    <t>Name and address of manufacturing site(s) (if different from above):</t>
  </si>
  <si>
    <t>In case the product is made outside the European Economic Area market (European Union plus Iceland, Lichtenstein and Norway), please confirm the country where it has been or will be placed on the market?</t>
  </si>
  <si>
    <t>Please state other EU countries in which this product is sold in the same form (if sold under different names, please state names to be registered)</t>
  </si>
  <si>
    <t>Is this the first application for the EU Ecolabel for the product(s) specified above:</t>
  </si>
  <si>
    <t>Először pályáznak ezzel a termékkel az EU-ökocímkére?</t>
  </si>
  <si>
    <t>Székhelye (irányítószám, város, kerület, utca, házszám):</t>
  </si>
  <si>
    <t>Információk a termékről</t>
  </si>
  <si>
    <t>If no, please state when and where the first application was made, and with what outcome:</t>
  </si>
  <si>
    <t>Ha nem, hol és mikor pályáztak, és mi volt az eredmény?</t>
  </si>
  <si>
    <t>the Nordic Swan ecolabel?</t>
  </si>
  <si>
    <t xml:space="preserve">Az Európai Parlament és Tanács uniós ökocímkéről szóló  66/2010/EK rendelete értelmében a kérelmet fogadó illetékes testület a rendelet III. mellékletében foglaltak szerint díjat számít fel. A díj, illetve a különböző díjkedvezmények megállapításához  a pályázónak nyilatkoznia kell az alábbiakról. A pályázat feldolgozásának feltétele a pályázati díj befizetésének igazolása.
Kérjük, hogy minden alábbi kérdésre adjon választ.
</t>
  </si>
  <si>
    <t>According to Regulation (EC) No 66/2010 of The European Parliament and of The Council of 25 November 2009 on the EU Ecolabel appendix III., application and annual licence fees will be charged. To set the appropriate fees, the applicant  shall declare make declarations in the issues below. Before the application can be processed, the applicant must pay the application fee relevant for the company. Please, answer the following questions:</t>
  </si>
  <si>
    <t>Declaration: type of company</t>
  </si>
  <si>
    <t>Is the company a micro sized company as defined in the Commission’s Recommendation 2003/361/EC - i.e. under 10 employees and an annual turnover or total annual balance not exceeding 2 mill. Euro?</t>
  </si>
  <si>
    <t>A pályázó vállalat a Bizottság 2003/361/EK  ajánlása értelmében mikrovállalkozásnak minősül (vagyis legfeljebb 10 alkalmazottja van, és az éves forgalma vagy a mérlegfőösszege 2 millió eurónál kisebb)?</t>
  </si>
  <si>
    <t>A pályázó vállalat a Bizottság 2003/361/EK  ajánlása értelmében KKV-nak minősül (legfeljebb 250 alkalmazottja van, az éves forgalma kisebb, mint 50 millió euró vagy a mérlegfőösszege kisebb mint 43 millió euró).</t>
  </si>
  <si>
    <t>Is the company a small or medium sized company as defined in the Commission’s Recommendation 2003/361/EC – i.e. under 250 employees and an annual turnover not exceeding 50 mill. Euro or total annual balance not exceeding 43 mill. Euro?</t>
  </si>
  <si>
    <t>Is the company situated in a developing country (as defined in the OECD’s Development Assistance Committee’s list of countries receiving development aid)?</t>
  </si>
  <si>
    <t>Is the company registered under EMAS and/or certified under ISO 14001 and has the company in its environmental policy, committed to maintain compliance of its ecolabel products with the EU Ecolabel product group criteria throughout the contract’s period of validity?</t>
  </si>
  <si>
    <t>A pályázó vállalat EMAS regisztrációval és/vagy érvényes ISO 14001 tanúsítvánnyal rendelkezik, és elkötelezi magát, hogy környezeti politikájában biztosítja, hogy ökocímkével ellátott termékei a címkehasználati szerződés érvényességének időtartama alatt az uniós ökocímke-kritériumoknak teljes mértékben megfelelnek, és hogy ez a kötelezettségvállalás megfelelő módon beépül a részletes környezetvédelmi célkitűzésekbe."</t>
  </si>
  <si>
    <t>Signature</t>
  </si>
  <si>
    <t>Company stamp</t>
  </si>
  <si>
    <t>A gyártóhely megnevezése és címe (amennyiben eltér a vállalati székhely címétől):</t>
  </si>
  <si>
    <t>Pályázott-e már korábban ezzel a termékkel valamelyik más ökocímkére (pl. a német vagy a skandináv ökocímkére)?</t>
  </si>
  <si>
    <t>A vállalat fejlődő országban található (rajta van az OECD által a fejlesztési segélyben részülő országokról összeállított listán - DAC List of ODA Recipients)</t>
  </si>
  <si>
    <t>felelős vezetője kijelentem, hogy a pályázati dokumentációban a termékre és a termék előállítására megadott információk megfelelnek a valóságnak.</t>
  </si>
  <si>
    <t>A háztartási felhasználásra szánt termékek nem tartalmazhatnak a gyártó által szándékosan hozzáadott mikroorganizmusokat.</t>
  </si>
  <si>
    <r>
      <t xml:space="preserve">Ingoing substance </t>
    </r>
    <r>
      <rPr>
        <vertAlign val="superscript"/>
        <sz val="10"/>
        <rFont val="Arial"/>
        <family val="2"/>
      </rPr>
      <t>2)</t>
    </r>
  </si>
  <si>
    <t xml:space="preserve">2) Fill-in all ingoing substances ≥ 0,01%, preservatives, fragrances and colouring agents regardless of concentration. The ingoing substances of fragrances do not need to be listed indivually if they are listed in the SDS. </t>
  </si>
  <si>
    <t>2) automatically all ingoing substances appear.</t>
  </si>
  <si>
    <t>2) Minden hozzáadott anyag automatikusan megjelenik.</t>
  </si>
  <si>
    <r>
      <t>Összetevők 2</t>
    </r>
    <r>
      <rPr>
        <vertAlign val="superscript"/>
        <sz val="10"/>
        <rFont val="Arial"/>
        <family val="2"/>
      </rPr>
      <t>)</t>
    </r>
  </si>
  <si>
    <t>2) Csak a pálmaolajat / pálmamagolajat tartalmazó alapanyagok láthatók</t>
  </si>
  <si>
    <t>2) Only ingoing substances containing palm/palmkernel oil are visible</t>
  </si>
  <si>
    <t>Termékcsoportok</t>
  </si>
  <si>
    <t>Please fill-in all red coloured fields.</t>
  </si>
  <si>
    <t>Kérjük, töltse ki a piros mezőket!</t>
  </si>
  <si>
    <t>Magyar 2.0</t>
  </si>
  <si>
    <t>2. Declaration A - from the manufacturer of the hand dishwashing detergent.</t>
  </si>
  <si>
    <t>Intenzív tisztító hatású mosószer</t>
  </si>
  <si>
    <t>Heavy-duty detergent</t>
  </si>
  <si>
    <t>Colour-safe detergent</t>
  </si>
  <si>
    <t>Színkímélő mosószer</t>
  </si>
  <si>
    <t>Light-duty detergent</t>
  </si>
  <si>
    <t>Pre-treatment  stain  remover (this  options  includes  stain  removers  used  for  direct  spot treatment  of  textilesbefore  washing  in  the  machine). I  declare  that  the  product  is  not  dosed  in  the washing machine nor dedicated to other uses besides pre-treatment</t>
  </si>
  <si>
    <t>Előkezelő folttisztítószer (idetartoznak a textíliák helyi szennyeződéseinek a mosógépben való mosás előtti, közvetlen kezelésére használt folttisztítószerek). Kijelentem, hogy a terméket a használati utasítás szerint nem kell a mosógépbe tenni, és a termék kizárólag előkezelésre szolgál.</t>
  </si>
  <si>
    <t>I declare that this product is effective at 30ºC or below.</t>
  </si>
  <si>
    <t>Kijelentem, hogy a termék 30 °C-on vagy annál alacsonyabb hőmérsékleten is hatékony.</t>
  </si>
  <si>
    <t>I declare that this product is designed to be used for the washing of textiles principally in household machines, but not excluding its use in public laundrettes and common laundries.</t>
  </si>
  <si>
    <t>Kijelentem, hogy a termék elsősorban háztartási mosógépekben való használatra szolgált, de felhasználható önkiszolgáló és nyilvános mosodákban is.</t>
  </si>
  <si>
    <t>I declare that this product is not a fabric softener, a product dosed by carriers such as sheets, cloths or other materials, nor a washing auxiliary used without subsequent washing such as stain removers for carpets and furniture upholstery</t>
  </si>
  <si>
    <t>Kijelentem, hogy a termék nem textilöblítő vagy olyan termék, amelynek egy-egy adagjával tisztítókendők, ruhák vagy egyéb anyagok vannak átitatva, sem pedig önmagában használható, utólagos mosást nem igénylő tisztítószer (mint például a szőnyeg- és kárpittisztítók).</t>
  </si>
  <si>
    <t>2. Declaration A - from the manufacturer of the laundry detergent</t>
  </si>
  <si>
    <t>2. A mosószer gyártójának nyilatkozata</t>
  </si>
  <si>
    <t>3) Anzugeben sind alle Inhaltsstoffe ≥ 0,01%, Konservierungs-, Farb- und Duftstoffe unabhängig von ihrer Konzentration. Bei Duftstoffen kann die Eingabe der einzelnen Inhaltsstoffe entfallen, sofern alle Inhaltsstoffe im SDS aufgeführt werden.</t>
  </si>
  <si>
    <r>
      <t>KHT</t>
    </r>
    <r>
      <rPr>
        <vertAlign val="subscript"/>
        <sz val="10"/>
        <rFont val="Arial"/>
        <family val="2"/>
      </rPr>
      <t>krónikus</t>
    </r>
    <r>
      <rPr>
        <sz val="10"/>
        <rFont val="Arial"/>
        <family val="2"/>
      </rPr>
      <t xml:space="preserve"> / AG</t>
    </r>
  </si>
  <si>
    <r>
      <t>Az elsődleges csomagolásban található termék tömege, g (D</t>
    </r>
    <r>
      <rPr>
        <vertAlign val="subscript"/>
        <sz val="10"/>
        <rFont val="Arial"/>
        <family val="2"/>
      </rPr>
      <t>újratölt</t>
    </r>
    <r>
      <rPr>
        <sz val="10"/>
        <rFont val="Arial"/>
        <family val="2"/>
      </rPr>
      <t>)</t>
    </r>
  </si>
  <si>
    <r>
      <t>F = V x R / V</t>
    </r>
    <r>
      <rPr>
        <vertAlign val="subscript"/>
        <sz val="10"/>
        <rFont val="Arial"/>
        <family val="2"/>
      </rPr>
      <t xml:space="preserve">újratölt </t>
    </r>
    <r>
      <rPr>
        <sz val="10"/>
        <rFont val="Arial"/>
        <family val="2"/>
      </rPr>
      <t>(a legközelebbi egész számra kerekítve)</t>
    </r>
  </si>
  <si>
    <r>
      <t>Az adott csomagolási rész tömege (T</t>
    </r>
    <r>
      <rPr>
        <vertAlign val="subscript"/>
        <sz val="10"/>
        <rFont val="Arial"/>
        <family val="2"/>
      </rPr>
      <t>i</t>
    </r>
    <r>
      <rPr>
        <sz val="10"/>
        <rFont val="Arial"/>
        <family val="2"/>
      </rPr>
      <t>), g</t>
    </r>
  </si>
  <si>
    <r>
      <t>Ebből nem megújuló/újrahasznosított anyagból (H</t>
    </r>
    <r>
      <rPr>
        <vertAlign val="subscript"/>
        <sz val="10"/>
        <rFont val="Arial"/>
        <family val="2"/>
      </rPr>
      <t>i</t>
    </r>
    <r>
      <rPr>
        <sz val="10"/>
        <rFont val="Arial"/>
        <family val="2"/>
      </rPr>
      <t>), g</t>
    </r>
  </si>
  <si>
    <r>
      <t>Az i-edik szekunder csomagolási elem tömege (T</t>
    </r>
    <r>
      <rPr>
        <vertAlign val="subscript"/>
        <sz val="10"/>
        <rFont val="Arial"/>
        <family val="2"/>
      </rPr>
      <t>i</t>
    </r>
    <r>
      <rPr>
        <sz val="10"/>
        <rFont val="Arial"/>
        <family val="2"/>
      </rPr>
      <t>), g</t>
    </r>
  </si>
  <si>
    <r>
      <t>Az elsődleges csomagolásban található termék tömege (D</t>
    </r>
    <r>
      <rPr>
        <vertAlign val="subscript"/>
        <sz val="10"/>
        <rFont val="Arial"/>
        <family val="2"/>
      </rPr>
      <t>újratölt</t>
    </r>
    <r>
      <rPr>
        <sz val="10"/>
        <rFont val="Arial"/>
        <family val="2"/>
      </rPr>
      <t>), ml</t>
    </r>
  </si>
  <si>
    <r>
      <t>1 g/cm</t>
    </r>
    <r>
      <rPr>
        <vertAlign val="superscript"/>
        <sz val="10"/>
        <rFont val="Arial"/>
        <family val="2"/>
      </rPr>
      <t>3</t>
    </r>
    <r>
      <rPr>
        <sz val="10"/>
        <rFont val="Arial"/>
        <family val="2"/>
      </rPr>
      <t>-nél nagyobb sűrűségű egyéb műanyagok</t>
    </r>
  </si>
  <si>
    <t>sonstige Kunststoffmaterialien mit D &lt; 1 g/cm3</t>
  </si>
  <si>
    <t>Any other plastic materials for sleeves/labels with D &lt; 1 g/cm3</t>
  </si>
  <si>
    <r>
      <t>1 g/cm</t>
    </r>
    <r>
      <rPr>
        <vertAlign val="superscript"/>
        <sz val="10"/>
        <rFont val="Arial"/>
        <family val="2"/>
      </rPr>
      <t>3</t>
    </r>
    <r>
      <rPr>
        <sz val="10"/>
        <rFont val="Arial"/>
        <family val="2"/>
      </rPr>
      <t>-nél kisebb egyéb műanyagok</t>
    </r>
  </si>
  <si>
    <r>
      <t>Az (i) rész súlya, gramm (T</t>
    </r>
    <r>
      <rPr>
        <vertAlign val="subscript"/>
        <sz val="10"/>
        <rFont val="Arial"/>
        <family val="2"/>
      </rPr>
      <t>i</t>
    </r>
    <r>
      <rPr>
        <sz val="10"/>
        <rFont val="Arial"/>
        <family val="2"/>
      </rPr>
      <t>)</t>
    </r>
  </si>
  <si>
    <r>
      <t>az i elsődleges csomagolás nem fogyasztóktól visszavett csomagolóanyag-hulladék  újrahasznosításából származó részének tömege, gramm (H</t>
    </r>
    <r>
      <rPr>
        <vertAlign val="subscript"/>
        <sz val="10"/>
        <rFont val="Arial"/>
        <family val="2"/>
      </rPr>
      <t>i</t>
    </r>
    <r>
      <rPr>
        <sz val="10"/>
        <rFont val="Arial"/>
        <family val="2"/>
      </rPr>
      <t>)</t>
    </r>
  </si>
  <si>
    <r>
      <t>Újratöltési mutató (R</t>
    </r>
    <r>
      <rPr>
        <vertAlign val="subscript"/>
        <sz val="10"/>
        <rFont val="Arial"/>
        <family val="2"/>
      </rPr>
      <t>i</t>
    </r>
    <r>
      <rPr>
        <sz val="10"/>
        <rFont val="Arial"/>
        <family val="2"/>
      </rPr>
      <t>)</t>
    </r>
  </si>
  <si>
    <r>
      <rPr>
        <vertAlign val="superscript"/>
        <sz val="10"/>
        <rFont val="Arial"/>
        <family val="2"/>
      </rPr>
      <t xml:space="preserve"> 1/ </t>
    </r>
    <r>
      <rPr>
        <sz val="10"/>
        <rFont val="Arial"/>
        <family val="2"/>
      </rPr>
      <t xml:space="preserve"> Regulation (EC) No 1907/2006 of the European Parliament and of the Council of 18 December 2006 concerning the Registration, Evaluation, Authorisation and Restriction of Chemicals (REACH) (OJ L 396, 30.12.2006, p. 1).</t>
    </r>
  </si>
  <si>
    <t>(határérték: legalább 1 × 105 telepképző egység (CFU) kell, hogy legyen az ISO 4833-1:2014 szabványnak megfelelően.) [Megjegyzés: Hígítatlan termékek esetében a normál tisztításra javasolt hígítási arányt kell alkalmazni.]</t>
  </si>
  <si>
    <r>
      <t xml:space="preserve">Kijelentem, hogy az adott kiszerelésben a termék elsődleges csomagolása </t>
    </r>
    <r>
      <rPr>
        <b/>
        <sz val="10"/>
        <rFont val="Arial"/>
        <family val="2"/>
      </rPr>
      <t>TÖBB</t>
    </r>
    <r>
      <rPr>
        <sz val="10"/>
        <rFont val="Arial"/>
        <family val="2"/>
      </rPr>
      <t xml:space="preserve"> mint 80 %-ban újrahasznosított anyagokból készül.</t>
    </r>
  </si>
  <si>
    <t>Other [indicate evidence attached]</t>
  </si>
  <si>
    <r>
      <t xml:space="preserve">Kijelentem, hogy az adott kiszerelés esetében a  termék elsődleges csomagolásához felhasznált újrahasznosított anyagok aránya </t>
    </r>
    <r>
      <rPr>
        <b/>
        <sz val="10"/>
        <rFont val="Arial"/>
        <family val="2"/>
      </rPr>
      <t>KEVESEBB</t>
    </r>
    <r>
      <rPr>
        <sz val="10"/>
        <rFont val="Arial"/>
        <family val="2"/>
      </rPr>
      <t xml:space="preserve"> mint 80%.</t>
    </r>
  </si>
  <si>
    <t>I declare that the product is a mixture of chemical substances and it does not contain micro-organisms that have been deliberately added by the manufacturer.</t>
  </si>
  <si>
    <t>I declare that this product is a detergent which is marketed and designed to be used to wash by  hand  items  such  as  glassware,  crockery  and  kitchen  utensils  including  cutlery,  pots,  pans and ovenware.</t>
  </si>
  <si>
    <t>Kijelentem, hogy a termék többek  között üvegáru, cserépedények és konyhai eszközök, például evőeszközök,  fazekak, serpenyők és  sütőedények  kézi mosogatásához való felhasználására szolgál.</t>
  </si>
  <si>
    <t>Kijelentem, hogy a termék vegyi anyagok keveréke, és nem tartalmaz a gyártó által szándékosan hozzáadott mikroorganizmusokat.</t>
  </si>
  <si>
    <t>2. A kézi mosogatószer gyártójának nyilatkozata</t>
  </si>
  <si>
    <t>Ez az Excel fájl segít a kemény felületekre szánt tisztítószerekre, kézi mosogatószerekre vagy mosószerekre benyújtandó Európai Ökocímke pályázatok összeállításában.</t>
  </si>
  <si>
    <t xml:space="preserve">To start work, choose your language and product group on Worksheet "Adatlap". If you choose to work in English, only product-group specific questions will appear, and they will appear in English (the name of worksheets will not change). </t>
  </si>
  <si>
    <t>1. kritérium – Adagolási követelmények</t>
  </si>
  <si>
    <t>Kemény felületekre szánt tisztítószerekre, mosószerekre és mosogatószerekre</t>
  </si>
  <si>
    <t>Criterion 1: Dosage requirements</t>
  </si>
  <si>
    <t>A pályázatban szereplő termék</t>
  </si>
  <si>
    <t>The product in the  EU Ecolabel application is a</t>
  </si>
  <si>
    <t xml:space="preserve">Folyékony/gél állagú termék. </t>
  </si>
  <si>
    <t>I declare that the density of the product is</t>
  </si>
  <si>
    <t>Kijelentem,  hogy a termék sűrűsége</t>
  </si>
  <si>
    <t>Liquid/gel product.</t>
  </si>
  <si>
    <t>g/ml.</t>
  </si>
  <si>
    <t>I declare that the reference dosage of the product is below the indicated limit:</t>
  </si>
  <si>
    <t>Kijelentem, hogy a termék referenciaadagja nem haladja meg az alábbi határértéket.</t>
  </si>
  <si>
    <t xml:space="preserve">The product is a heavy-duty detergent, a colour-safe detergent or a light-duty detergent. </t>
  </si>
  <si>
    <t>A termék intenzív tisztító hatású mosószer, színkímélő mosószer vagy kímélő mosószer.</t>
  </si>
  <si>
    <t>(limit: 16,0 g/kg of laundry).</t>
  </si>
  <si>
    <t>(A határérték 16,0 g/1 kg mosnivaló.)</t>
  </si>
  <si>
    <t>The product is a stain remover (pre-treatment only).</t>
  </si>
  <si>
    <t>A termék egy folttisztító (csak előkezelésre).</t>
  </si>
  <si>
    <t>(limit: 2,7 g/kg of laundry).</t>
  </si>
  <si>
    <t>(A határérték 2,7 g/1 kg mosnivaló.)</t>
  </si>
  <si>
    <t>I attach the product label that includes the dosing instructions and
documentation showing the density (g/ml) of liquid and gel products.</t>
  </si>
  <si>
    <t>Csatolom az adagolási utasításokat tartalmazó termékcímkét, valamint a folyékony és a gél állagú termékek sűrűségét (g/ml) igazoló dokumentációt.</t>
  </si>
  <si>
    <t>Please, check your answers on Worksheet "Termék" in fields C28, C38, and C39.</t>
  </si>
  <si>
    <t xml:space="preserve">Criterion 6: </t>
  </si>
  <si>
    <t xml:space="preserve">Criterion 7: </t>
  </si>
  <si>
    <t xml:space="preserve">Criterion 8: </t>
  </si>
  <si>
    <t xml:space="preserve">Criterion 9: </t>
  </si>
  <si>
    <t xml:space="preserve">1. kritérium - </t>
  </si>
  <si>
    <t xml:space="preserve">2. kritérium - </t>
  </si>
  <si>
    <t xml:space="preserve">3. kritérium - </t>
  </si>
  <si>
    <t xml:space="preserve">4. kritérium - </t>
  </si>
  <si>
    <t xml:space="preserve">6. kritérium - </t>
  </si>
  <si>
    <t xml:space="preserve">7. kritérium - </t>
  </si>
  <si>
    <t xml:space="preserve">8. kritérium - </t>
  </si>
  <si>
    <t xml:space="preserve">9. kritérium - </t>
  </si>
  <si>
    <t>Vízi szervezetekre gyakorolt mérgező hatás</t>
  </si>
  <si>
    <t>Toxicity to aquatic organisms</t>
  </si>
  <si>
    <t xml:space="preserve">Criterion 1:  </t>
  </si>
  <si>
    <t xml:space="preserve">Criterion 2:  </t>
  </si>
  <si>
    <t xml:space="preserve">Criterion 3:  </t>
  </si>
  <si>
    <t xml:space="preserve">Criterion 4:  </t>
  </si>
  <si>
    <t xml:space="preserve">Criterion 5:  </t>
  </si>
  <si>
    <t>Biológiai lebonthatóság</t>
  </si>
  <si>
    <t>Biodegradability</t>
  </si>
  <si>
    <t>A pálmaolaj, pálmamagbélolaj és származékaik fenntartható gazdálkodásból való beszerzése</t>
  </si>
  <si>
    <t>Sustainable sourcing of palm oil, palm kernel oil and their derivatives</t>
  </si>
  <si>
    <t>Kizárt és korlátozás hatálya alá eső anyagok</t>
  </si>
  <si>
    <t>Excluded and restricted substances</t>
  </si>
  <si>
    <t>Csomagolás</t>
  </si>
  <si>
    <t>Packaging</t>
  </si>
  <si>
    <t>Használatra való alkalmasság</t>
  </si>
  <si>
    <t>Fitness for use</t>
  </si>
  <si>
    <t>A felhasználók tájékoztatása</t>
  </si>
  <si>
    <t>User information</t>
  </si>
  <si>
    <t>Az uniós ökocímkén feltüntetett információk</t>
  </si>
  <si>
    <t>Information appearing on the EU Ecolabel</t>
  </si>
  <si>
    <t>A termék ebbe a kategóriába tartozik?</t>
  </si>
  <si>
    <t>Kemény felületekre szánt</t>
  </si>
  <si>
    <t>Mosószer</t>
  </si>
  <si>
    <t>Mosoga-tószer</t>
  </si>
  <si>
    <t>Powder/tablets</t>
  </si>
  <si>
    <t>Liquid, capsules, gel</t>
  </si>
  <si>
    <t>Por / tabletta</t>
  </si>
  <si>
    <t>Folyékony, kapszulás, gélállagú</t>
  </si>
  <si>
    <t>I declare that the total phosphorus (P) content calculated as elemental P is equal to or lower than the limit of 0,08 g/l of washing water.</t>
  </si>
  <si>
    <t>Kijelentem, hogy a termék elemi foszforként kiszámított teljes foszfortartalma (P) nem haladja meg a 0,08 g/1 l mosogatóvíz értéket.</t>
  </si>
  <si>
    <t>Kijelentem, hogy a termék elemi foszforként kiszámított teljes foszfortartalma nem haladja meg a termékre vonatkozó határértéket.</t>
  </si>
  <si>
    <t>I declare that the product contain the following amount of phosphorus (P) calculated as elemental
P, which does not exceed the indicated limit.</t>
  </si>
  <si>
    <t>Csatolom a beszállító(k) megfelelőségi nyilatkozatát.</t>
  </si>
  <si>
    <t xml:space="preserve">5. kritérium - </t>
  </si>
  <si>
    <t>Ellenőrizze a Termék adatlapon a C28, C38 és C39 mezők kitöltését!</t>
  </si>
  <si>
    <t>1,00</t>
  </si>
  <si>
    <t>0,00</t>
  </si>
  <si>
    <t>The product is not a professional product. I declare that fragrance substances subject to the declaration requirement provided in Regulation (EC) No 648/2004 are not present in the product in quantities ≥ 0,010 % weight by weight per substance.</t>
  </si>
  <si>
    <t>I declare that the final product does not classify as ‘Corrosive’ (C) with H314 in accordance with Regulation (EC) No 1272/2008.</t>
  </si>
  <si>
    <t>I declare the following concentrations of all ingoing substances used in the product, either as part of the formulation or as part of any mixture included in the formulation, that are classified as ‘Corrosive’ (C) with H314 in accordance with Regulation (EC) No 1272/2008:</t>
  </si>
  <si>
    <t>Corrosive properties</t>
  </si>
  <si>
    <t>Maró hatás</t>
  </si>
  <si>
    <t>Kijelentem, hogy a késztemék nem minősül a 1272/2008/EK rendelet szerinti „korrozív hatású” (C) keveréknek.</t>
  </si>
  <si>
    <t>Kijelentem, hogy a termékhez az alábbi, az 1272/2008/EK rendelet  besorolása szerint „korrozív hatású” (C)  és a H314 figyelmeztető mondattal társított anyagok kerültek felhasználásra összetevőként vagy az összetételben szereplő bármely keverék részeként. Az alábbi táblázat tartalmazza a felhasznált maró hatású anyagok pontos koncentrációját.</t>
  </si>
  <si>
    <t>Concentration in the final product</t>
  </si>
  <si>
    <t>Koncentráció a végtermékben</t>
  </si>
  <si>
    <t>Van-e H-mondat?</t>
  </si>
  <si>
    <t>H314 Causes severe skin burns and eye damage</t>
  </si>
  <si>
    <t>H314 Súlyos égési sérülést és szemkárosodást okoz</t>
  </si>
  <si>
    <t>Kitöltötte a sort?</t>
  </si>
  <si>
    <t>Ellenőrizze az Összetétel munkalap H oszlopának és a Nyilatkozatok_3 munkalap 476-486. sorainak a kitöltését!</t>
  </si>
  <si>
    <t>Please, check data in Worksheet Összetétel Column H and Worksheet Nyilatkozatok_3 Rows 476 - 486.</t>
  </si>
  <si>
    <t>Csatolom a termék biztonsági adatlapját.</t>
  </si>
  <si>
    <t>I attach the product SDS.</t>
  </si>
  <si>
    <t>The product is a hand dishwashing detergent for professional use. I declare that fragrance substances are not included.</t>
  </si>
  <si>
    <t>I declare that dosage instructions include information on the recommended dosage for a standard load for at least two levels of soiling and on the impact of the water hardness on the dosing.</t>
  </si>
  <si>
    <t>Kijelentem, hogy az  adagolási utasítás tartalmazza a  normál  töltet  legalább két  különböző mértékű  szennyezettségének megfelelő ajánlott adagolást, és azt, hogy a vízkeménység hogyan befolyásolja az adagolást.</t>
  </si>
  <si>
    <t>(1) it is readily degradable and has low adsorption (A &lt; 25 %)</t>
  </si>
  <si>
    <t>2. az anyag könnyen lebomlik és deszorpciója magas szintű (D &gt; 75 %)</t>
  </si>
  <si>
    <t>1. az anyag könnyen lebomlik és adszorpciója alacsony szintű (A &lt; 25 %)</t>
  </si>
  <si>
    <t>3. az anyag könnyen lebomlik és nem bioakkumulatív</t>
  </si>
  <si>
    <t>(2) it is readily degradable and has high desorption (D &gt; 75 %)</t>
  </si>
  <si>
    <t>(3) it is readily degradable and non-bioaccumulating</t>
  </si>
  <si>
    <t>Please check data in column E on worksheet "Alapanyagok_DID"!</t>
  </si>
  <si>
    <t>Ellenőrizze az Alapanyagok_DID munkalap E oszlopába beírt értékeket!</t>
  </si>
  <si>
    <t>(L22=Hamis, P22&gt;0)</t>
  </si>
  <si>
    <t>A részében?</t>
  </si>
  <si>
    <t xml:space="preserve">Hányszor van "nem </t>
  </si>
  <si>
    <t>szerepel" a DID-jegyzék</t>
  </si>
  <si>
    <t>A dupla feltételek egyike</t>
  </si>
  <si>
    <t>(L24=Igaz, P22=0)</t>
  </si>
  <si>
    <t>Check data on worksheets Alapanyagok and Alapanyagok_DID!</t>
  </si>
  <si>
    <t>Ellenőrizze az Alapanyagok és az Alapanyagok_DID munkalap kitöltését!</t>
  </si>
  <si>
    <t>utolso_sor_2</t>
  </si>
  <si>
    <t>A 2. táblázat utolsó sorának sorszáma:</t>
  </si>
  <si>
    <t>Magyar 2.1</t>
  </si>
  <si>
    <t>Termék munkalap: A C24-t minden termékcsoportnál ki kell tölteni</t>
  </si>
  <si>
    <t>Nyilatkozatok_3 munkalap: A táblázatokba beilleszti az adatokat, a makrók össze vannak kötve a jelölőnégyzetekkel</t>
  </si>
  <si>
    <t>1. táblázat</t>
  </si>
  <si>
    <t>2. táblázat</t>
  </si>
  <si>
    <t>Mosószerfajták</t>
  </si>
  <si>
    <t>2) Adjon meg minden, a termékben  ≥ 0,01% arányban jelen levő hozzáadott összetevőt, beleértve a tartósítószereket, illatanyagokat és színezékeket, koncentrációjuktól függetlenül. Amennyiben valamelyik felhasznált illatanyag aránya a termékben nagyobb, mint 0,01%, az illatanyag összetevőit kell felsorolni.</t>
  </si>
  <si>
    <t xml:space="preserve">BCF:    </t>
  </si>
  <si>
    <r>
      <t>log K</t>
    </r>
    <r>
      <rPr>
        <vertAlign val="subscript"/>
        <sz val="10"/>
        <rFont val="Arial"/>
        <family val="2"/>
      </rPr>
      <t>ow</t>
    </r>
    <r>
      <rPr>
        <sz val="10"/>
        <rFont val="Arial"/>
        <family val="2"/>
      </rPr>
      <t xml:space="preserve">: </t>
    </r>
  </si>
  <si>
    <t xml:space="preserve">BCF: </t>
  </si>
  <si>
    <t>(Határérték &lt;  100)</t>
  </si>
  <si>
    <t>(Határérték &lt;  3,0)</t>
  </si>
  <si>
    <t>minden hozzáadott enzim biztonsági adatlapját.</t>
  </si>
  <si>
    <t>I declare that the product has been tested under the conditions specified in the “EU Ecolabel protocol for testing laundry detergents”, and the product has achieved at least the minimum wash performance required.</t>
  </si>
  <si>
    <t>Kijelentem, hogy a termék használatra való alkalmasságának vizsgálata az uniós ökocímke weboldalán elérhető „EU Ecolabel protocol for testing laundry detergents” (Az uniós ökocímke által előírt vizsgálati eljárás a mosószerek vizsgálatához), illetve „EU Ecolabel protocol for testing stain removers”  (Az uniós ökocímke által előírt vizsgálati eljárás a folttisztítók vizsgálatához) tanulmány szerint történt, és a vizsgálat eredeménye szerint a termék a gyártó által ajánlott legalacsonyabb hőmérsékleten és a vízkeménységnek megfelelően előírt adagolás mellett kielégítő mosóhatással rendelkezik.</t>
  </si>
  <si>
    <t>I declare that the “Framework for the performance test for hand dishwashing detergents” has been used for this application, and the product has achieved a satisfactory wash performance at the lowest temperature and dosage recommended by the manufacturer for the water hardness.</t>
  </si>
  <si>
    <t>Kijelentem, hogy a termék használatra való alkalmasságának vizsgálata az uniós ökocímke weboldalán elérhető „Framework for the performance test for hand dishwashing detergents” (Kézi mosogatószerek hatásossági vizsgálata) tanulmány szerint történt, és a vizsgálat eredménye szerint a termék az ajánlott legalacsonyabb hőmérsékleten és a vízkeménységnek megfelelő ajánlott adagolás mellett kielégítő tisztító hatással rendelkezik.</t>
  </si>
  <si>
    <t>HSC, HDD, LD</t>
  </si>
  <si>
    <t>LD</t>
  </si>
  <si>
    <t>HSC, HDD</t>
  </si>
  <si>
    <t>HSC</t>
  </si>
  <si>
    <t xml:space="preserve">Kijelentem, hogy az ajánlott legalacsonyabb mosási hőmérséklet </t>
  </si>
  <si>
    <t>I declare that the lowest recommended temperature is</t>
  </si>
  <si>
    <t>[insert temperature (not higher than 30ºC)]</t>
  </si>
  <si>
    <t>[Írja be az ajánlott legalacsonyabb mosási hőmérsékletet (nem lehet 30ºC-nál magasabb)!]</t>
  </si>
  <si>
    <t>ºC.</t>
  </si>
  <si>
    <t>A fájl magában foglalja az általános Európai Ökocímke pályázati útmutató 17. oldalán található kérdőívet, illetve a kemény felületekre szánt tisztítószerekre vonatkozó uniós feltételrendszerben szereplő kritériumok teljesítésére vonatkozó kérdéseket, illetve a kritériumok által előírt nyilatkozatokat.</t>
  </si>
  <si>
    <t>For effective and fast completion, please, follow the sequence of the worksheets from Adatlap to Nyilatkozatok_4. The sequence is important because the worksheets use the answers and information from previous worksheets. If former answers are incomplete or contradicting to each other, the macros will not be able to fill in the tables of the declarations. If you follow the sequence and still receive an error message, go back to the previous worksheets, correct the mistakes and then check the checkboxes of the declarations again. Macros will not run automatically, they will start only if you check the checkboxes.</t>
  </si>
  <si>
    <t>Tesztelt változat, a monsun minden észrevételét figyelembe véve.</t>
  </si>
  <si>
    <t>Alapanyagok_DID munkalap,Eredmények munkalapok eredeti képleteinek javításával (pl. a "not included" kicserélése a képletekben)</t>
  </si>
  <si>
    <t>Javított makrókkal</t>
  </si>
  <si>
    <t>This workbook can be printed out not only by worksheets but also as a whole by clicking on the Print button at the bottom of worksheet Nyilatkozatok_4. (Worksheets   Összetétel,  Alapanyagok,  Alapanyagok_DID,  Eredmények-1, Eredmények-2, Kiszerelés 1-4 and Kiszerelés 5-8 need not to be printed and attached to the application.)</t>
  </si>
  <si>
    <t>A munkafüzetet nemcsak laponként lehet kinyomtatni. A Nyilatkozatok_4 munkalap alján található Nyomtatás gombra történő rákattintással a benyújtandó munkalapok együttesen is kinyomtathatók. (Az Összetétel, az Alapanyagok, az Alapanyagok_DID, az Eredmények-1, az Eredmények-2, a Kiszerelés 1-4 és a Kiszerelés 5-8 munkalapokat nem kell nyomtatott formában beadni.</t>
  </si>
  <si>
    <t xml:space="preserve">Anaerob körülmények között nem lebomló felületaktív anyag (H400/H412) </t>
  </si>
  <si>
    <t>Intenzív tisztító hatású mosószer, színkímélő mosószer</t>
  </si>
  <si>
    <t>The file contains macros. Therefore when opening it, you must approve macros on the yellow line right under the menu .</t>
  </si>
  <si>
    <t>Ez egy próbaváltozat. Bármilyen hiba esetén hívja a +36 30 820-0148 telefonszámot, vagy küldjön emailt az eriv@hoi.hu címre</t>
  </si>
  <si>
    <t>This is a trial version of the file. If you encounter any problem while working with it, please, call +36 30 820-0148 or send an email to eriv@hoi.hu.</t>
  </si>
  <si>
    <t>A Version 3 fordítása, kizárólag kemény felületekre szánt tisztítószerekre</t>
  </si>
  <si>
    <t>Magyar 3.0</t>
  </si>
  <si>
    <t>Még mindig csak 3 termékcsoportra, de új jelszó.</t>
  </si>
  <si>
    <t>Magyar 4.0</t>
  </si>
  <si>
    <t>Gépi mosogatószerekre is.</t>
  </si>
  <si>
    <t>Pályázati_adatlap_HSC_HDD_LD_20191216.xlsm</t>
  </si>
  <si>
    <t>Pályázati_adatlap_HSC_HDD_LD_20200102.xlsm</t>
  </si>
  <si>
    <t>Pályázati_adatlap_HSC_HDD_DD_LD.xlsm</t>
  </si>
  <si>
    <t>Applicants must answer the questions and fill in the forms on worksheets with green tags, print out these worksheets and attach documentation mentioned by each criterion on worksheets Nyilatkozatok_1 - Nyilatkozatok_4.</t>
  </si>
  <si>
    <t>A gépi mosogatószer gyártójának nyilatkozata</t>
  </si>
  <si>
    <t>Declaration from the manufacturer of the dishwashing detergent</t>
  </si>
  <si>
    <t xml:space="preserve">Dishwasher detergent </t>
  </si>
  <si>
    <t>Gépi mosogatószer</t>
  </si>
  <si>
    <t>Öblítőszer</t>
  </si>
  <si>
    <t>I declare that this product is marketed and designed to be used exclusively in household dishwashers and in automatic dishwashers for professional use of the same size and usage as that of household dishwashers.</t>
  </si>
  <si>
    <t>Kijelentem, hogy a pályázatban szereplő termék kizárólag háztartási mosogatógépekben, illetve hasonló méretű és igénybevételű professzionális automata mosogatógépekben való felhasználásra szolgál, és ilyen gépek számára kerül forgalomba.</t>
  </si>
  <si>
    <t>This worksheet needs to be filled in only for laundry detergents or dishwasher detergents.</t>
  </si>
  <si>
    <t>Ezt a munkalapot csak mosószerek és gépi mosogatószerek esetén kell kitölteni.</t>
  </si>
  <si>
    <t>The product is a single-function dishwasher detergent.</t>
  </si>
  <si>
    <t>A termék egy egyfunkciós gépi mosogatószer.</t>
  </si>
  <si>
    <t>The product is a multi-function dishwasher detergent.</t>
  </si>
  <si>
    <t>A termék egy többfunkciós gépi mosogatószer.</t>
  </si>
  <si>
    <t>Not applicable (the product is a rinse aid, which is exempted from this requirement)</t>
  </si>
  <si>
    <t>A termék egy öblítő, és az öblítők mentesülnek az adagolási követelmény alól.</t>
  </si>
  <si>
    <t>Gépi</t>
  </si>
  <si>
    <t>mosogató</t>
  </si>
  <si>
    <t>Anaerob körülmények között nem lebontható</t>
  </si>
  <si>
    <t>Kijelentem, hogy a termék alábbi alapanyagainak az előállításához felhasznált pálmaolaj és pálmamagbélolaj fenntartható gazdálkodást folytató ültetvényekről származik.</t>
  </si>
  <si>
    <t>Kijelentem, hogy a termék alábbi alapanyagainak az előállításához felhasznált pálmaolaj és pálmamagbélolaj fenntartható eredetét a felügyeleti lánc igazolása tanúsítja.</t>
  </si>
  <si>
    <t>nátrium-hidroxi-metil-glicinát,</t>
  </si>
  <si>
    <t>Sodium hydroxyl methyl glycinate,</t>
  </si>
  <si>
    <t>(csak professzionális termékek esetében) illatanyagok,</t>
  </si>
  <si>
    <t>(only for professional products) Fragrances,</t>
  </si>
  <si>
    <t>I declare that the product contains the following amount of phosphorus (P), calculated as elemental P, which does not exceed the indicated limit.</t>
  </si>
  <si>
    <t>Kijelentem, hogy a termék elemi foszforban kifejezett teljes foszfortartalma nem haladja meg az előírt határértékeket.</t>
  </si>
  <si>
    <t>Limit (g/wash)</t>
  </si>
  <si>
    <t>Határérték (g/mosogatás)</t>
  </si>
  <si>
    <t>Have you ever applied with this product for another ecolabel (e.g. German, Austrian or the Nordic ecolabel)?</t>
  </si>
  <si>
    <t>Kijelentem, hogy a termék nem professzionális felhasználásra szolgál, és nincsenek benne a 648/2004/EK rendeletben előírt címkézési követelmény hatálya alá tartozó illatanyagok az anyag 0,010 %(m/m)-ának megfelelő, vagy azt meghaladó mennyiségben.</t>
  </si>
  <si>
    <t>üzleti célú (professzionális) felhasználásra</t>
  </si>
  <si>
    <t>háztartási és üzleti célú (professzionális) felhasználásra</t>
  </si>
  <si>
    <t>Üzleti célú (professzionális) felhasználásra szánt termék</t>
  </si>
  <si>
    <t>Kijelentem, hogy a termék üzleti célú (professzionális) felhasználásra szolgáló kézi mosogatószer, és nem tartalmaz illatanyagokat.</t>
  </si>
  <si>
    <t xml:space="preserve"> and does not contain fragrance substances</t>
  </si>
  <si>
    <t>The product is not a professional product</t>
  </si>
  <si>
    <t>A termék nem üzleti célra szolgál</t>
  </si>
  <si>
    <t>, és nem tartalmaz illatanyagokat.</t>
  </si>
  <si>
    <t>1,00 g/l használatra kész termék</t>
  </si>
  <si>
    <t>1,00 g/l tisztítószer oldat</t>
  </si>
  <si>
    <t>0,00 g/l használatra kész termék</t>
  </si>
  <si>
    <t>0,00 g/l tisztítószer oldat</t>
  </si>
  <si>
    <t>Subtilisin</t>
  </si>
  <si>
    <t>Szubtilizin</t>
  </si>
  <si>
    <t>Mentesített</t>
  </si>
  <si>
    <t>Alapanyagoknál felsorolt mentesített anyagok száma:</t>
  </si>
  <si>
    <t>A táblázatban kitöltött sorok száma</t>
  </si>
  <si>
    <t>the most updated IKW standard test</t>
  </si>
  <si>
    <t>the most updated standard EN 50242/EN 60436 as modified in “Framework performance test for dishwasher detergents”</t>
  </si>
  <si>
    <t>a legfrissebb IKW szabvány szerint</t>
  </si>
  <si>
    <t>az EN 50242/EN 60436 szabvány legfrissebb változatának  az uniós ökocímke weboldalán elérhető „Framework performance test for dishwasher detergents” (Gépi mosogatószerek hatásossági vizsgálata) tanulmányban módosított előírásai szerint</t>
  </si>
  <si>
    <t>I declare that the product has achieved at least the minimum wash performance required.</t>
  </si>
  <si>
    <t>Kijelentem, hogy  a termék a vizsgálat eredménye szerint legalább az előírt minimális tisztító hatással rendelkezik.</t>
  </si>
  <si>
    <t>I declare that dosage instructions include information on the recommended dosage for a standard load.</t>
  </si>
  <si>
    <t>Kijelentem, hogy az adagolási utasításban szerepel a normál töltethez ajánlott adag megjelölése.</t>
  </si>
  <si>
    <t xml:space="preserve">"Tested for wash performance at </t>
  </si>
  <si>
    <t>°C."</t>
  </si>
  <si>
    <t>"Ellenőrzött mosóhatás</t>
  </si>
  <si>
    <t>°C-on."</t>
  </si>
  <si>
    <t>g/wash      (limit: 19,0 g/wash)</t>
  </si>
  <si>
    <t>g/wash      (limit: 21,0 g/wash).</t>
  </si>
  <si>
    <t>g/mosogatás      (A határérték 19,0 g/mosogatás).</t>
  </si>
  <si>
    <t>g/mosogatás      (A határérték 21,0 g/mosogatás).</t>
  </si>
  <si>
    <t>Többfunkciós gépi mosogatószer</t>
  </si>
  <si>
    <t>Kijelentem, hogy az alábbiakban meghatározott határértéknél nagyobb mértékben nincsenek a termékben illékony szerves vegyületek (VOC-ok).</t>
  </si>
  <si>
    <t>HDD-nél Fordítások!673, LD-nél Fordítások!674, HSC-nél Fordítások!438, DD-nél</t>
  </si>
  <si>
    <t>A HSC makróbna javítottam a Termék adatlap C24 mezőjében a legördülő menü tartalmát (korábban megegyezett a mosószeres legördülő menüvel)</t>
  </si>
  <si>
    <t>Jelölje be!</t>
  </si>
  <si>
    <t>0,55</t>
  </si>
  <si>
    <t>0,30</t>
  </si>
  <si>
    <t>0,10</t>
  </si>
  <si>
    <t>Határérték g/1 kg szennyes ruha</t>
  </si>
  <si>
    <t>Mosószerek</t>
  </si>
  <si>
    <t>0,04</t>
  </si>
  <si>
    <t>0,005</t>
  </si>
  <si>
    <t>This file helps you compile applications for the EU Ecolabel for hard surface cleaning products, hand dishwashing detergents or laundry detergents.</t>
  </si>
  <si>
    <t>Az adatlap kitöltését az Adatlap munkalapon a H oszlop 3. és 7. sorában a nyelv és a termékcsoport kiválasztásával kell kezdeni . Ezt követően csak az adott termékcsoportra vonatkozó kérdések fognak megjelenni a kiválasztott nyelven.</t>
  </si>
  <si>
    <t xml:space="preserve">A munkalapokat sorrendben, az Adatlapoktól kezdve a Nyilatkozatok_4 munkalap irányában haladva kell kitölteni. A sorrend azért fontos, mert az egyes munkalapok képletei és makrói a megelőző adatlapokra épülnek. A Nyilatkozatok nevű munkalapokon található táblázatokat a makrók akkor tudják kitölteni, ha a táblázatokhoz szükséges adatokat a pályázó már beírta a korábbi munkalapokra. A táblázatok kitöltését a jelölőnégyzetek bejelölése indítja. Így ha a nyilatkozathoz kapcsolódó jelölőnégyzet bejelölésekor a megelőző munkalapokról hiányzik a szükséges adat, vagy a korábbi válaszok ellentmondásosak, a nyilatkozatok táblázatainak kitöltéséhez először pótolni kell a hiányzó adatokat, ki kell javítani az ellentmondásos válaszokat, majd a nyilatkozathoz kapcsolódó jelölőnégyzetre ismételten rá kell kattintani. </t>
  </si>
  <si>
    <t>0,0015</t>
  </si>
  <si>
    <t>0,03</t>
  </si>
  <si>
    <t>0,08</t>
  </si>
  <si>
    <t>A termék nem üzleti célra szolgál, és nem tartalmaz illatanyagokat.</t>
  </si>
  <si>
    <t>A termék nem üzleti célra szolgál. Kijelentem, hogy a termékhez illatanyagként hozzáadott valamennyi alapanyag gyártása és kezelése a Nemzetközi Illatanyagipari Szövetség (IFRA) eljárási kódexének (1) megfelelően történt.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</si>
</sst>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00"/>
    <numFmt numFmtId="166" formatCode="0.0"/>
    <numFmt numFmtId="167" formatCode="0.00000"/>
    <numFmt numFmtId="168" formatCode="0.0#####"/>
    <numFmt numFmtId="169" formatCode="0.0######"/>
    <numFmt numFmtId="170" formatCode="0.0########"/>
    <numFmt numFmtId="171" formatCode="0.0##"/>
    <numFmt numFmtId="172" formatCode="0.0%"/>
    <numFmt numFmtId="173" formatCode="0.0000"/>
    <numFmt numFmtId="174" formatCode="#,000"/>
  </numFmts>
  <fonts count="82">
    <font>
      <sz val="10"/>
      <name val="Arial"/>
      <family val="2"/>
    </font>
    <font>
      <sz val="11"/>
      <color theme="1"/>
      <name val="Calibri"/>
      <family val="2"/>
      <scheme val="minor"/>
    </font>
    <font>
      <sz val="8"/>
      <name val="Arial"/>
      <family val="2"/>
    </font>
    <font>
      <b/>
      <sz val="10"/>
      <name val="Arial"/>
      <family val="2"/>
    </font>
    <font>
      <sz val="11"/>
      <name val="Arial"/>
      <family val="2"/>
    </font>
    <font>
      <b/>
      <i/>
      <u val="single"/>
      <sz val="11"/>
      <name val="Arial"/>
      <family val="2"/>
    </font>
    <font>
      <b/>
      <u val="single"/>
      <sz val="12"/>
      <name val="Arial"/>
      <family val="2"/>
    </font>
    <font>
      <b/>
      <sz val="8"/>
      <name val="Arial"/>
      <family val="2"/>
    </font>
    <font>
      <b/>
      <sz val="11"/>
      <name val="Arial"/>
      <family val="2"/>
    </font>
    <font>
      <sz val="12"/>
      <name val="Arial"/>
      <family val="2"/>
    </font>
    <font>
      <sz val="9"/>
      <name val="Geneva"/>
      <family val="2"/>
    </font>
    <font>
      <b/>
      <sz val="10"/>
      <color indexed="10"/>
      <name val="Arial"/>
      <family val="2"/>
    </font>
    <font>
      <b/>
      <sz val="12"/>
      <name val="Arial"/>
      <family val="2"/>
    </font>
    <font>
      <b/>
      <sz val="9"/>
      <name val="Geneva"/>
      <family val="2"/>
    </font>
    <font>
      <i/>
      <sz val="10"/>
      <name val="Arial"/>
      <family val="2"/>
    </font>
    <font>
      <i/>
      <vertAlign val="superscript"/>
      <sz val="10"/>
      <name val="Arial"/>
      <family val="2"/>
    </font>
    <font>
      <sz val="9"/>
      <name val="Arial"/>
      <family val="2"/>
    </font>
    <font>
      <b/>
      <sz val="10"/>
      <color rgb="FFFF0000"/>
      <name val="Arial"/>
      <family val="2"/>
    </font>
    <font>
      <u val="single"/>
      <sz val="9"/>
      <color indexed="12"/>
      <name val="Geneva"/>
      <family val="2"/>
    </font>
    <font>
      <sz val="10"/>
      <color rgb="FFFF0000"/>
      <name val="Arial"/>
      <family val="2"/>
    </font>
    <font>
      <b/>
      <u val="single"/>
      <sz val="12"/>
      <color rgb="FFFF0000"/>
      <name val="Arial"/>
      <family val="2"/>
    </font>
    <font>
      <sz val="8"/>
      <color rgb="FFFF0000"/>
      <name val="Arial"/>
      <family val="2"/>
    </font>
    <font>
      <b/>
      <u val="single"/>
      <sz val="11"/>
      <name val="Arial"/>
      <family val="2"/>
    </font>
    <font>
      <b/>
      <i/>
      <u val="single"/>
      <sz val="10"/>
      <name val="Arial"/>
      <family val="2"/>
    </font>
    <font>
      <sz val="11"/>
      <color rgb="FFFF0000"/>
      <name val="Arial"/>
      <family val="2"/>
    </font>
    <font>
      <b/>
      <sz val="10"/>
      <color theme="0"/>
      <name val="Arial"/>
      <family val="2"/>
    </font>
    <font>
      <b/>
      <i/>
      <u val="single"/>
      <sz val="11"/>
      <color rgb="FFFF0000"/>
      <name val="Arial"/>
      <family val="2"/>
    </font>
    <font>
      <i/>
      <sz val="10"/>
      <color rgb="FFFF0000"/>
      <name val="Arial"/>
      <family val="2"/>
    </font>
    <font>
      <sz val="9"/>
      <color theme="1"/>
      <name val="Geneva"/>
      <family val="2"/>
    </font>
    <font>
      <sz val="12"/>
      <color theme="1"/>
      <name val="Geneva"/>
      <family val="2"/>
    </font>
    <font>
      <b/>
      <sz val="18"/>
      <color theme="1"/>
      <name val="Arial"/>
      <family val="2"/>
    </font>
    <font>
      <b/>
      <sz val="18"/>
      <color theme="1"/>
      <name val="Geneva"/>
      <family val="2"/>
    </font>
    <font>
      <sz val="9"/>
      <color theme="1"/>
      <name val="Arial"/>
      <family val="2"/>
    </font>
    <font>
      <b/>
      <sz val="12"/>
      <color theme="1"/>
      <name val="Arial"/>
      <family val="2"/>
    </font>
    <font>
      <sz val="12"/>
      <color theme="1"/>
      <name val="Arial"/>
      <family val="2"/>
    </font>
    <font>
      <b/>
      <sz val="9"/>
      <color theme="1"/>
      <name val="Geneva"/>
      <family val="2"/>
    </font>
    <font>
      <sz val="8.1"/>
      <color theme="1"/>
      <name val="Arial"/>
      <family val="2"/>
    </font>
    <font>
      <b/>
      <sz val="9"/>
      <color rgb="FFFF0000"/>
      <name val="Geneva"/>
      <family val="2"/>
    </font>
    <font>
      <b/>
      <sz val="9"/>
      <color theme="1"/>
      <name val="Arial"/>
      <family val="2"/>
    </font>
    <font>
      <sz val="9"/>
      <color rgb="FF00B050"/>
      <name val="Geneva"/>
      <family val="2"/>
    </font>
    <font>
      <sz val="9"/>
      <color rgb="FF00B050"/>
      <name val="Arial"/>
      <family val="2"/>
    </font>
    <font>
      <sz val="8.1"/>
      <color rgb="FF00B050"/>
      <name val="Arial"/>
      <family val="2"/>
    </font>
    <font>
      <sz val="10"/>
      <color rgb="FF00B050"/>
      <name val="Arial"/>
      <family val="2"/>
    </font>
    <font>
      <sz val="22"/>
      <name val="Arial"/>
      <family val="2"/>
    </font>
    <font>
      <sz val="26"/>
      <color theme="0" tint="-0.4999699890613556"/>
      <name val="Arial"/>
      <family val="2"/>
    </font>
    <font>
      <sz val="16"/>
      <color rgb="FF0070C0"/>
      <name val="Arial Rounded MT Bold"/>
      <family val="2"/>
    </font>
    <font>
      <sz val="10.5"/>
      <name val="Calibri"/>
      <family val="2"/>
      <scheme val="minor"/>
    </font>
    <font>
      <sz val="12"/>
      <color theme="0"/>
      <name val="Arial Rounded MT Bold"/>
      <family val="2"/>
    </font>
    <font>
      <sz val="8"/>
      <name val="Calibri"/>
      <family val="2"/>
      <scheme val="minor"/>
    </font>
    <font>
      <sz val="22"/>
      <color theme="0"/>
      <name val="Arial"/>
      <family val="2"/>
    </font>
    <font>
      <sz val="10"/>
      <color theme="0"/>
      <name val="Arial"/>
      <family val="2"/>
    </font>
    <font>
      <sz val="10.5"/>
      <color theme="0"/>
      <name val="Calibri"/>
      <family val="2"/>
      <scheme val="minor"/>
    </font>
    <font>
      <vertAlign val="subscript"/>
      <sz val="10"/>
      <name val="Arial"/>
      <family val="2"/>
    </font>
    <font>
      <vertAlign val="superscript"/>
      <sz val="10"/>
      <name val="Arial"/>
      <family val="2"/>
    </font>
    <font>
      <b/>
      <sz val="9"/>
      <name val="Arial"/>
      <family val="2"/>
    </font>
    <font>
      <sz val="10"/>
      <name val="Calibri"/>
      <family val="2"/>
      <scheme val="minor"/>
    </font>
    <font>
      <b/>
      <u val="single"/>
      <sz val="10"/>
      <name val="Arial"/>
      <family val="2"/>
    </font>
    <font>
      <sz val="9"/>
      <color rgb="FF000000"/>
      <name val="Arial"/>
      <family val="2"/>
    </font>
    <font>
      <b/>
      <sz val="14"/>
      <color rgb="FFFF0000"/>
      <name val="Arial"/>
      <family val="2"/>
    </font>
    <font>
      <sz val="10"/>
      <color rgb="FF000000"/>
      <name val="Arial"/>
      <family val="2"/>
    </font>
    <font>
      <sz val="8.5"/>
      <name val="Arial"/>
      <family val="2"/>
    </font>
    <font>
      <b/>
      <sz val="8.5"/>
      <name val="Arial"/>
      <family val="2"/>
    </font>
    <font>
      <b/>
      <sz val="9.5"/>
      <name val="Arial"/>
      <family val="2"/>
    </font>
    <font>
      <b/>
      <u val="single"/>
      <sz val="12"/>
      <color theme="0"/>
      <name val="Arial"/>
      <family val="2"/>
    </font>
    <font>
      <sz val="8"/>
      <color theme="0"/>
      <name val="Arial"/>
      <family val="2"/>
    </font>
    <font>
      <b/>
      <sz val="14"/>
      <name val="Arial"/>
      <family val="2"/>
    </font>
    <font>
      <b/>
      <sz val="10"/>
      <color rgb="FF000000"/>
      <name val="Arial"/>
      <family val="2"/>
    </font>
    <font>
      <sz val="14"/>
      <color rgb="FFFF0000"/>
      <name val="Arial"/>
      <family val="2"/>
    </font>
    <font>
      <sz val="22"/>
      <color rgb="FFFF0000"/>
      <name val="Arial"/>
      <family val="2"/>
    </font>
    <font>
      <sz val="16"/>
      <color rgb="FFFF0000"/>
      <name val="Arial Rounded MT Bold"/>
      <family val="2"/>
    </font>
    <font>
      <sz val="10"/>
      <color rgb="FFFF0000"/>
      <name val="Calibri"/>
      <family val="2"/>
      <scheme val="minor"/>
    </font>
    <font>
      <sz val="9"/>
      <color rgb="FFFF0000"/>
      <name val="Arial"/>
      <family val="2"/>
    </font>
    <font>
      <b/>
      <u val="single"/>
      <sz val="8"/>
      <color rgb="FFFF0000"/>
      <name val="Arial"/>
      <family val="2"/>
    </font>
    <font>
      <b/>
      <u val="single"/>
      <sz val="8"/>
      <color theme="0"/>
      <name val="Arial"/>
      <family val="2"/>
    </font>
    <font>
      <sz val="16"/>
      <color rgb="FF0070C0"/>
      <name val="Arial"/>
      <family val="2"/>
    </font>
    <font>
      <sz val="11"/>
      <color theme="0"/>
      <name val="Calibri"/>
      <family val="2"/>
      <scheme val="minor"/>
    </font>
    <font>
      <sz val="11"/>
      <color theme="0"/>
      <name val="Times New Roman"/>
      <family val="1"/>
    </font>
    <font>
      <sz val="11"/>
      <color theme="0"/>
      <name val="Arial"/>
      <family val="2"/>
    </font>
    <font>
      <b/>
      <sz val="11"/>
      <color theme="1"/>
      <name val="Calibri"/>
      <family val="2"/>
    </font>
    <font>
      <sz val="11"/>
      <color theme="1"/>
      <name val="Calibri"/>
      <family val="2"/>
    </font>
    <font>
      <sz val="10"/>
      <color theme="1"/>
      <name val="Arial"/>
      <family val="2"/>
      <scheme val="minor"/>
    </font>
    <font>
      <sz val="10"/>
      <color theme="0"/>
      <name val="Arial"/>
      <family val="2"/>
      <scheme val="minor"/>
    </font>
  </fonts>
  <fills count="20">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rgb="FFCCFFCC"/>
        <bgColor indexed="64"/>
      </patternFill>
    </fill>
    <fill>
      <patternFill patternType="solid">
        <fgColor theme="2"/>
        <bgColor indexed="64"/>
      </patternFill>
    </fill>
    <fill>
      <patternFill patternType="solid">
        <fgColor theme="9"/>
        <bgColor indexed="64"/>
      </patternFill>
    </fill>
    <fill>
      <patternFill patternType="solid">
        <fgColor theme="3" tint="0.39998000860214233"/>
        <bgColor indexed="64"/>
      </patternFill>
    </fill>
    <fill>
      <patternFill patternType="solid">
        <fgColor indexed="41"/>
        <bgColor indexed="64"/>
      </patternFill>
    </fill>
    <fill>
      <patternFill patternType="solid">
        <fgColor theme="4" tint="0.7999799847602844"/>
        <bgColor indexed="64"/>
      </patternFill>
    </fill>
    <fill>
      <patternFill patternType="solid">
        <fgColor theme="9" tint="-0.24997000396251678"/>
        <bgColor indexed="64"/>
      </patternFill>
    </fill>
    <fill>
      <patternFill patternType="solid">
        <fgColor rgb="FFFFFFFF"/>
        <bgColor indexed="64"/>
      </patternFill>
    </fill>
  </fills>
  <borders count="72">
    <border>
      <left/>
      <right/>
      <top/>
      <bottom/>
      <diagonal/>
    </border>
    <border>
      <left style="medium"/>
      <right style="medium"/>
      <top style="medium"/>
      <bottom/>
    </border>
    <border>
      <left style="medium"/>
      <right style="medium"/>
      <top/>
      <bottom/>
    </border>
    <border>
      <left style="medium"/>
      <right style="medium"/>
      <top/>
      <bottom style="medium"/>
    </border>
    <border>
      <left style="thin"/>
      <right style="thin"/>
      <top style="thin"/>
      <bottom/>
    </border>
    <border>
      <left style="thin"/>
      <right style="thin"/>
      <top/>
      <bottom style="thin"/>
    </border>
    <border>
      <left style="thin"/>
      <right style="thin"/>
      <top style="thin"/>
      <bottom style="thin"/>
    </border>
    <border>
      <left/>
      <right/>
      <top style="thin"/>
      <bottom style="double"/>
    </border>
    <border>
      <left/>
      <right style="thin"/>
      <top style="thin"/>
      <bottom style="thin"/>
    </border>
    <border>
      <left/>
      <right style="thin"/>
      <top style="thin"/>
      <bottom/>
    </border>
    <border>
      <left style="thin"/>
      <right/>
      <top/>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top style="thin"/>
      <bottom style="thin"/>
    </border>
    <border>
      <left style="thin"/>
      <right/>
      <top/>
      <bottom style="thin"/>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double"/>
    </border>
    <border>
      <left style="thin"/>
      <right style="thin"/>
      <top style="medium"/>
      <bottom/>
    </border>
    <border>
      <left style="thin"/>
      <right/>
      <top style="medium"/>
      <bottom/>
    </border>
    <border>
      <left style="medium"/>
      <right/>
      <top style="medium"/>
      <bottom/>
    </border>
    <border>
      <left/>
      <right/>
      <top style="medium"/>
      <bottom/>
    </border>
    <border>
      <left style="medium"/>
      <right/>
      <top/>
      <bottom/>
    </border>
    <border>
      <left/>
      <right style="medium"/>
      <top/>
      <bottom/>
    </border>
    <border>
      <left style="thin"/>
      <right style="medium"/>
      <top/>
      <bottom style="thin"/>
    </border>
    <border>
      <left style="thin"/>
      <right style="medium"/>
      <top style="thin"/>
      <bottom style="double"/>
    </border>
    <border>
      <left/>
      <right/>
      <top/>
      <bottom style="thin"/>
    </border>
    <border>
      <left/>
      <right/>
      <top/>
      <bottom style="medium"/>
    </border>
    <border>
      <left style="medium"/>
      <right style="thin"/>
      <top/>
      <bottom/>
    </border>
    <border>
      <left style="thin"/>
      <right style="thin"/>
      <top/>
      <bottom/>
    </border>
    <border>
      <left style="thin"/>
      <right style="medium"/>
      <top/>
      <bottom/>
    </border>
    <border>
      <left style="medium"/>
      <right style="medium"/>
      <top style="medium"/>
      <bottom style="medium"/>
    </border>
    <border>
      <left/>
      <right/>
      <top style="medium"/>
      <bottom style="medium"/>
    </border>
    <border>
      <left/>
      <right style="medium"/>
      <top style="medium"/>
      <bottom style="medium"/>
    </border>
    <border>
      <left style="medium"/>
      <right/>
      <top/>
      <bottom style="thin"/>
    </border>
    <border>
      <left style="medium"/>
      <right style="medium"/>
      <top/>
      <bottom style="thin"/>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left style="thin"/>
      <right style="medium"/>
      <top style="thin"/>
      <bottom/>
    </border>
    <border>
      <left style="thin"/>
      <right style="medium"/>
      <top style="medium"/>
      <bottom/>
    </border>
    <border>
      <left/>
      <right style="thin"/>
      <top style="medium"/>
      <bottom/>
    </border>
    <border>
      <left style="medium"/>
      <right style="thin"/>
      <top style="thin"/>
      <bottom/>
    </border>
    <border>
      <left style="thin"/>
      <right/>
      <top style="thin"/>
      <bottom/>
    </border>
    <border>
      <left style="medium"/>
      <right/>
      <top/>
      <bottom style="medium"/>
    </border>
    <border>
      <left/>
      <right style="medium"/>
      <top style="thin"/>
      <bottom style="thin"/>
    </border>
    <border>
      <left/>
      <right/>
      <top style="thin"/>
      <bottom style="thin"/>
    </border>
    <border>
      <left/>
      <right/>
      <top style="thin"/>
      <bottom style="medium"/>
    </border>
    <border>
      <left/>
      <right style="medium"/>
      <top/>
      <bottom style="thin"/>
    </border>
    <border>
      <left style="medium"/>
      <right style="medium"/>
      <top style="thin"/>
      <bottom/>
    </border>
    <border>
      <left/>
      <right style="thin"/>
      <top/>
      <bottom style="medium"/>
    </border>
    <border>
      <left style="thin"/>
      <right style="thin"/>
      <top/>
      <bottom style="medium"/>
    </border>
    <border>
      <left style="thin"/>
      <right style="medium"/>
      <top/>
      <bottom style="medium"/>
    </border>
    <border>
      <left style="thin"/>
      <right/>
      <top/>
      <bottom style="medium"/>
    </border>
    <border>
      <left style="medium"/>
      <right style="thin"/>
      <top/>
      <bottom style="medium"/>
    </border>
    <border>
      <left/>
      <right style="medium"/>
      <top/>
      <bottom style="medium"/>
    </border>
    <border>
      <left/>
      <right/>
      <top style="thin"/>
      <bottom/>
    </border>
    <border>
      <left/>
      <right style="thin"/>
      <top/>
      <bottom/>
    </border>
    <border>
      <left/>
      <right/>
      <top style="medium"/>
      <bottom style="thin"/>
    </border>
    <border>
      <left/>
      <right style="medium"/>
      <top style="medium"/>
      <bottom style="thin"/>
    </border>
    <border>
      <left style="medium"/>
      <right/>
      <top style="medium"/>
      <bottom style="mediu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8" fillId="0" borderId="0" applyNumberFormat="0" applyFill="0" applyBorder="0">
      <alignment/>
      <protection locked="0"/>
    </xf>
    <xf numFmtId="0" fontId="1"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cellStyleXfs>
  <cellXfs count="1417">
    <xf numFmtId="0" fontId="0" fillId="0" borderId="0" xfId="0"/>
    <xf numFmtId="0" fontId="0" fillId="0" borderId="0" xfId="0" applyAlignment="1">
      <alignment horizontal="right"/>
    </xf>
    <xf numFmtId="0" fontId="0" fillId="0" borderId="0" xfId="0" applyAlignment="1">
      <alignment horizontal="center"/>
    </xf>
    <xf numFmtId="0" fontId="0" fillId="2" borderId="0" xfId="0" applyFill="1"/>
    <xf numFmtId="0" fontId="0" fillId="2" borderId="0" xfId="0" applyFill="1" applyAlignment="1">
      <alignment horizontal="center"/>
    </xf>
    <xf numFmtId="0" fontId="0" fillId="2" borderId="0" xfId="0" applyFill="1" applyAlignment="1">
      <alignment horizontal="right"/>
    </xf>
    <xf numFmtId="0" fontId="0" fillId="0" borderId="0" xfId="0" applyProtection="1">
      <protection/>
    </xf>
    <xf numFmtId="0" fontId="0" fillId="0" borderId="0" xfId="0" applyProtection="1">
      <protection hidden="1"/>
    </xf>
    <xf numFmtId="0" fontId="3" fillId="0" borderId="1" xfId="0" applyFont="1" applyBorder="1" applyProtection="1">
      <protection hidden="1"/>
    </xf>
    <xf numFmtId="0" fontId="0" fillId="2" borderId="2" xfId="0" applyFont="1" applyFill="1" applyBorder="1" applyProtection="1">
      <protection hidden="1"/>
    </xf>
    <xf numFmtId="0" fontId="10" fillId="0" borderId="2" xfId="20" applyFont="1" applyFill="1" applyBorder="1" applyAlignment="1" applyProtection="1">
      <alignment horizontal="left"/>
      <protection hidden="1"/>
    </xf>
    <xf numFmtId="0" fontId="0" fillId="2" borderId="3" xfId="0" applyFont="1" applyFill="1" applyBorder="1" applyProtection="1">
      <protection hidden="1"/>
    </xf>
    <xf numFmtId="0" fontId="10" fillId="0" borderId="3" xfId="20" applyFont="1" applyBorder="1" applyAlignment="1" applyProtection="1">
      <alignment horizontal="left"/>
      <protection hidden="1"/>
    </xf>
    <xf numFmtId="0" fontId="3" fillId="2" borderId="1" xfId="0" applyFont="1" applyFill="1" applyBorder="1" applyProtection="1">
      <protection hidden="1"/>
    </xf>
    <xf numFmtId="0" fontId="6" fillId="2" borderId="0" xfId="0" applyFont="1" applyFill="1" applyBorder="1" applyAlignment="1" applyProtection="1">
      <alignment horizontal="right"/>
      <protection hidden="1"/>
    </xf>
    <xf numFmtId="0" fontId="6" fillId="0" borderId="0" xfId="0" applyFont="1" applyBorder="1" applyProtection="1">
      <protection hidden="1"/>
    </xf>
    <xf numFmtId="0" fontId="6" fillId="2" borderId="0" xfId="0" applyFont="1" applyFill="1" applyBorder="1" applyProtection="1">
      <protection hidden="1"/>
    </xf>
    <xf numFmtId="0" fontId="3" fillId="2" borderId="0" xfId="0" applyFont="1" applyFill="1" applyBorder="1" applyAlignment="1" applyProtection="1">
      <alignment horizontal="left"/>
      <protection hidden="1"/>
    </xf>
    <xf numFmtId="0" fontId="3" fillId="2" borderId="0" xfId="0" applyFont="1" applyFill="1" applyBorder="1" applyProtection="1">
      <protection hidden="1"/>
    </xf>
    <xf numFmtId="0" fontId="0" fillId="2" borderId="0" xfId="0" applyFont="1" applyFill="1" applyBorder="1" applyProtection="1">
      <protection hidden="1"/>
    </xf>
    <xf numFmtId="0" fontId="3" fillId="2" borderId="0" xfId="0" applyFont="1" applyFill="1" applyBorder="1" applyAlignment="1" applyProtection="1">
      <alignment horizontal="right"/>
      <protection hidden="1"/>
    </xf>
    <xf numFmtId="0" fontId="0" fillId="2" borderId="0" xfId="0" applyFill="1" applyBorder="1" applyAlignment="1" applyProtection="1">
      <alignment horizontal="right"/>
      <protection hidden="1"/>
    </xf>
    <xf numFmtId="0" fontId="11" fillId="2" borderId="0" xfId="0" applyFont="1" applyFill="1" applyBorder="1" applyProtection="1">
      <protection hidden="1"/>
    </xf>
    <xf numFmtId="0" fontId="0" fillId="3" borderId="4" xfId="0" applyFont="1" applyFill="1" applyBorder="1" applyAlignment="1" applyProtection="1">
      <alignment horizontal="center"/>
      <protection hidden="1"/>
    </xf>
    <xf numFmtId="0" fontId="2" fillId="3" borderId="4" xfId="0" applyFont="1" applyFill="1" applyBorder="1" applyAlignment="1" applyProtection="1">
      <alignment horizontal="center" wrapText="1"/>
      <protection hidden="1"/>
    </xf>
    <xf numFmtId="0" fontId="0" fillId="3" borderId="5" xfId="0" applyFont="1" applyFill="1" applyBorder="1" applyAlignment="1" applyProtection="1">
      <alignment horizontal="center"/>
      <protection hidden="1"/>
    </xf>
    <xf numFmtId="0" fontId="2" fillId="3" borderId="5" xfId="0" applyFont="1" applyFill="1" applyBorder="1" applyAlignment="1" applyProtection="1">
      <alignment horizontal="center" wrapText="1"/>
      <protection hidden="1"/>
    </xf>
    <xf numFmtId="0" fontId="0" fillId="0" borderId="6" xfId="0" applyFont="1" applyBorder="1" applyAlignment="1" applyProtection="1">
      <alignment horizontal="center"/>
      <protection hidden="1"/>
    </xf>
    <xf numFmtId="0" fontId="7" fillId="2" borderId="6" xfId="0" applyFont="1" applyFill="1" applyBorder="1" applyAlignment="1" applyProtection="1">
      <alignment vertical="center"/>
      <protection hidden="1"/>
    </xf>
    <xf numFmtId="0" fontId="0" fillId="2" borderId="6" xfId="0" applyFont="1" applyFill="1" applyBorder="1" applyAlignment="1" applyProtection="1" quotePrefix="1">
      <alignment horizontal="center" vertical="center"/>
      <protection hidden="1"/>
    </xf>
    <xf numFmtId="0" fontId="12" fillId="2" borderId="0" xfId="0" applyFont="1" applyFill="1" applyBorder="1" applyAlignment="1" applyProtection="1">
      <alignment horizontal="right"/>
      <protection hidden="1"/>
    </xf>
    <xf numFmtId="0" fontId="12" fillId="4" borderId="7" xfId="0" applyFont="1" applyFill="1" applyBorder="1" applyAlignment="1" applyProtection="1">
      <alignment horizontal="right"/>
      <protection hidden="1"/>
    </xf>
    <xf numFmtId="0" fontId="0" fillId="0" borderId="0" xfId="0" applyAlignment="1" applyProtection="1">
      <alignment horizontal="center"/>
      <protection hidden="1"/>
    </xf>
    <xf numFmtId="0" fontId="2" fillId="3" borderId="4" xfId="0" applyFont="1" applyFill="1" applyBorder="1" applyAlignment="1" applyProtection="1">
      <alignment horizontal="center"/>
      <protection hidden="1"/>
    </xf>
    <xf numFmtId="0" fontId="2" fillId="3" borderId="5" xfId="0" applyFont="1" applyFill="1" applyBorder="1" applyAlignment="1" applyProtection="1">
      <alignment horizontal="center"/>
      <protection hidden="1"/>
    </xf>
    <xf numFmtId="0" fontId="0" fillId="0" borderId="6" xfId="0" applyFont="1" applyBorder="1" applyAlignment="1" applyProtection="1">
      <alignment horizontal="right"/>
      <protection hidden="1"/>
    </xf>
    <xf numFmtId="0" fontId="2" fillId="2" borderId="6" xfId="0" applyFont="1" applyFill="1" applyBorder="1" applyAlignment="1" applyProtection="1">
      <alignment horizontal="center" vertical="center"/>
      <protection hidden="1"/>
    </xf>
    <xf numFmtId="166" fontId="2" fillId="0" borderId="6" xfId="0" applyNumberFormat="1" applyFont="1" applyBorder="1" applyAlignment="1" applyProtection="1">
      <alignment horizontal="center" vertical="center"/>
      <protection hidden="1"/>
    </xf>
    <xf numFmtId="0" fontId="4" fillId="2" borderId="0" xfId="0" applyFont="1" applyFill="1" applyBorder="1" applyAlignment="1" applyProtection="1">
      <alignment horizontal="right"/>
      <protection hidden="1"/>
    </xf>
    <xf numFmtId="0" fontId="8" fillId="2" borderId="0" xfId="0" applyFont="1" applyFill="1" applyBorder="1" applyProtection="1">
      <protection hidden="1"/>
    </xf>
    <xf numFmtId="0" fontId="4" fillId="2" borderId="0" xfId="0" applyFont="1" applyFill="1" applyBorder="1" applyProtection="1">
      <protection hidden="1"/>
    </xf>
    <xf numFmtId="166" fontId="5" fillId="4" borderId="0" xfId="0" applyNumberFormat="1" applyFont="1" applyFill="1" applyBorder="1" applyProtection="1">
      <protection hidden="1"/>
    </xf>
    <xf numFmtId="2" fontId="5" fillId="2" borderId="0" xfId="0" applyNumberFormat="1" applyFont="1" applyFill="1" applyBorder="1" applyProtection="1">
      <protection hidden="1"/>
    </xf>
    <xf numFmtId="0" fontId="4" fillId="2" borderId="0" xfId="0" applyFont="1" applyFill="1" applyBorder="1" applyAlignment="1" applyProtection="1">
      <alignment horizontal="center"/>
      <protection hidden="1"/>
    </xf>
    <xf numFmtId="0" fontId="0" fillId="2" borderId="0" xfId="0" applyFill="1" applyBorder="1" applyProtection="1">
      <protection hidden="1"/>
    </xf>
    <xf numFmtId="0" fontId="7" fillId="2" borderId="0" xfId="0" applyFont="1" applyFill="1" applyBorder="1" applyProtection="1">
      <protection hidden="1"/>
    </xf>
    <xf numFmtId="0" fontId="0" fillId="2" borderId="0" xfId="0" applyFill="1" applyBorder="1" applyAlignment="1" applyProtection="1" quotePrefix="1">
      <alignment horizontal="center"/>
      <protection hidden="1"/>
    </xf>
    <xf numFmtId="0" fontId="0" fillId="2" borderId="0" xfId="0" applyFill="1" applyBorder="1" applyAlignment="1" applyProtection="1">
      <alignment horizontal="center"/>
      <protection hidden="1"/>
    </xf>
    <xf numFmtId="0" fontId="14" fillId="2" borderId="0" xfId="0" applyFont="1" applyFill="1" applyBorder="1" applyProtection="1">
      <protection hidden="1"/>
    </xf>
    <xf numFmtId="0" fontId="14" fillId="2" borderId="0" xfId="0" applyFont="1" applyFill="1" applyBorder="1" applyAlignment="1" applyProtection="1">
      <alignment horizontal="right"/>
      <protection hidden="1"/>
    </xf>
    <xf numFmtId="0" fontId="14" fillId="2" borderId="0" xfId="0" applyFont="1" applyFill="1" applyBorder="1" applyAlignment="1" applyProtection="1">
      <alignment horizontal="center"/>
      <protection hidden="1"/>
    </xf>
    <xf numFmtId="0" fontId="0" fillId="2" borderId="0" xfId="0" applyFill="1" applyAlignment="1" applyProtection="1">
      <alignment horizontal="right"/>
      <protection hidden="1"/>
    </xf>
    <xf numFmtId="0" fontId="0" fillId="2" borderId="0" xfId="0" applyFill="1" applyProtection="1">
      <protection hidden="1"/>
    </xf>
    <xf numFmtId="0" fontId="0" fillId="2" borderId="0" xfId="0" applyFill="1" applyAlignment="1" applyProtection="1">
      <alignment horizontal="center"/>
      <protection hidden="1"/>
    </xf>
    <xf numFmtId="0" fontId="6" fillId="2" borderId="0" xfId="0" applyFont="1" applyFill="1" applyBorder="1" applyAlignment="1" applyProtection="1">
      <alignment horizontal="center"/>
      <protection hidden="1"/>
    </xf>
    <xf numFmtId="0" fontId="0" fillId="2" borderId="0" xfId="0" applyFont="1" applyFill="1" applyProtection="1">
      <protection hidden="1"/>
    </xf>
    <xf numFmtId="0" fontId="0" fillId="2" borderId="0" xfId="0" applyFont="1" applyFill="1" applyBorder="1" applyAlignment="1" applyProtection="1">
      <alignment horizontal="center"/>
      <protection hidden="1"/>
    </xf>
    <xf numFmtId="0" fontId="2" fillId="2" borderId="6" xfId="0" applyFont="1" applyFill="1" applyBorder="1" applyAlignment="1" applyProtection="1">
      <alignment vertical="center"/>
      <protection hidden="1"/>
    </xf>
    <xf numFmtId="166" fontId="5" fillId="2" borderId="0" xfId="0" applyNumberFormat="1" applyFont="1" applyFill="1" applyBorder="1" applyAlignment="1" applyProtection="1">
      <alignment vertical="top" wrapText="1"/>
      <protection hidden="1"/>
    </xf>
    <xf numFmtId="0" fontId="14" fillId="2" borderId="0" xfId="0" applyFont="1" applyFill="1" applyProtection="1">
      <protection hidden="1"/>
    </xf>
    <xf numFmtId="0" fontId="0" fillId="0" borderId="5" xfId="0" applyFont="1" applyBorder="1" applyAlignment="1" applyProtection="1">
      <alignment horizontal="center"/>
      <protection hidden="1"/>
    </xf>
    <xf numFmtId="0" fontId="0" fillId="3" borderId="4" xfId="0" applyFont="1" applyFill="1" applyBorder="1" applyAlignment="1" applyProtection="1">
      <alignment horizontal="center" wrapText="1"/>
      <protection hidden="1"/>
    </xf>
    <xf numFmtId="0" fontId="2" fillId="2" borderId="5" xfId="0" applyFont="1" applyFill="1" applyBorder="1" applyAlignment="1" applyProtection="1">
      <alignment horizontal="center" vertical="center"/>
      <protection hidden="1"/>
    </xf>
    <xf numFmtId="0" fontId="8" fillId="2" borderId="0" xfId="0" applyFont="1" applyFill="1" applyBorder="1" applyAlignment="1" applyProtection="1">
      <alignment horizontal="right" vertical="center"/>
      <protection hidden="1"/>
    </xf>
    <xf numFmtId="0" fontId="0" fillId="0" borderId="5" xfId="0" applyFont="1" applyBorder="1" applyAlignment="1" applyProtection="1">
      <alignment horizontal="right"/>
      <protection hidden="1"/>
    </xf>
    <xf numFmtId="49" fontId="0" fillId="2" borderId="0" xfId="0" applyNumberFormat="1" applyFill="1" applyAlignment="1" applyProtection="1">
      <alignment horizontal="right" vertical="center"/>
      <protection hidden="1"/>
    </xf>
    <xf numFmtId="49" fontId="0" fillId="2" borderId="0" xfId="0" applyNumberFormat="1" applyFont="1" applyFill="1" applyAlignment="1" applyProtection="1">
      <alignment horizontal="right" vertical="center"/>
      <protection hidden="1"/>
    </xf>
    <xf numFmtId="0" fontId="2" fillId="5" borderId="6" xfId="0" applyFont="1" applyFill="1" applyBorder="1" applyAlignment="1" applyProtection="1">
      <alignment horizontal="center" vertical="center"/>
      <protection locked="0"/>
    </xf>
    <xf numFmtId="49" fontId="2" fillId="5" borderId="6" xfId="0" applyNumberFormat="1" applyFont="1" applyFill="1" applyBorder="1" applyAlignment="1" applyProtection="1">
      <alignment horizontal="left" vertical="center" wrapText="1"/>
      <protection locked="0"/>
    </xf>
    <xf numFmtId="0" fontId="0" fillId="0" borderId="2" xfId="0" applyFont="1" applyBorder="1" applyProtection="1">
      <protection hidden="1"/>
    </xf>
    <xf numFmtId="0" fontId="2" fillId="3" borderId="5" xfId="0" applyFont="1" applyFill="1" applyBorder="1" applyAlignment="1" applyProtection="1">
      <alignment horizontal="center" vertical="center" wrapText="1"/>
      <protection hidden="1"/>
    </xf>
    <xf numFmtId="49" fontId="2" fillId="5" borderId="6" xfId="0" applyNumberFormat="1" applyFont="1" applyFill="1" applyBorder="1" applyAlignment="1" applyProtection="1">
      <alignment horizontal="center" vertical="center" wrapText="1"/>
      <protection locked="0"/>
    </xf>
    <xf numFmtId="49" fontId="2" fillId="5" borderId="6" xfId="0" applyNumberFormat="1" applyFont="1" applyFill="1" applyBorder="1" applyAlignment="1" applyProtection="1">
      <alignment horizontal="left" vertical="center" wrapText="1"/>
      <protection locked="0"/>
    </xf>
    <xf numFmtId="14" fontId="9" fillId="2" borderId="6" xfId="0" applyNumberFormat="1" applyFont="1" applyFill="1" applyBorder="1" applyProtection="1">
      <protection hidden="1"/>
    </xf>
    <xf numFmtId="0" fontId="9" fillId="2" borderId="6" xfId="0" applyNumberFormat="1" applyFont="1" applyFill="1" applyBorder="1" applyProtection="1">
      <protection hidden="1"/>
    </xf>
    <xf numFmtId="49" fontId="0" fillId="2" borderId="0" xfId="0" applyNumberFormat="1" applyFont="1" applyFill="1" applyBorder="1" applyAlignment="1" applyProtection="1">
      <alignment horizontal="right" vertical="center"/>
      <protection hidden="1"/>
    </xf>
    <xf numFmtId="49" fontId="0" fillId="2" borderId="0" xfId="0" applyNumberFormat="1" applyFont="1" applyFill="1" applyAlignment="1" applyProtection="1">
      <alignment horizontal="right" vertical="center"/>
      <protection hidden="1"/>
    </xf>
    <xf numFmtId="0" fontId="0" fillId="0" borderId="0" xfId="0" applyAlignment="1" applyProtection="1">
      <alignment horizontal="right"/>
      <protection hidden="1"/>
    </xf>
    <xf numFmtId="0" fontId="20" fillId="2" borderId="0" xfId="0" applyFont="1" applyFill="1" applyBorder="1" applyProtection="1">
      <protection hidden="1"/>
    </xf>
    <xf numFmtId="0" fontId="2" fillId="3" borderId="5" xfId="0" applyFont="1" applyFill="1" applyBorder="1" applyAlignment="1" applyProtection="1">
      <alignment horizontal="center" wrapText="1"/>
      <protection hidden="1"/>
    </xf>
    <xf numFmtId="0" fontId="2" fillId="3" borderId="4" xfId="0"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
      <protection hidden="1"/>
    </xf>
    <xf numFmtId="168" fontId="2" fillId="5" borderId="6" xfId="0" applyNumberFormat="1" applyFont="1" applyFill="1" applyBorder="1" applyAlignment="1" applyProtection="1">
      <alignment horizontal="center" vertical="center"/>
      <protection locked="0"/>
    </xf>
    <xf numFmtId="0" fontId="22" fillId="0" borderId="0" xfId="0" applyFont="1" applyBorder="1" applyProtection="1">
      <protection hidden="1"/>
    </xf>
    <xf numFmtId="0" fontId="3" fillId="6" borderId="0" xfId="0" applyFont="1" applyFill="1" applyBorder="1" applyAlignment="1" applyProtection="1">
      <alignment vertical="center"/>
      <protection hidden="1"/>
    </xf>
    <xf numFmtId="14" fontId="9" fillId="2" borderId="6" xfId="0" applyNumberFormat="1" applyFont="1" applyFill="1" applyBorder="1" applyAlignment="1" applyProtection="1">
      <alignment/>
      <protection hidden="1"/>
    </xf>
    <xf numFmtId="0" fontId="9" fillId="2" borderId="6" xfId="0" applyNumberFormat="1" applyFont="1" applyFill="1" applyBorder="1" applyAlignment="1" applyProtection="1">
      <alignment/>
      <protection hidden="1"/>
    </xf>
    <xf numFmtId="49" fontId="2" fillId="5" borderId="6" xfId="0" applyNumberFormat="1" applyFont="1" applyFill="1" applyBorder="1" applyAlignment="1" applyProtection="1">
      <alignment horizontal="center" vertical="center"/>
      <protection locked="0"/>
    </xf>
    <xf numFmtId="0" fontId="2" fillId="2" borderId="0" xfId="0" applyFont="1" applyFill="1" applyBorder="1" applyProtection="1">
      <protection hidden="1"/>
    </xf>
    <xf numFmtId="0" fontId="0" fillId="2" borderId="2" xfId="0" applyFont="1" applyFill="1" applyBorder="1" applyProtection="1">
      <protection hidden="1"/>
    </xf>
    <xf numFmtId="0" fontId="0" fillId="2" borderId="3" xfId="0" applyFont="1" applyFill="1" applyBorder="1" applyProtection="1">
      <protection hidden="1"/>
    </xf>
    <xf numFmtId="0" fontId="19" fillId="0" borderId="0" xfId="0" applyFont="1"/>
    <xf numFmtId="0" fontId="12" fillId="2" borderId="0" xfId="0" applyFont="1" applyFill="1" applyBorder="1" applyProtection="1">
      <protection hidden="1"/>
    </xf>
    <xf numFmtId="0" fontId="0" fillId="0" borderId="0" xfId="0" applyFont="1"/>
    <xf numFmtId="168" fontId="2" fillId="6" borderId="6" xfId="0" applyNumberFormat="1" applyFont="1" applyFill="1" applyBorder="1" applyAlignment="1" applyProtection="1">
      <alignment horizontal="center" vertical="center"/>
      <protection hidden="1"/>
    </xf>
    <xf numFmtId="0" fontId="6" fillId="2" borderId="0" xfId="0" applyFont="1" applyFill="1" applyBorder="1" applyAlignment="1" applyProtection="1">
      <alignment horizontal="right"/>
      <protection/>
    </xf>
    <xf numFmtId="0" fontId="2" fillId="3" borderId="5" xfId="0" applyFont="1" applyFill="1" applyBorder="1" applyAlignment="1" applyProtection="1">
      <alignment horizontal="center" vertical="center" wrapText="1"/>
      <protection hidden="1"/>
    </xf>
    <xf numFmtId="0" fontId="0" fillId="2" borderId="0" xfId="0" applyFont="1" applyFill="1" applyBorder="1" applyAlignment="1" applyProtection="1">
      <alignment horizontal="center"/>
      <protection hidden="1"/>
    </xf>
    <xf numFmtId="0" fontId="7" fillId="3" borderId="4" xfId="0" applyFont="1" applyFill="1" applyBorder="1" applyAlignment="1" applyProtection="1">
      <alignment horizontal="center" vertical="center" wrapText="1"/>
      <protection hidden="1"/>
    </xf>
    <xf numFmtId="14" fontId="3" fillId="5" borderId="8" xfId="0" applyNumberFormat="1"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protection hidden="1"/>
    </xf>
    <xf numFmtId="0" fontId="7" fillId="3" borderId="4" xfId="0" applyFont="1" applyFill="1" applyBorder="1" applyAlignment="1" applyProtection="1">
      <alignment horizontal="center" wrapText="1"/>
      <protection hidden="1"/>
    </xf>
    <xf numFmtId="0" fontId="2" fillId="3" borderId="5" xfId="0" applyFont="1" applyFill="1" applyBorder="1" applyAlignment="1" applyProtection="1">
      <alignment horizontal="center"/>
      <protection hidden="1"/>
    </xf>
    <xf numFmtId="0" fontId="0" fillId="0" borderId="6" xfId="0" applyFont="1" applyBorder="1" applyAlignment="1" applyProtection="1">
      <alignment horizontal="right"/>
      <protection hidden="1"/>
    </xf>
    <xf numFmtId="168" fontId="0" fillId="6" borderId="6" xfId="0" applyNumberFormat="1" applyFont="1" applyFill="1" applyBorder="1" applyAlignment="1" applyProtection="1">
      <alignment horizontal="center" vertical="center"/>
      <protection hidden="1"/>
    </xf>
    <xf numFmtId="170" fontId="2" fillId="6" borderId="6" xfId="0" applyNumberFormat="1" applyFont="1" applyFill="1" applyBorder="1" applyAlignment="1" applyProtection="1">
      <alignment horizontal="center" vertical="center"/>
      <protection hidden="1"/>
    </xf>
    <xf numFmtId="0" fontId="2" fillId="2" borderId="6" xfId="0" applyFont="1" applyFill="1" applyBorder="1" applyAlignment="1" applyProtection="1" quotePrefix="1">
      <alignment horizontal="center" vertical="center"/>
      <protection hidden="1"/>
    </xf>
    <xf numFmtId="0" fontId="2" fillId="2" borderId="6" xfId="0" applyFont="1" applyFill="1" applyBorder="1" applyAlignment="1" applyProtection="1">
      <alignment horizontal="center"/>
      <protection hidden="1"/>
    </xf>
    <xf numFmtId="0" fontId="0" fillId="6" borderId="6" xfId="0" applyFont="1" applyFill="1" applyBorder="1" applyAlignment="1" applyProtection="1">
      <alignment horizontal="center" vertical="center" wrapText="1"/>
      <protection hidden="1"/>
    </xf>
    <xf numFmtId="0" fontId="24" fillId="2" borderId="0" xfId="0" applyFont="1" applyFill="1" applyBorder="1" applyAlignment="1" applyProtection="1">
      <alignment horizontal="right"/>
      <protection hidden="1"/>
    </xf>
    <xf numFmtId="0" fontId="19" fillId="2" borderId="0" xfId="0" applyFont="1" applyFill="1" applyBorder="1" applyProtection="1">
      <protection hidden="1"/>
    </xf>
    <xf numFmtId="0" fontId="19" fillId="2" borderId="0" xfId="0" applyFont="1" applyFill="1" applyBorder="1" applyAlignment="1" applyProtection="1">
      <alignment horizontal="right"/>
      <protection hidden="1"/>
    </xf>
    <xf numFmtId="0" fontId="19" fillId="2" borderId="0" xfId="0" applyFont="1" applyFill="1" applyProtection="1">
      <protection hidden="1"/>
    </xf>
    <xf numFmtId="0" fontId="20" fillId="2" borderId="0" xfId="0" applyFont="1" applyFill="1" applyBorder="1" applyAlignment="1" applyProtection="1">
      <alignment horizontal="right"/>
      <protection hidden="1"/>
    </xf>
    <xf numFmtId="166" fontId="3" fillId="5" borderId="6" xfId="0" applyNumberFormat="1" applyFont="1" applyFill="1" applyBorder="1" applyAlignment="1" applyProtection="1">
      <alignment horizontal="center" vertical="center" wrapText="1"/>
      <protection locked="0"/>
    </xf>
    <xf numFmtId="166" fontId="2" fillId="2" borderId="6" xfId="0" applyNumberFormat="1" applyFont="1" applyFill="1" applyBorder="1" applyAlignment="1" applyProtection="1">
      <alignment horizontal="center" vertical="center" wrapText="1"/>
      <protection hidden="1"/>
    </xf>
    <xf numFmtId="166" fontId="0" fillId="6" borderId="6" xfId="0" applyNumberFormat="1" applyFont="1" applyFill="1" applyBorder="1" applyAlignment="1" applyProtection="1">
      <alignment horizontal="center" vertical="center" wrapText="1"/>
      <protection locked="0"/>
    </xf>
    <xf numFmtId="0" fontId="3" fillId="4" borderId="6" xfId="0" applyFont="1" applyFill="1" applyBorder="1" applyAlignment="1" applyProtection="1" quotePrefix="1">
      <alignment horizontal="center" vertical="center" wrapText="1"/>
      <protection hidden="1"/>
    </xf>
    <xf numFmtId="166" fontId="23" fillId="7" borderId="6" xfId="0" applyNumberFormat="1" applyFont="1" applyFill="1" applyBorder="1" applyAlignment="1" applyProtection="1">
      <alignment horizontal="center" vertical="center"/>
      <protection hidden="1"/>
    </xf>
    <xf numFmtId="0" fontId="2" fillId="2" borderId="6" xfId="0" applyFont="1" applyFill="1" applyBorder="1" applyAlignment="1" applyProtection="1">
      <alignment vertical="center" wrapText="1"/>
      <protection hidden="1"/>
    </xf>
    <xf numFmtId="0" fontId="21" fillId="3" borderId="9" xfId="0" applyFont="1" applyFill="1" applyBorder="1" applyAlignment="1" applyProtection="1">
      <alignment horizontal="center" wrapText="1"/>
      <protection hidden="1"/>
    </xf>
    <xf numFmtId="168" fontId="2" fillId="5" borderId="6" xfId="0" applyNumberFormat="1" applyFont="1" applyFill="1" applyBorder="1" applyAlignment="1" applyProtection="1">
      <alignment horizontal="center" vertical="center"/>
      <protection hidden="1"/>
    </xf>
    <xf numFmtId="0" fontId="2" fillId="5" borderId="6" xfId="0" applyFont="1" applyFill="1" applyBorder="1" applyAlignment="1" applyProtection="1">
      <alignment horizontal="left" vertical="center" wrapText="1"/>
      <protection locked="0"/>
    </xf>
    <xf numFmtId="0" fontId="6" fillId="6" borderId="0" xfId="0" applyFont="1" applyFill="1" applyBorder="1" applyProtection="1">
      <protection/>
    </xf>
    <xf numFmtId="0" fontId="6" fillId="6" borderId="0" xfId="0" applyFont="1" applyFill="1" applyBorder="1" applyProtection="1">
      <protection hidden="1"/>
    </xf>
    <xf numFmtId="0" fontId="6" fillId="6" borderId="0" xfId="0" applyFont="1" applyFill="1" applyBorder="1" applyAlignment="1" applyProtection="1">
      <alignment horizontal="right"/>
      <protection hidden="1"/>
    </xf>
    <xf numFmtId="0" fontId="0" fillId="2" borderId="6" xfId="0" applyFont="1" applyFill="1" applyBorder="1" applyAlignment="1" applyProtection="1" quotePrefix="1">
      <alignment horizontal="center" vertical="center"/>
      <protection hidden="1"/>
    </xf>
    <xf numFmtId="0" fontId="2" fillId="2" borderId="5" xfId="0" applyFont="1" applyFill="1" applyBorder="1" applyAlignment="1" applyProtection="1" quotePrefix="1">
      <alignment horizontal="center" vertical="center"/>
      <protection hidden="1"/>
    </xf>
    <xf numFmtId="2" fontId="2" fillId="0" borderId="6" xfId="0" applyNumberFormat="1" applyFont="1" applyBorder="1" applyAlignment="1" applyProtection="1" quotePrefix="1">
      <alignment horizontal="center" vertical="center"/>
      <protection hidden="1"/>
    </xf>
    <xf numFmtId="0" fontId="0" fillId="0" borderId="0" xfId="23">
      <alignment/>
      <protection/>
    </xf>
    <xf numFmtId="0" fontId="0" fillId="0" borderId="0" xfId="0" applyProtection="1">
      <protection locked="0"/>
    </xf>
    <xf numFmtId="0" fontId="0" fillId="0" borderId="0" xfId="0" applyAlignment="1" applyProtection="1">
      <alignment vertical="center"/>
      <protection locked="0"/>
    </xf>
    <xf numFmtId="14" fontId="9" fillId="8" borderId="6" xfId="0" applyNumberFormat="1" applyFont="1" applyFill="1" applyBorder="1" applyAlignment="1" applyProtection="1">
      <alignment vertical="center"/>
      <protection locked="0"/>
    </xf>
    <xf numFmtId="14" fontId="9" fillId="9" borderId="6" xfId="0" applyNumberFormat="1" applyFont="1" applyFill="1" applyBorder="1" applyAlignment="1" applyProtection="1">
      <alignment vertical="center"/>
      <protection locked="0"/>
    </xf>
    <xf numFmtId="0" fontId="0" fillId="2" borderId="0" xfId="0" applyFont="1" applyFill="1" applyBorder="1" applyProtection="1">
      <protection hidden="1"/>
    </xf>
    <xf numFmtId="0" fontId="3" fillId="2" borderId="0" xfId="0" applyFont="1" applyFill="1" applyBorder="1" applyAlignment="1" applyProtection="1">
      <alignment vertical="center"/>
      <protection hidden="1"/>
    </xf>
    <xf numFmtId="0" fontId="3" fillId="2" borderId="10" xfId="0" applyFont="1" applyFill="1" applyBorder="1" applyAlignment="1" applyProtection="1">
      <alignment horizontal="right"/>
      <protection hidden="1"/>
    </xf>
    <xf numFmtId="0" fontId="0" fillId="0" borderId="0" xfId="23" applyProtection="1">
      <alignment/>
      <protection/>
    </xf>
    <xf numFmtId="0" fontId="3" fillId="2" borderId="0" xfId="23" applyFont="1" applyFill="1" applyBorder="1" applyAlignment="1" applyProtection="1">
      <alignment horizontal="left"/>
      <protection hidden="1"/>
    </xf>
    <xf numFmtId="0" fontId="3" fillId="6" borderId="0" xfId="23" applyFont="1" applyFill="1" applyBorder="1" applyAlignment="1" applyProtection="1">
      <alignment vertical="center"/>
      <protection hidden="1"/>
    </xf>
    <xf numFmtId="0" fontId="6" fillId="2" borderId="0" xfId="23" applyFont="1" applyFill="1" applyBorder="1" applyProtection="1">
      <alignment/>
      <protection/>
    </xf>
    <xf numFmtId="0" fontId="0" fillId="2" borderId="0" xfId="23" applyFill="1" applyProtection="1">
      <alignment/>
      <protection/>
    </xf>
    <xf numFmtId="0" fontId="3" fillId="2" borderId="0" xfId="23" applyFont="1" applyFill="1" applyBorder="1" applyAlignment="1" applyProtection="1">
      <alignment horizontal="left" vertical="center"/>
      <protection hidden="1"/>
    </xf>
    <xf numFmtId="0" fontId="0" fillId="8" borderId="11" xfId="23" applyFont="1" applyFill="1" applyBorder="1" applyAlignment="1" applyProtection="1">
      <alignment horizontal="center" vertical="center"/>
      <protection locked="0"/>
    </xf>
    <xf numFmtId="171" fontId="0" fillId="10" borderId="6" xfId="23" applyNumberFormat="1" applyFont="1" applyFill="1" applyBorder="1" applyAlignment="1" applyProtection="1">
      <alignment horizontal="center" vertical="center"/>
      <protection locked="0"/>
    </xf>
    <xf numFmtId="0" fontId="0" fillId="8" borderId="11" xfId="23" applyFont="1" applyFill="1" applyBorder="1" applyAlignment="1" applyProtection="1">
      <alignment horizontal="center"/>
      <protection locked="0"/>
    </xf>
    <xf numFmtId="0" fontId="0" fillId="8" borderId="12" xfId="23" applyFont="1" applyFill="1" applyBorder="1" applyAlignment="1" applyProtection="1">
      <alignment horizontal="center"/>
      <protection locked="0"/>
    </xf>
    <xf numFmtId="171" fontId="0" fillId="10" borderId="13" xfId="23" applyNumberFormat="1" applyFont="1" applyFill="1" applyBorder="1" applyAlignment="1" applyProtection="1">
      <alignment horizontal="center" vertical="center"/>
      <protection locked="0"/>
    </xf>
    <xf numFmtId="0" fontId="0" fillId="8" borderId="14" xfId="23" applyFont="1" applyFill="1" applyBorder="1" applyAlignment="1" applyProtection="1">
      <alignment horizontal="center" vertical="center"/>
      <protection locked="0"/>
    </xf>
    <xf numFmtId="2" fontId="0" fillId="10" borderId="6" xfId="23" applyNumberFormat="1" applyFont="1" applyFill="1" applyBorder="1" applyAlignment="1" applyProtection="1">
      <alignment horizontal="center" vertical="center"/>
      <protection locked="0"/>
    </xf>
    <xf numFmtId="2" fontId="0" fillId="10" borderId="13" xfId="23" applyNumberFormat="1" applyFont="1" applyFill="1" applyBorder="1" applyAlignment="1" applyProtection="1">
      <alignment horizontal="center" vertical="center"/>
      <protection locked="0"/>
    </xf>
    <xf numFmtId="0" fontId="0" fillId="0" borderId="0" xfId="23" applyProtection="1">
      <alignment/>
      <protection hidden="1"/>
    </xf>
    <xf numFmtId="0" fontId="6" fillId="2" borderId="0" xfId="23" applyFont="1" applyFill="1" applyBorder="1" applyAlignment="1" applyProtection="1">
      <alignment horizontal="right"/>
      <protection hidden="1"/>
    </xf>
    <xf numFmtId="0" fontId="6" fillId="0" borderId="0" xfId="23" applyFont="1" applyBorder="1" applyProtection="1">
      <alignment/>
      <protection hidden="1"/>
    </xf>
    <xf numFmtId="0" fontId="6" fillId="2" borderId="0" xfId="23" applyFont="1" applyFill="1" applyBorder="1" applyProtection="1">
      <alignment/>
      <protection hidden="1"/>
    </xf>
    <xf numFmtId="0" fontId="3" fillId="2" borderId="0" xfId="23" applyFont="1" applyFill="1" applyBorder="1" applyAlignment="1" applyProtection="1">
      <alignment horizontal="left"/>
      <protection hidden="1"/>
    </xf>
    <xf numFmtId="0" fontId="0" fillId="2" borderId="0" xfId="23" applyFill="1" applyBorder="1" applyAlignment="1" applyProtection="1">
      <alignment horizontal="right"/>
      <protection hidden="1"/>
    </xf>
    <xf numFmtId="0" fontId="0" fillId="2" borderId="0" xfId="23" applyFill="1" applyBorder="1" applyProtection="1">
      <alignment/>
      <protection hidden="1"/>
    </xf>
    <xf numFmtId="0" fontId="0" fillId="2" borderId="0" xfId="23" applyFill="1" applyProtection="1">
      <alignment/>
      <protection hidden="1"/>
    </xf>
    <xf numFmtId="0" fontId="3" fillId="3" borderId="15" xfId="0" applyFont="1" applyFill="1" applyBorder="1" applyAlignment="1" applyProtection="1">
      <alignment horizontal="right"/>
      <protection hidden="1"/>
    </xf>
    <xf numFmtId="0" fontId="2" fillId="3" borderId="4" xfId="0"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21" fillId="2" borderId="6" xfId="0" applyFont="1" applyFill="1" applyBorder="1" applyAlignment="1" applyProtection="1" quotePrefix="1">
      <alignment horizontal="center" vertical="center"/>
      <protection hidden="1"/>
    </xf>
    <xf numFmtId="2" fontId="26" fillId="2" borderId="0" xfId="0" applyNumberFormat="1" applyFont="1" applyFill="1" applyBorder="1" applyProtection="1">
      <protection hidden="1"/>
    </xf>
    <xf numFmtId="0" fontId="19" fillId="2" borderId="0" xfId="0" applyFont="1" applyFill="1" applyBorder="1" applyAlignment="1" applyProtection="1" quotePrefix="1">
      <alignment horizontal="center"/>
      <protection hidden="1"/>
    </xf>
    <xf numFmtId="0" fontId="19" fillId="2" borderId="0" xfId="0" applyFont="1" applyFill="1" applyBorder="1" applyAlignment="1" applyProtection="1">
      <alignment horizontal="center"/>
      <protection hidden="1"/>
    </xf>
    <xf numFmtId="0" fontId="19" fillId="2" borderId="0" xfId="0" applyFont="1" applyFill="1" applyAlignment="1" applyProtection="1">
      <alignment horizontal="center"/>
      <protection hidden="1"/>
    </xf>
    <xf numFmtId="0" fontId="19" fillId="2" borderId="0" xfId="0" applyFont="1" applyFill="1" applyAlignment="1">
      <alignment horizontal="center"/>
    </xf>
    <xf numFmtId="0" fontId="19" fillId="0" borderId="0" xfId="0" applyFont="1" applyAlignment="1">
      <alignment horizontal="center"/>
    </xf>
    <xf numFmtId="0" fontId="21" fillId="2" borderId="6" xfId="0" applyFont="1" applyFill="1" applyBorder="1" applyAlignment="1" applyProtection="1">
      <alignment horizontal="center" vertical="center"/>
      <protection hidden="1"/>
    </xf>
    <xf numFmtId="0" fontId="27" fillId="2" borderId="0" xfId="0" applyFont="1" applyFill="1" applyProtection="1">
      <protection hidden="1"/>
    </xf>
    <xf numFmtId="0" fontId="27" fillId="2" borderId="0" xfId="0" applyFont="1" applyFill="1" applyBorder="1" applyAlignment="1" applyProtection="1">
      <alignment vertical="top" wrapText="1"/>
      <protection hidden="1"/>
    </xf>
    <xf numFmtId="0" fontId="0" fillId="0" borderId="2" xfId="0" applyBorder="1" applyAlignment="1" applyProtection="1">
      <alignment horizontal="left"/>
      <protection hidden="1"/>
    </xf>
    <xf numFmtId="0" fontId="2" fillId="3" borderId="16" xfId="0" applyFont="1" applyFill="1" applyBorder="1" applyAlignment="1" applyProtection="1">
      <alignment horizontal="center"/>
      <protection hidden="1"/>
    </xf>
    <xf numFmtId="0" fontId="0" fillId="3" borderId="4" xfId="0" applyFont="1" applyFill="1" applyBorder="1" applyAlignment="1" applyProtection="1">
      <alignment horizontal="center"/>
      <protection hidden="1"/>
    </xf>
    <xf numFmtId="0" fontId="7" fillId="3" borderId="9" xfId="0" applyFont="1" applyFill="1" applyBorder="1" applyAlignment="1" applyProtection="1">
      <alignment horizontal="center" vertical="center" wrapText="1"/>
      <protection hidden="1"/>
    </xf>
    <xf numFmtId="0" fontId="7" fillId="3" borderId="17" xfId="0" applyFont="1" applyFill="1" applyBorder="1" applyAlignment="1" applyProtection="1">
      <alignment horizontal="center" vertical="center" wrapText="1"/>
      <protection hidden="1"/>
    </xf>
    <xf numFmtId="0" fontId="28" fillId="0" borderId="0" xfId="0" applyFont="1" applyFill="1"/>
    <xf numFmtId="0" fontId="28" fillId="0" borderId="0" xfId="0" applyFont="1" applyFill="1" applyBorder="1"/>
    <xf numFmtId="0" fontId="35" fillId="0" borderId="0" xfId="0" applyFont="1" applyFill="1" applyBorder="1"/>
    <xf numFmtId="0" fontId="35" fillId="0" borderId="0" xfId="0" applyFont="1" applyFill="1"/>
    <xf numFmtId="0" fontId="28" fillId="0" borderId="0" xfId="0" applyFont="1" applyFill="1" applyBorder="1" applyProtection="1">
      <protection/>
    </xf>
    <xf numFmtId="0" fontId="35" fillId="0" borderId="0" xfId="0" applyFont="1" applyFill="1" applyAlignment="1">
      <alignment horizontal="left"/>
    </xf>
    <xf numFmtId="166" fontId="2" fillId="0" borderId="5" xfId="0" applyNumberFormat="1" applyFont="1" applyBorder="1" applyAlignment="1" applyProtection="1">
      <alignment horizontal="center" vertical="center"/>
      <protection hidden="1"/>
    </xf>
    <xf numFmtId="0" fontId="3" fillId="0" borderId="18" xfId="0" applyFont="1" applyBorder="1" applyProtection="1">
      <protection hidden="1"/>
    </xf>
    <xf numFmtId="0" fontId="0" fillId="2" borderId="19" xfId="0" applyFont="1" applyFill="1" applyBorder="1" applyProtection="1">
      <protection hidden="1"/>
    </xf>
    <xf numFmtId="0" fontId="0" fillId="2" borderId="20" xfId="0" applyFont="1" applyFill="1" applyBorder="1" applyProtection="1">
      <protection hidden="1"/>
    </xf>
    <xf numFmtId="14" fontId="3" fillId="3" borderId="15" xfId="0" applyNumberFormat="1" applyFont="1" applyFill="1" applyBorder="1" applyAlignment="1" applyProtection="1">
      <alignment horizontal="right"/>
      <protection hidden="1"/>
    </xf>
    <xf numFmtId="0" fontId="22" fillId="6" borderId="0" xfId="0" applyFont="1" applyFill="1" applyBorder="1" applyAlignment="1" applyProtection="1">
      <alignment vertical="center"/>
      <protection hidden="1"/>
    </xf>
    <xf numFmtId="0" fontId="3" fillId="3" borderId="15" xfId="0" applyFont="1" applyFill="1" applyBorder="1" applyAlignment="1" applyProtection="1">
      <alignment horizontal="right"/>
      <protection hidden="1"/>
    </xf>
    <xf numFmtId="0" fontId="3" fillId="0" borderId="21" xfId="0" applyFont="1" applyBorder="1" applyAlignment="1" applyProtection="1">
      <alignment horizontal="center"/>
      <protection hidden="1"/>
    </xf>
    <xf numFmtId="0" fontId="3" fillId="0" borderId="22" xfId="0" applyFont="1" applyBorder="1" applyAlignment="1" applyProtection="1">
      <alignment horizontal="center"/>
      <protection hidden="1"/>
    </xf>
    <xf numFmtId="0" fontId="0" fillId="2" borderId="11" xfId="0" applyNumberFormat="1" applyFont="1" applyFill="1" applyBorder="1" applyAlignment="1" applyProtection="1">
      <alignment horizontal="center"/>
      <protection hidden="1"/>
    </xf>
    <xf numFmtId="0" fontId="0" fillId="2" borderId="6" xfId="0" applyNumberFormat="1" applyFont="1" applyFill="1" applyBorder="1" applyAlignment="1" applyProtection="1">
      <alignment horizontal="center"/>
      <protection hidden="1"/>
    </xf>
    <xf numFmtId="0" fontId="0" fillId="0" borderId="11" xfId="0" applyNumberFormat="1" applyBorder="1" applyAlignment="1" applyProtection="1">
      <alignment horizontal="center"/>
      <protection hidden="1"/>
    </xf>
    <xf numFmtId="0" fontId="0" fillId="0" borderId="6" xfId="0" applyNumberFormat="1" applyBorder="1" applyAlignment="1" applyProtection="1">
      <alignment horizontal="center"/>
      <protection hidden="1"/>
    </xf>
    <xf numFmtId="0" fontId="0" fillId="0" borderId="6" xfId="0" applyNumberFormat="1" applyFont="1" applyBorder="1" applyAlignment="1" applyProtection="1">
      <alignment horizontal="center"/>
      <protection hidden="1"/>
    </xf>
    <xf numFmtId="0" fontId="3" fillId="3" borderId="15" xfId="0" applyFont="1" applyFill="1" applyBorder="1" applyAlignment="1" applyProtection="1">
      <alignment horizontal="right"/>
      <protection hidden="1"/>
    </xf>
    <xf numFmtId="0" fontId="3" fillId="2" borderId="0" xfId="0" applyFont="1" applyFill="1" applyBorder="1" applyAlignment="1" applyProtection="1">
      <alignment horizontal="center"/>
      <protection hidden="1"/>
    </xf>
    <xf numFmtId="0" fontId="3" fillId="6" borderId="0" xfId="0" applyFont="1" applyFill="1" applyBorder="1" applyAlignment="1" applyProtection="1">
      <alignment horizontal="left" vertical="center"/>
      <protection hidden="1"/>
    </xf>
    <xf numFmtId="0" fontId="2" fillId="3" borderId="5" xfId="0" applyFont="1" applyFill="1" applyBorder="1" applyAlignment="1" applyProtection="1">
      <alignment horizontal="center" wrapText="1"/>
      <protection hidden="1"/>
    </xf>
    <xf numFmtId="0" fontId="14" fillId="2" borderId="0" xfId="0" applyFont="1" applyFill="1" applyBorder="1" applyAlignment="1" applyProtection="1">
      <alignment vertical="top" wrapText="1"/>
      <protection hidden="1"/>
    </xf>
    <xf numFmtId="0" fontId="3" fillId="3" borderId="15" xfId="23" applyFont="1" applyFill="1" applyBorder="1" applyAlignment="1" applyProtection="1">
      <alignment horizontal="right"/>
      <protection hidden="1"/>
    </xf>
    <xf numFmtId="0" fontId="3" fillId="0" borderId="23" xfId="0" applyFont="1" applyBorder="1" applyAlignment="1" applyProtection="1">
      <alignment horizontal="center"/>
      <protection hidden="1"/>
    </xf>
    <xf numFmtId="0" fontId="0" fillId="2" borderId="15" xfId="0" applyNumberFormat="1" applyFont="1" applyFill="1" applyBorder="1" applyAlignment="1" applyProtection="1">
      <alignment horizontal="center"/>
      <protection hidden="1"/>
    </xf>
    <xf numFmtId="0" fontId="0" fillId="0" borderId="15" xfId="0" applyNumberFormat="1" applyFont="1" applyBorder="1" applyAlignment="1" applyProtection="1">
      <alignment horizontal="center"/>
      <protection hidden="1"/>
    </xf>
    <xf numFmtId="0" fontId="3" fillId="0" borderId="1" xfId="0" applyFont="1" applyBorder="1" applyAlignment="1" applyProtection="1">
      <alignment horizontal="center"/>
      <protection hidden="1"/>
    </xf>
    <xf numFmtId="0" fontId="3" fillId="3" borderId="21" xfId="23" applyFont="1" applyFill="1" applyBorder="1" applyAlignment="1" applyProtection="1">
      <alignment horizontal="center" vertical="center" wrapText="1"/>
      <protection hidden="1"/>
    </xf>
    <xf numFmtId="0" fontId="3" fillId="3" borderId="22" xfId="23" applyFont="1" applyFill="1" applyBorder="1" applyAlignment="1" applyProtection="1">
      <alignment horizontal="center" vertical="center" wrapText="1"/>
      <protection hidden="1"/>
    </xf>
    <xf numFmtId="0" fontId="3" fillId="3" borderId="24" xfId="23" applyFont="1" applyFill="1" applyBorder="1" applyAlignment="1" applyProtection="1" quotePrefix="1">
      <alignment horizontal="center" vertical="center" wrapText="1"/>
      <protection hidden="1"/>
    </xf>
    <xf numFmtId="0" fontId="3" fillId="3" borderId="24" xfId="23" applyFont="1" applyFill="1" applyBorder="1" applyAlignment="1" applyProtection="1">
      <alignment horizontal="center" vertical="center" wrapText="1"/>
      <protection hidden="1"/>
    </xf>
    <xf numFmtId="166" fontId="0" fillId="0" borderId="6" xfId="23" applyNumberFormat="1" applyFont="1" applyFill="1" applyBorder="1" applyAlignment="1" applyProtection="1">
      <alignment horizontal="center" vertical="center" wrapText="1"/>
      <protection hidden="1"/>
    </xf>
    <xf numFmtId="2" fontId="0" fillId="2" borderId="25" xfId="23" applyNumberFormat="1" applyFill="1" applyBorder="1" applyAlignment="1" applyProtection="1">
      <alignment horizontal="center"/>
      <protection hidden="1"/>
    </xf>
    <xf numFmtId="166" fontId="0" fillId="0" borderId="13" xfId="23" applyNumberFormat="1" applyFont="1" applyFill="1" applyBorder="1" applyAlignment="1" applyProtection="1">
      <alignment horizontal="center" vertical="center" wrapText="1"/>
      <protection hidden="1"/>
    </xf>
    <xf numFmtId="2" fontId="0" fillId="2" borderId="26" xfId="23" applyNumberFormat="1" applyFill="1" applyBorder="1" applyAlignment="1" applyProtection="1">
      <alignment horizontal="center"/>
      <protection hidden="1"/>
    </xf>
    <xf numFmtId="0" fontId="3" fillId="4" borderId="5" xfId="23" applyFont="1" applyFill="1" applyBorder="1" applyAlignment="1" applyProtection="1" quotePrefix="1">
      <alignment horizontal="right" vertical="center"/>
      <protection hidden="1"/>
    </xf>
    <xf numFmtId="0" fontId="3" fillId="4" borderId="17" xfId="23" applyFont="1" applyFill="1" applyBorder="1" applyAlignment="1" applyProtection="1" quotePrefix="1">
      <alignment horizontal="center" vertical="center"/>
      <protection hidden="1"/>
    </xf>
    <xf numFmtId="0" fontId="3" fillId="4" borderId="6" xfId="23" applyFont="1" applyFill="1" applyBorder="1" applyAlignment="1" applyProtection="1" quotePrefix="1">
      <alignment horizontal="center" vertical="center"/>
      <protection hidden="1"/>
    </xf>
    <xf numFmtId="172" fontId="0" fillId="4" borderId="6" xfId="27" applyNumberFormat="1" applyFont="1" applyFill="1" applyBorder="1" applyAlignment="1" applyProtection="1" quotePrefix="1">
      <alignment horizontal="center" vertical="center"/>
      <protection hidden="1"/>
    </xf>
    <xf numFmtId="0" fontId="3" fillId="4" borderId="27" xfId="23" applyFont="1" applyFill="1" applyBorder="1" applyAlignment="1" applyProtection="1">
      <alignment horizontal="center"/>
      <protection hidden="1"/>
    </xf>
    <xf numFmtId="0" fontId="0" fillId="2" borderId="0" xfId="23" applyFont="1" applyFill="1" applyAlignment="1" applyProtection="1">
      <alignment wrapText="1"/>
      <protection hidden="1"/>
    </xf>
    <xf numFmtId="0" fontId="3" fillId="2" borderId="0" xfId="23" applyFont="1" applyFill="1" applyBorder="1" applyAlignment="1" applyProtection="1" quotePrefix="1">
      <alignment horizontal="left" vertical="top"/>
      <protection hidden="1"/>
    </xf>
    <xf numFmtId="0" fontId="0" fillId="2" borderId="0" xfId="23" applyFill="1" applyBorder="1" applyAlignment="1" applyProtection="1">
      <alignment horizontal="left" vertical="top" wrapText="1"/>
      <protection hidden="1"/>
    </xf>
    <xf numFmtId="0" fontId="0" fillId="2" borderId="0" xfId="23" applyFill="1" applyBorder="1" applyAlignment="1" applyProtection="1">
      <alignment horizontal="left" vertical="top"/>
      <protection hidden="1"/>
    </xf>
    <xf numFmtId="0" fontId="3" fillId="3" borderId="28" xfId="23" applyFont="1" applyFill="1" applyBorder="1" applyAlignment="1" applyProtection="1">
      <alignment horizontal="center" vertical="center" wrapText="1"/>
      <protection hidden="1"/>
    </xf>
    <xf numFmtId="0" fontId="3" fillId="3" borderId="29" xfId="23" applyFont="1" applyFill="1" applyBorder="1" applyAlignment="1" applyProtection="1">
      <alignment horizontal="center" vertical="center" wrapText="1"/>
      <protection hidden="1"/>
    </xf>
    <xf numFmtId="0" fontId="0" fillId="0" borderId="19" xfId="0" applyFont="1" applyBorder="1" applyAlignment="1" applyProtection="1">
      <alignment horizontal="center"/>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3" fillId="5" borderId="6"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left" vertical="top" wrapText="1"/>
      <protection hidden="1"/>
    </xf>
    <xf numFmtId="1" fontId="3" fillId="4" borderId="6" xfId="0" applyNumberFormat="1" applyFont="1" applyFill="1" applyBorder="1" applyAlignment="1" applyProtection="1">
      <alignment horizontal="center"/>
      <protection hidden="1"/>
    </xf>
    <xf numFmtId="0" fontId="3" fillId="5" borderId="5" xfId="0" applyFont="1" applyFill="1" applyBorder="1" applyAlignment="1" applyProtection="1">
      <alignment horizontal="center" vertical="center"/>
      <protection locked="0"/>
    </xf>
    <xf numFmtId="0" fontId="3" fillId="0" borderId="0" xfId="0" applyFont="1"/>
    <xf numFmtId="17" fontId="0" fillId="0" borderId="0" xfId="0" applyNumberFormat="1" applyFont="1" quotePrefix="1"/>
    <xf numFmtId="17" fontId="0" fillId="0" borderId="0" xfId="0" applyNumberFormat="1" quotePrefix="1"/>
    <xf numFmtId="17" fontId="2" fillId="2" borderId="0" xfId="0" applyNumberFormat="1" applyFont="1" applyFill="1" applyBorder="1" applyAlignment="1" applyProtection="1">
      <alignment horizontal="left"/>
      <protection hidden="1"/>
    </xf>
    <xf numFmtId="17" fontId="2" fillId="2" borderId="0" xfId="0" applyNumberFormat="1" applyFont="1" applyFill="1" applyBorder="1" applyAlignment="1" applyProtection="1">
      <alignment vertical="center"/>
      <protection hidden="1"/>
    </xf>
    <xf numFmtId="17" fontId="2" fillId="2" borderId="0" xfId="0" applyNumberFormat="1" applyFont="1" applyFill="1" applyBorder="1" applyAlignment="1" applyProtection="1">
      <alignment horizontal="center" vertical="center"/>
      <protection hidden="1"/>
    </xf>
    <xf numFmtId="17" fontId="2" fillId="2" borderId="0" xfId="23" applyNumberFormat="1" applyFont="1" applyFill="1" applyBorder="1" applyAlignment="1" applyProtection="1">
      <alignment vertical="center"/>
      <protection hidden="1"/>
    </xf>
    <xf numFmtId="0" fontId="0" fillId="2" borderId="30" xfId="23" applyFill="1" applyBorder="1" applyAlignment="1" applyProtection="1">
      <alignment vertical="center"/>
      <protection hidden="1"/>
    </xf>
    <xf numFmtId="0" fontId="0" fillId="2" borderId="31" xfId="23" applyFill="1" applyBorder="1" applyAlignment="1" applyProtection="1">
      <alignment vertical="center"/>
      <protection hidden="1"/>
    </xf>
    <xf numFmtId="0" fontId="0" fillId="2" borderId="32" xfId="23" applyFill="1" applyBorder="1" applyProtection="1">
      <alignment/>
      <protection hidden="1"/>
    </xf>
    <xf numFmtId="0" fontId="0" fillId="2" borderId="33" xfId="23" applyFill="1" applyBorder="1" applyProtection="1">
      <alignment/>
      <protection hidden="1"/>
    </xf>
    <xf numFmtId="166" fontId="3" fillId="4" borderId="34" xfId="23" applyNumberFormat="1" applyFont="1" applyFill="1" applyBorder="1" applyAlignment="1" applyProtection="1">
      <alignment horizontal="center"/>
      <protection hidden="1"/>
    </xf>
    <xf numFmtId="0" fontId="0" fillId="2" borderId="0" xfId="23" applyFill="1" applyBorder="1" applyAlignment="1" applyProtection="1">
      <alignment horizontal="left" wrapText="1"/>
      <protection hidden="1"/>
    </xf>
    <xf numFmtId="166" fontId="0" fillId="4" borderId="25" xfId="23" applyNumberFormat="1" applyFont="1" applyFill="1" applyBorder="1" applyAlignment="1" applyProtection="1" quotePrefix="1">
      <alignment horizontal="center" vertical="center"/>
      <protection hidden="1"/>
    </xf>
    <xf numFmtId="0" fontId="3" fillId="4" borderId="35" xfId="23" applyFont="1" applyFill="1" applyBorder="1" applyAlignment="1" applyProtection="1">
      <alignment horizontal="center" vertical="center"/>
      <protection hidden="1"/>
    </xf>
    <xf numFmtId="0" fontId="0" fillId="2" borderId="32" xfId="23" applyFont="1" applyFill="1" applyBorder="1" applyAlignment="1" applyProtection="1">
      <alignment wrapText="1"/>
      <protection hidden="1"/>
    </xf>
    <xf numFmtId="0" fontId="0" fillId="2" borderId="33" xfId="23" applyFill="1" applyBorder="1" applyAlignment="1" applyProtection="1">
      <alignment horizontal="left" vertical="top"/>
      <protection hidden="1"/>
    </xf>
    <xf numFmtId="0" fontId="6" fillId="2" borderId="33" xfId="0" applyFont="1" applyFill="1" applyBorder="1" applyProtection="1">
      <protection hidden="1"/>
    </xf>
    <xf numFmtId="166" fontId="0" fillId="4" borderId="34" xfId="23" applyNumberFormat="1" applyFill="1" applyBorder="1" applyAlignment="1" applyProtection="1">
      <alignment horizontal="center"/>
      <protection hidden="1"/>
    </xf>
    <xf numFmtId="0" fontId="6" fillId="2" borderId="32" xfId="23" applyFont="1" applyFill="1" applyBorder="1" applyProtection="1">
      <alignment/>
      <protection hidden="1"/>
    </xf>
    <xf numFmtId="0" fontId="6" fillId="2" borderId="33" xfId="23" applyFont="1" applyFill="1" applyBorder="1" applyProtection="1">
      <alignment/>
      <protection hidden="1"/>
    </xf>
    <xf numFmtId="0" fontId="0" fillId="2" borderId="30" xfId="23" applyFill="1" applyBorder="1" applyAlignment="1" applyProtection="1">
      <alignment/>
      <protection hidden="1"/>
    </xf>
    <xf numFmtId="0" fontId="0" fillId="2" borderId="31" xfId="23" applyFill="1" applyBorder="1" applyAlignment="1" applyProtection="1">
      <alignment/>
      <protection hidden="1"/>
    </xf>
    <xf numFmtId="0" fontId="3" fillId="4" borderId="22" xfId="23" applyFont="1" applyFill="1" applyBorder="1" applyAlignment="1" applyProtection="1" quotePrefix="1">
      <alignment horizontal="right" vertical="center"/>
      <protection hidden="1"/>
    </xf>
    <xf numFmtId="0" fontId="21" fillId="6" borderId="0" xfId="0" applyFont="1" applyFill="1" applyBorder="1" applyAlignment="1" applyProtection="1">
      <alignment vertical="center" wrapText="1"/>
      <protection hidden="1"/>
    </xf>
    <xf numFmtId="0" fontId="3" fillId="6" borderId="6" xfId="0" applyFont="1" applyFill="1" applyBorder="1" applyAlignment="1" applyProtection="1">
      <alignment horizontal="center" vertical="center"/>
      <protection hidden="1"/>
    </xf>
    <xf numFmtId="0" fontId="3" fillId="4" borderId="6" xfId="0" applyFont="1" applyFill="1" applyBorder="1" applyAlignment="1" applyProtection="1">
      <alignment horizontal="center" vertical="center"/>
      <protection hidden="1"/>
    </xf>
    <xf numFmtId="165" fontId="0" fillId="6" borderId="0" xfId="0" applyNumberFormat="1" applyFont="1" applyFill="1" applyBorder="1" applyAlignment="1" applyProtection="1">
      <alignment vertical="center"/>
      <protection hidden="1"/>
    </xf>
    <xf numFmtId="14" fontId="9" fillId="6" borderId="6" xfId="0" applyNumberFormat="1" applyFont="1" applyFill="1" applyBorder="1" applyAlignment="1" applyProtection="1">
      <alignment horizontal="left" vertical="center"/>
      <protection hidden="1"/>
    </xf>
    <xf numFmtId="0" fontId="9" fillId="6" borderId="6" xfId="0" applyNumberFormat="1" applyFont="1" applyFill="1" applyBorder="1" applyAlignment="1" applyProtection="1">
      <alignment horizontal="left" vertical="center"/>
      <protection hidden="1"/>
    </xf>
    <xf numFmtId="0" fontId="2" fillId="5" borderId="6" xfId="0" applyFont="1" applyFill="1" applyBorder="1" applyAlignment="1" applyProtection="1">
      <alignment horizontal="center" vertical="center"/>
      <protection hidden="1"/>
    </xf>
    <xf numFmtId="0" fontId="22" fillId="6" borderId="0" xfId="0" applyFont="1" applyFill="1" applyBorder="1" applyProtection="1">
      <protection hidden="1"/>
    </xf>
    <xf numFmtId="0" fontId="3" fillId="6" borderId="36" xfId="0" applyFont="1" applyFill="1" applyBorder="1" applyAlignment="1" applyProtection="1">
      <alignment horizontal="right"/>
      <protection hidden="1"/>
    </xf>
    <xf numFmtId="0" fontId="2" fillId="3" borderId="10" xfId="0" applyFont="1" applyFill="1" applyBorder="1" applyAlignment="1" applyProtection="1">
      <alignment horizontal="center"/>
      <protection hidden="1"/>
    </xf>
    <xf numFmtId="0" fontId="7" fillId="2" borderId="5" xfId="0" applyFont="1" applyFill="1" applyBorder="1" applyAlignment="1" applyProtection="1">
      <alignment vertical="center"/>
      <protection hidden="1"/>
    </xf>
    <xf numFmtId="0" fontId="0" fillId="6" borderId="6" xfId="23" applyFont="1" applyFill="1" applyBorder="1" applyAlignment="1" applyProtection="1">
      <alignment horizontal="center" vertical="center" wrapText="1"/>
      <protection hidden="1"/>
    </xf>
    <xf numFmtId="169" fontId="2" fillId="5" borderId="6"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wrapText="1"/>
      <protection hidden="1"/>
    </xf>
    <xf numFmtId="0" fontId="7" fillId="2" borderId="6" xfId="0" applyNumberFormat="1" applyFont="1" applyFill="1" applyBorder="1" applyProtection="1">
      <protection hidden="1"/>
    </xf>
    <xf numFmtId="0" fontId="2" fillId="2" borderId="5" xfId="0" applyFont="1" applyFill="1" applyBorder="1" applyAlignment="1" applyProtection="1">
      <alignment horizontal="center"/>
      <protection hidden="1"/>
    </xf>
    <xf numFmtId="0" fontId="2" fillId="2" borderId="6" xfId="0" applyFont="1" applyFill="1" applyBorder="1" applyAlignment="1" applyProtection="1">
      <alignment horizontal="center"/>
      <protection hidden="1"/>
    </xf>
    <xf numFmtId="0" fontId="2" fillId="2" borderId="6" xfId="0" applyFont="1" applyFill="1" applyBorder="1" applyAlignment="1" applyProtection="1">
      <alignment vertical="top" wrapText="1"/>
      <protection hidden="1"/>
    </xf>
    <xf numFmtId="170" fontId="2" fillId="6" borderId="6" xfId="0" applyNumberFormat="1" applyFont="1" applyFill="1" applyBorder="1" applyAlignment="1" applyProtection="1">
      <alignment horizontal="center" vertical="center"/>
      <protection hidden="1"/>
    </xf>
    <xf numFmtId="166" fontId="2" fillId="6" borderId="6" xfId="0" applyNumberFormat="1" applyFont="1" applyFill="1" applyBorder="1" applyAlignment="1" applyProtection="1">
      <alignment horizontal="center" vertical="center"/>
      <protection hidden="1"/>
    </xf>
    <xf numFmtId="2" fontId="2" fillId="6" borderId="6" xfId="0" applyNumberFormat="1" applyFont="1" applyFill="1" applyBorder="1" applyAlignment="1" applyProtection="1">
      <alignment horizontal="center" vertical="center"/>
      <protection hidden="1"/>
    </xf>
    <xf numFmtId="166" fontId="23" fillId="7" borderId="6" xfId="0" applyNumberFormat="1" applyFont="1" applyFill="1" applyBorder="1" applyAlignment="1" applyProtection="1">
      <alignment horizontal="center"/>
      <protection hidden="1"/>
    </xf>
    <xf numFmtId="0" fontId="25" fillId="2" borderId="0" xfId="0" applyFont="1" applyFill="1" applyBorder="1" applyProtection="1">
      <protection hidden="1"/>
    </xf>
    <xf numFmtId="0" fontId="2" fillId="4" borderId="6" xfId="0" applyFont="1" applyFill="1" applyBorder="1" applyAlignment="1" applyProtection="1" quotePrefix="1">
      <alignment horizontal="center" vertical="center" wrapText="1"/>
      <protection hidden="1"/>
    </xf>
    <xf numFmtId="0" fontId="2" fillId="4" borderId="6" xfId="0" applyFont="1" applyFill="1" applyBorder="1" applyAlignment="1" applyProtection="1" quotePrefix="1">
      <alignment horizontal="center" vertical="center" wrapText="1"/>
      <protection hidden="1"/>
    </xf>
    <xf numFmtId="0" fontId="3" fillId="4" borderId="6" xfId="0" applyFont="1" applyFill="1" applyBorder="1" applyAlignment="1" applyProtection="1">
      <alignment horizontal="right"/>
      <protection hidden="1"/>
    </xf>
    <xf numFmtId="0" fontId="3" fillId="4" borderId="6" xfId="0" applyFont="1" applyFill="1" applyBorder="1" applyAlignment="1" applyProtection="1">
      <alignment horizontal="center" vertical="center" wrapText="1"/>
      <protection hidden="1"/>
    </xf>
    <xf numFmtId="0" fontId="3" fillId="4" borderId="27" xfId="0" applyFont="1" applyFill="1" applyBorder="1" applyAlignment="1" applyProtection="1">
      <alignment horizontal="right"/>
      <protection hidden="1"/>
    </xf>
    <xf numFmtId="0" fontId="3" fillId="4" borderId="27" xfId="0" applyFont="1" applyFill="1" applyBorder="1" applyAlignment="1" applyProtection="1">
      <alignment horizontal="center" vertical="center"/>
      <protection hidden="1"/>
    </xf>
    <xf numFmtId="0" fontId="3" fillId="4" borderId="27" xfId="0" applyFont="1" applyFill="1" applyBorder="1" applyAlignment="1" applyProtection="1" quotePrefix="1">
      <alignment horizontal="center"/>
      <protection hidden="1"/>
    </xf>
    <xf numFmtId="0" fontId="28" fillId="0" borderId="0" xfId="0" applyFont="1" applyFill="1" applyProtection="1">
      <protection hidden="1"/>
    </xf>
    <xf numFmtId="0" fontId="28" fillId="0" borderId="0" xfId="0" applyFont="1" applyFill="1" applyBorder="1" applyProtection="1">
      <protection hidden="1"/>
    </xf>
    <xf numFmtId="0" fontId="35" fillId="0" borderId="0" xfId="0" applyFont="1" applyFill="1" applyBorder="1" applyProtection="1">
      <protection hidden="1"/>
    </xf>
    <xf numFmtId="0" fontId="35" fillId="0" borderId="0" xfId="0" applyFont="1" applyFill="1" applyProtection="1">
      <protection hidden="1"/>
    </xf>
    <xf numFmtId="0" fontId="35" fillId="0" borderId="0" xfId="0" applyFont="1" applyFill="1" applyAlignment="1" applyProtection="1">
      <alignment horizontal="left"/>
      <protection hidden="1"/>
    </xf>
    <xf numFmtId="166" fontId="0" fillId="10" borderId="6" xfId="0" applyNumberFormat="1" applyFont="1" applyFill="1" applyBorder="1" applyAlignment="1" applyProtection="1">
      <alignment horizontal="center" vertical="center" wrapText="1"/>
      <protection locked="0"/>
    </xf>
    <xf numFmtId="1" fontId="2" fillId="2" borderId="6" xfId="0" applyNumberFormat="1" applyFont="1" applyFill="1" applyBorder="1" applyAlignment="1" applyProtection="1">
      <alignment horizontal="center"/>
      <protection hidden="1"/>
    </xf>
    <xf numFmtId="1" fontId="23" fillId="7" borderId="6" xfId="0" applyNumberFormat="1" applyFont="1" applyFill="1" applyBorder="1" applyAlignment="1" applyProtection="1">
      <alignment horizontal="center" vertical="center"/>
      <protection hidden="1"/>
    </xf>
    <xf numFmtId="2" fontId="23" fillId="7" borderId="6" xfId="0" applyNumberFormat="1" applyFont="1" applyFill="1" applyBorder="1" applyAlignment="1" applyProtection="1">
      <alignment horizontal="center" vertical="center"/>
      <protection hidden="1"/>
    </xf>
    <xf numFmtId="0" fontId="39" fillId="0" borderId="0" xfId="0" applyFont="1" applyFill="1" applyProtection="1">
      <protection/>
    </xf>
    <xf numFmtId="0" fontId="28" fillId="0" borderId="0" xfId="0" applyFont="1" applyFill="1" applyProtection="1">
      <protection/>
    </xf>
    <xf numFmtId="0" fontId="28" fillId="0" borderId="0" xfId="0" applyFont="1" applyFill="1" applyAlignment="1">
      <alignment horizontal="right"/>
    </xf>
    <xf numFmtId="0" fontId="29" fillId="0" borderId="0" xfId="0" applyFont="1" applyFill="1" applyProtection="1">
      <protection/>
    </xf>
    <xf numFmtId="1" fontId="30" fillId="0" borderId="0" xfId="0" applyNumberFormat="1" applyFont="1" applyFill="1" applyAlignment="1" applyProtection="1">
      <alignment horizontal="left"/>
      <protection/>
    </xf>
    <xf numFmtId="0" fontId="31" fillId="0" borderId="0" xfId="0" applyFont="1" applyFill="1" applyProtection="1">
      <protection/>
    </xf>
    <xf numFmtId="0" fontId="32" fillId="0" borderId="37" xfId="21" applyFont="1" applyFill="1" applyBorder="1" applyAlignment="1" applyProtection="1">
      <alignment/>
      <protection/>
    </xf>
    <xf numFmtId="0" fontId="33" fillId="0" borderId="30" xfId="0" applyFont="1" applyFill="1" applyBorder="1" applyProtection="1">
      <protection/>
    </xf>
    <xf numFmtId="0" fontId="33" fillId="0" borderId="1" xfId="0" applyFont="1" applyFill="1" applyBorder="1" applyProtection="1">
      <protection/>
    </xf>
    <xf numFmtId="0" fontId="34" fillId="0" borderId="38" xfId="0" applyFont="1" applyFill="1" applyBorder="1" applyAlignment="1">
      <alignment horizontal="right" textRotation="90" wrapText="1"/>
    </xf>
    <xf numFmtId="0" fontId="34" fillId="0" borderId="39" xfId="0" applyFont="1" applyFill="1" applyBorder="1" applyAlignment="1">
      <alignment horizontal="right" textRotation="90" wrapText="1"/>
    </xf>
    <xf numFmtId="0" fontId="34" fillId="0" borderId="40" xfId="0" applyFont="1" applyFill="1" applyBorder="1" applyAlignment="1">
      <alignment horizontal="right" textRotation="90" wrapText="1"/>
    </xf>
    <xf numFmtId="0" fontId="34" fillId="0" borderId="38" xfId="0" applyFont="1" applyFill="1" applyBorder="1" applyAlignment="1">
      <alignment horizontal="right" textRotation="90"/>
    </xf>
    <xf numFmtId="1" fontId="0" fillId="0" borderId="41" xfId="0" applyNumberFormat="1" applyFont="1" applyFill="1" applyBorder="1" applyProtection="1">
      <protection/>
    </xf>
    <xf numFmtId="0" fontId="0" fillId="0" borderId="41" xfId="0" applyFont="1" applyFill="1" applyBorder="1" applyProtection="1">
      <protection/>
    </xf>
    <xf numFmtId="0" fontId="0" fillId="0" borderId="42" xfId="0" applyFont="1" applyFill="1" applyBorder="1" applyAlignment="1" applyProtection="1">
      <alignment horizontal="left"/>
      <protection/>
    </xf>
    <xf numFmtId="0" fontId="0" fillId="0" borderId="42" xfId="0" applyFont="1" applyFill="1" applyBorder="1" applyAlignment="1">
      <alignment horizontal="right"/>
    </xf>
    <xf numFmtId="0" fontId="0" fillId="0" borderId="43" xfId="0" applyFont="1" applyFill="1" applyBorder="1" applyAlignment="1">
      <alignment horizontal="right"/>
    </xf>
    <xf numFmtId="0" fontId="32" fillId="0" borderId="44" xfId="0" applyFont="1" applyFill="1" applyBorder="1"/>
    <xf numFmtId="0" fontId="32" fillId="0" borderId="45" xfId="0" applyFont="1" applyFill="1" applyBorder="1"/>
    <xf numFmtId="0" fontId="32" fillId="0" borderId="45" xfId="0" applyFont="1" applyFill="1" applyBorder="1" applyProtection="1">
      <protection/>
    </xf>
    <xf numFmtId="0" fontId="32" fillId="0" borderId="5" xfId="0" applyFont="1" applyFill="1" applyBorder="1" applyAlignment="1">
      <alignment horizontal="right"/>
    </xf>
    <xf numFmtId="0" fontId="32" fillId="0" borderId="16" xfId="0" applyFont="1" applyFill="1" applyBorder="1" applyAlignment="1">
      <alignment horizontal="right"/>
    </xf>
    <xf numFmtId="0" fontId="32" fillId="0" borderId="14" xfId="0" applyFont="1" applyFill="1" applyBorder="1" applyAlignment="1">
      <alignment horizontal="right"/>
    </xf>
    <xf numFmtId="0" fontId="32" fillId="0" borderId="34" xfId="0" applyFont="1" applyFill="1" applyBorder="1" applyAlignment="1">
      <alignment horizontal="right"/>
    </xf>
    <xf numFmtId="0" fontId="32" fillId="0" borderId="17" xfId="0" applyFont="1" applyFill="1" applyBorder="1" applyAlignment="1">
      <alignment horizontal="right"/>
    </xf>
    <xf numFmtId="0" fontId="32" fillId="0" borderId="46" xfId="0" applyFont="1" applyFill="1" applyBorder="1"/>
    <xf numFmtId="0" fontId="32" fillId="0" borderId="19" xfId="0" applyFont="1" applyFill="1" applyBorder="1" applyProtection="1">
      <protection/>
    </xf>
    <xf numFmtId="0" fontId="32" fillId="0" borderId="6" xfId="0" applyFont="1" applyFill="1" applyBorder="1" applyAlignment="1">
      <alignment horizontal="right"/>
    </xf>
    <xf numFmtId="0" fontId="32" fillId="0" borderId="15" xfId="0" applyFont="1" applyFill="1" applyBorder="1" applyAlignment="1">
      <alignment horizontal="right"/>
    </xf>
    <xf numFmtId="0" fontId="32" fillId="0" borderId="11" xfId="0" applyFont="1" applyFill="1" applyBorder="1" applyAlignment="1">
      <alignment horizontal="right"/>
    </xf>
    <xf numFmtId="0" fontId="32" fillId="0" borderId="25" xfId="0" applyFont="1" applyFill="1" applyBorder="1" applyAlignment="1">
      <alignment horizontal="right"/>
    </xf>
    <xf numFmtId="0" fontId="32" fillId="0" borderId="8" xfId="0" applyFont="1" applyFill="1" applyBorder="1" applyAlignment="1">
      <alignment horizontal="right"/>
    </xf>
    <xf numFmtId="0" fontId="32" fillId="0" borderId="46" xfId="0" applyFont="1" applyFill="1" applyBorder="1" applyAlignment="1">
      <alignment horizontal="right"/>
    </xf>
    <xf numFmtId="0" fontId="32" fillId="0" borderId="19" xfId="0" applyFont="1" applyFill="1" applyBorder="1"/>
    <xf numFmtId="0" fontId="32" fillId="0" borderId="46" xfId="0" applyFont="1" applyFill="1" applyBorder="1" applyAlignment="1">
      <alignment horizontal="right" vertical="center"/>
    </xf>
    <xf numFmtId="0" fontId="32" fillId="0" borderId="19" xfId="0" applyFont="1" applyFill="1" applyBorder="1" applyAlignment="1" applyProtection="1">
      <alignment vertical="center" wrapText="1"/>
      <protection/>
    </xf>
    <xf numFmtId="0" fontId="32" fillId="0" borderId="47" xfId="0" applyFont="1" applyFill="1" applyBorder="1"/>
    <xf numFmtId="0" fontId="32" fillId="0" borderId="3" xfId="0" applyFont="1" applyFill="1" applyBorder="1"/>
    <xf numFmtId="0" fontId="32" fillId="0" borderId="20" xfId="0" applyFont="1" applyFill="1" applyBorder="1"/>
    <xf numFmtId="0" fontId="32" fillId="0" borderId="48" xfId="0" applyFont="1" applyFill="1" applyBorder="1" applyAlignment="1">
      <alignment horizontal="right"/>
    </xf>
    <xf numFmtId="0" fontId="32" fillId="0" borderId="13" xfId="0" applyFont="1" applyFill="1" applyBorder="1" applyAlignment="1">
      <alignment horizontal="right"/>
    </xf>
    <xf numFmtId="0" fontId="32" fillId="0" borderId="49" xfId="0" applyFont="1" applyFill="1" applyBorder="1" applyAlignment="1">
      <alignment horizontal="right"/>
    </xf>
    <xf numFmtId="0" fontId="32" fillId="0" borderId="12" xfId="0" applyFont="1" applyFill="1" applyBorder="1" applyAlignment="1">
      <alignment horizontal="right"/>
    </xf>
    <xf numFmtId="0" fontId="32" fillId="0" borderId="26" xfId="0" applyFont="1" applyFill="1" applyBorder="1" applyAlignment="1">
      <alignment horizontal="right"/>
    </xf>
    <xf numFmtId="0" fontId="32" fillId="0" borderId="19" xfId="0" applyFont="1" applyFill="1" applyBorder="1" applyAlignment="1">
      <alignment horizontal="right"/>
    </xf>
    <xf numFmtId="0" fontId="32" fillId="0" borderId="11" xfId="0" applyFont="1" applyFill="1" applyBorder="1" applyProtection="1">
      <protection/>
    </xf>
    <xf numFmtId="0" fontId="32" fillId="0" borderId="33" xfId="0" applyFont="1" applyFill="1" applyBorder="1" applyAlignment="1">
      <alignment horizontal="right"/>
    </xf>
    <xf numFmtId="0" fontId="32" fillId="0" borderId="19" xfId="0" applyFont="1" applyFill="1" applyBorder="1" applyAlignment="1">
      <alignment horizontal="right" vertical="center"/>
    </xf>
    <xf numFmtId="0" fontId="32" fillId="0" borderId="8" xfId="20" applyFont="1" applyFill="1" applyBorder="1" applyAlignment="1" applyProtection="1">
      <alignment horizontal="right" wrapText="1"/>
      <protection locked="0"/>
    </xf>
    <xf numFmtId="0" fontId="32" fillId="0" borderId="6" xfId="20" applyFont="1" applyFill="1" applyBorder="1" applyAlignment="1" applyProtection="1">
      <alignment horizontal="right"/>
      <protection locked="0"/>
    </xf>
    <xf numFmtId="0" fontId="32" fillId="0" borderId="15" xfId="20" applyFont="1" applyFill="1" applyBorder="1" applyAlignment="1">
      <alignment horizontal="right"/>
      <protection/>
    </xf>
    <xf numFmtId="0" fontId="32" fillId="0" borderId="11" xfId="20" applyFont="1" applyFill="1" applyBorder="1" applyAlignment="1" applyProtection="1">
      <alignment horizontal="right"/>
      <protection locked="0"/>
    </xf>
    <xf numFmtId="0" fontId="32" fillId="0" borderId="6" xfId="20" applyFont="1" applyFill="1" applyBorder="1" applyAlignment="1" applyProtection="1">
      <alignment horizontal="right" wrapText="1"/>
      <protection locked="0"/>
    </xf>
    <xf numFmtId="0" fontId="32" fillId="0" borderId="25" xfId="20" applyFont="1" applyFill="1" applyBorder="1" applyAlignment="1" applyProtection="1">
      <alignment horizontal="right" wrapText="1"/>
      <protection locked="0"/>
    </xf>
    <xf numFmtId="0" fontId="40" fillId="0" borderId="19" xfId="0" applyFont="1" applyFill="1" applyBorder="1" applyAlignment="1">
      <alignment horizontal="right"/>
    </xf>
    <xf numFmtId="0" fontId="40" fillId="0" borderId="11" xfId="0" applyFont="1" applyFill="1" applyBorder="1" applyProtection="1">
      <protection/>
    </xf>
    <xf numFmtId="0" fontId="40" fillId="0" borderId="11" xfId="0" applyFont="1" applyFill="1" applyBorder="1" applyAlignment="1">
      <alignment horizontal="right"/>
    </xf>
    <xf numFmtId="0" fontId="40" fillId="0" borderId="6" xfId="0" applyFont="1" applyFill="1" applyBorder="1" applyAlignment="1">
      <alignment horizontal="right"/>
    </xf>
    <xf numFmtId="0" fontId="40" fillId="0" borderId="25" xfId="0" applyFont="1" applyFill="1" applyBorder="1" applyAlignment="1">
      <alignment horizontal="right"/>
    </xf>
    <xf numFmtId="0" fontId="40" fillId="0" borderId="8" xfId="0" applyFont="1" applyFill="1" applyBorder="1" applyAlignment="1">
      <alignment horizontal="right"/>
    </xf>
    <xf numFmtId="0" fontId="40" fillId="0" borderId="14" xfId="0" applyFont="1" applyFill="1" applyBorder="1" applyProtection="1">
      <protection/>
    </xf>
    <xf numFmtId="0" fontId="40" fillId="0" borderId="14" xfId="0" applyFont="1" applyFill="1" applyBorder="1" applyAlignment="1">
      <alignment horizontal="right"/>
    </xf>
    <xf numFmtId="0" fontId="40" fillId="0" borderId="5" xfId="0" applyFont="1" applyFill="1" applyBorder="1" applyAlignment="1">
      <alignment horizontal="right"/>
    </xf>
    <xf numFmtId="0" fontId="40" fillId="0" borderId="34" xfId="0" applyFont="1" applyFill="1" applyBorder="1" applyAlignment="1">
      <alignment horizontal="right"/>
    </xf>
    <xf numFmtId="0" fontId="40" fillId="0" borderId="50" xfId="0" applyFont="1" applyFill="1" applyBorder="1" applyAlignment="1">
      <alignment horizontal="right"/>
    </xf>
    <xf numFmtId="0" fontId="40" fillId="0" borderId="38" xfId="0" applyFont="1" applyFill="1" applyBorder="1" applyAlignment="1">
      <alignment horizontal="right"/>
    </xf>
    <xf numFmtId="0" fontId="40" fillId="0" borderId="39" xfId="0" applyFont="1" applyFill="1" applyBorder="1" applyAlignment="1">
      <alignment horizontal="right"/>
    </xf>
    <xf numFmtId="0" fontId="40" fillId="0" borderId="40" xfId="0" applyFont="1" applyFill="1" applyBorder="1" applyAlignment="1">
      <alignment horizontal="right"/>
    </xf>
    <xf numFmtId="0" fontId="40" fillId="0" borderId="19" xfId="0" applyFont="1" applyFill="1" applyBorder="1" applyAlignment="1">
      <alignment horizontal="right" vertical="top" wrapText="1"/>
    </xf>
    <xf numFmtId="0" fontId="40" fillId="0" borderId="20" xfId="0" applyFont="1" applyFill="1" applyBorder="1" applyAlignment="1">
      <alignment horizontal="right"/>
    </xf>
    <xf numFmtId="0" fontId="40" fillId="0" borderId="20" xfId="0" applyFont="1" applyFill="1" applyBorder="1" applyProtection="1">
      <protection/>
    </xf>
    <xf numFmtId="0" fontId="40" fillId="0" borderId="48" xfId="0" applyFont="1" applyFill="1" applyBorder="1" applyAlignment="1">
      <alignment horizontal="right"/>
    </xf>
    <xf numFmtId="0" fontId="40" fillId="0" borderId="13" xfId="0" applyFont="1" applyFill="1" applyBorder="1" applyAlignment="1">
      <alignment horizontal="right"/>
    </xf>
    <xf numFmtId="0" fontId="40" fillId="0" borderId="49" xfId="0" applyFont="1" applyFill="1" applyBorder="1" applyAlignment="1">
      <alignment horizontal="right"/>
    </xf>
    <xf numFmtId="0" fontId="40" fillId="0" borderId="12" xfId="0" applyFont="1" applyFill="1" applyBorder="1" applyAlignment="1">
      <alignment horizontal="right"/>
    </xf>
    <xf numFmtId="0" fontId="40" fillId="0" borderId="26" xfId="0" applyFont="1" applyFill="1" applyBorder="1" applyAlignment="1">
      <alignment horizontal="right"/>
    </xf>
    <xf numFmtId="0" fontId="32" fillId="0" borderId="2" xfId="0" applyFont="1" applyFill="1" applyBorder="1"/>
    <xf numFmtId="0" fontId="0" fillId="0" borderId="44" xfId="0" applyFont="1" applyFill="1" applyBorder="1" applyAlignment="1" applyProtection="1">
      <alignment horizontal="left"/>
      <protection/>
    </xf>
    <xf numFmtId="0" fontId="32" fillId="0" borderId="21" xfId="0" applyFont="1" applyFill="1" applyBorder="1" applyProtection="1">
      <protection/>
    </xf>
    <xf numFmtId="0" fontId="32" fillId="0" borderId="21" xfId="0" applyFont="1" applyFill="1" applyBorder="1" applyAlignment="1">
      <alignment horizontal="right"/>
    </xf>
    <xf numFmtId="0" fontId="32" fillId="0" borderId="22" xfId="0" applyFont="1" applyFill="1" applyBorder="1" applyAlignment="1">
      <alignment horizontal="right"/>
    </xf>
    <xf numFmtId="0" fontId="32" fillId="0" borderId="51" xfId="0" applyFont="1" applyFill="1" applyBorder="1" applyAlignment="1">
      <alignment horizontal="right"/>
    </xf>
    <xf numFmtId="0" fontId="32" fillId="0" borderId="52" xfId="0" applyFont="1" applyFill="1" applyBorder="1" applyAlignment="1">
      <alignment horizontal="right"/>
    </xf>
    <xf numFmtId="0" fontId="32" fillId="0" borderId="28" xfId="0" applyFont="1" applyFill="1" applyBorder="1" applyAlignment="1">
      <alignment horizontal="right"/>
    </xf>
    <xf numFmtId="0" fontId="32" fillId="0" borderId="29" xfId="0" applyFont="1" applyFill="1" applyBorder="1" applyAlignment="1">
      <alignment horizontal="right"/>
    </xf>
    <xf numFmtId="0" fontId="32" fillId="0" borderId="24" xfId="0" applyFont="1" applyFill="1" applyBorder="1" applyAlignment="1">
      <alignment horizontal="right"/>
    </xf>
    <xf numFmtId="0" fontId="0" fillId="0" borderId="46" xfId="0" applyFont="1" applyFill="1" applyBorder="1" applyAlignment="1" applyProtection="1">
      <alignment horizontal="left"/>
      <protection/>
    </xf>
    <xf numFmtId="0" fontId="32" fillId="0" borderId="53" xfId="0" applyFont="1" applyFill="1" applyBorder="1" applyProtection="1">
      <protection/>
    </xf>
    <xf numFmtId="0" fontId="32" fillId="0" borderId="53" xfId="0" applyFont="1" applyFill="1" applyBorder="1" applyAlignment="1">
      <alignment horizontal="right"/>
    </xf>
    <xf numFmtId="0" fontId="32" fillId="0" borderId="4" xfId="0" applyFont="1" applyFill="1" applyBorder="1" applyAlignment="1">
      <alignment horizontal="right"/>
    </xf>
    <xf numFmtId="0" fontId="32" fillId="0" borderId="50" xfId="0" applyFont="1" applyFill="1" applyBorder="1" applyAlignment="1">
      <alignment horizontal="right"/>
    </xf>
    <xf numFmtId="0" fontId="32" fillId="0" borderId="9" xfId="0" applyFont="1" applyFill="1" applyBorder="1" applyAlignment="1">
      <alignment horizontal="right"/>
    </xf>
    <xf numFmtId="0" fontId="32" fillId="0" borderId="54" xfId="0" applyFont="1" applyFill="1" applyBorder="1" applyAlignment="1">
      <alignment horizontal="right"/>
    </xf>
    <xf numFmtId="0" fontId="32" fillId="0" borderId="11" xfId="0" applyFont="1" applyFill="1" applyBorder="1" applyAlignment="1" applyProtection="1">
      <alignment horizontal="left"/>
      <protection/>
    </xf>
    <xf numFmtId="0" fontId="32" fillId="0" borderId="45" xfId="0" applyFont="1" applyFill="1" applyBorder="1" applyAlignment="1" applyProtection="1">
      <alignment horizontal="left"/>
      <protection/>
    </xf>
    <xf numFmtId="0" fontId="32" fillId="0" borderId="19" xfId="0" applyFont="1" applyFill="1" applyBorder="1" applyAlignment="1" applyProtection="1">
      <alignment horizontal="left"/>
      <protection/>
    </xf>
    <xf numFmtId="0" fontId="0" fillId="0" borderId="20" xfId="0" applyFont="1" applyFill="1" applyBorder="1" applyAlignment="1" applyProtection="1">
      <alignment horizontal="left"/>
      <protection/>
    </xf>
    <xf numFmtId="0" fontId="32" fillId="0" borderId="20" xfId="0" applyFont="1" applyFill="1" applyBorder="1" applyAlignment="1" applyProtection="1">
      <alignment horizontal="left"/>
      <protection/>
    </xf>
    <xf numFmtId="0" fontId="32" fillId="0" borderId="32" xfId="0" applyFont="1" applyFill="1" applyBorder="1"/>
    <xf numFmtId="0" fontId="0" fillId="0" borderId="46" xfId="0" applyFont="1" applyFill="1" applyBorder="1" applyProtection="1">
      <protection/>
    </xf>
    <xf numFmtId="0" fontId="32" fillId="0" borderId="14" xfId="0" applyFont="1" applyFill="1" applyBorder="1" applyProtection="1">
      <protection/>
    </xf>
    <xf numFmtId="0" fontId="32" fillId="0" borderId="55" xfId="0" applyFont="1" applyFill="1" applyBorder="1"/>
    <xf numFmtId="0" fontId="0" fillId="0" borderId="20" xfId="0" applyFont="1" applyFill="1" applyBorder="1" applyProtection="1">
      <protection/>
    </xf>
    <xf numFmtId="0" fontId="32" fillId="0" borderId="20" xfId="0" applyFont="1" applyFill="1" applyBorder="1" applyProtection="1">
      <protection/>
    </xf>
    <xf numFmtId="0" fontId="32" fillId="0" borderId="1" xfId="0" applyFont="1" applyFill="1" applyBorder="1"/>
    <xf numFmtId="0" fontId="32" fillId="0" borderId="56" xfId="0" applyFont="1" applyFill="1" applyBorder="1" applyAlignment="1">
      <alignment horizontal="right"/>
    </xf>
    <xf numFmtId="0" fontId="32" fillId="0" borderId="57" xfId="0" applyFont="1" applyFill="1" applyBorder="1" applyAlignment="1">
      <alignment horizontal="right"/>
    </xf>
    <xf numFmtId="0" fontId="32" fillId="0" borderId="11" xfId="0" applyFont="1" applyFill="1" applyBorder="1"/>
    <xf numFmtId="0" fontId="32" fillId="0" borderId="11" xfId="20" applyFont="1" applyFill="1" applyBorder="1" applyAlignment="1" applyProtection="1">
      <alignment horizontal="right" wrapText="1"/>
      <protection locked="0"/>
    </xf>
    <xf numFmtId="0" fontId="32" fillId="0" borderId="25" xfId="20" applyFont="1" applyFill="1" applyBorder="1" applyAlignment="1">
      <alignment horizontal="right"/>
      <protection/>
    </xf>
    <xf numFmtId="0" fontId="32" fillId="0" borderId="57" xfId="20" applyFont="1" applyFill="1" applyBorder="1" applyAlignment="1">
      <alignment horizontal="right"/>
      <protection/>
    </xf>
    <xf numFmtId="0" fontId="32" fillId="0" borderId="12" xfId="0" applyFont="1" applyFill="1" applyBorder="1" applyProtection="1">
      <protection/>
    </xf>
    <xf numFmtId="0" fontId="32" fillId="0" borderId="26" xfId="20" applyFont="1" applyFill="1" applyBorder="1" applyAlignment="1">
      <alignment horizontal="right"/>
      <protection/>
    </xf>
    <xf numFmtId="0" fontId="32" fillId="0" borderId="58" xfId="0" applyFont="1" applyFill="1" applyBorder="1" applyAlignment="1">
      <alignment horizontal="right"/>
    </xf>
    <xf numFmtId="1" fontId="32" fillId="0" borderId="19" xfId="0" applyNumberFormat="1" applyFont="1" applyFill="1" applyBorder="1" applyProtection="1">
      <protection/>
    </xf>
    <xf numFmtId="0" fontId="32" fillId="0" borderId="46" xfId="0" applyFont="1" applyFill="1" applyBorder="1" applyAlignment="1" applyProtection="1">
      <alignment horizontal="right"/>
      <protection/>
    </xf>
    <xf numFmtId="0" fontId="32" fillId="0" borderId="6" xfId="0" applyFont="1" applyFill="1" applyBorder="1" applyAlignment="1" applyProtection="1">
      <alignment horizontal="right"/>
      <protection/>
    </xf>
    <xf numFmtId="0" fontId="32" fillId="0" borderId="56" xfId="0" applyFont="1" applyFill="1" applyBorder="1" applyAlignment="1" applyProtection="1">
      <alignment horizontal="right"/>
      <protection/>
    </xf>
    <xf numFmtId="0" fontId="32" fillId="0" borderId="57" xfId="0" applyFont="1" applyFill="1" applyBorder="1" applyAlignment="1" applyProtection="1">
      <alignment horizontal="right"/>
      <protection/>
    </xf>
    <xf numFmtId="0" fontId="32" fillId="0" borderId="11" xfId="0" applyFont="1" applyFill="1" applyBorder="1" applyAlignment="1" applyProtection="1">
      <alignment horizontal="right"/>
      <protection/>
    </xf>
    <xf numFmtId="0" fontId="32" fillId="0" borderId="46" xfId="21" applyFont="1" applyFill="1" applyBorder="1" applyAlignment="1" applyProtection="1">
      <alignment/>
      <protection/>
    </xf>
    <xf numFmtId="0" fontId="32" fillId="0" borderId="19" xfId="0" applyFont="1" applyFill="1" applyBorder="1" applyAlignment="1">
      <alignment horizontal="left"/>
    </xf>
    <xf numFmtId="0" fontId="32" fillId="0" borderId="44" xfId="0" applyFont="1" applyFill="1" applyBorder="1" applyAlignment="1">
      <alignment horizontal="right"/>
    </xf>
    <xf numFmtId="0" fontId="32" fillId="0" borderId="59" xfId="0" applyFont="1" applyFill="1" applyBorder="1" applyAlignment="1">
      <alignment horizontal="right"/>
    </xf>
    <xf numFmtId="0" fontId="32" fillId="0" borderId="36" xfId="0" applyFont="1" applyFill="1" applyBorder="1" applyAlignment="1">
      <alignment horizontal="right"/>
    </xf>
    <xf numFmtId="165" fontId="32" fillId="0" borderId="56" xfId="0" applyNumberFormat="1" applyFont="1" applyFill="1" applyBorder="1" applyAlignment="1">
      <alignment horizontal="right"/>
    </xf>
    <xf numFmtId="165" fontId="32" fillId="0" borderId="57" xfId="0" applyNumberFormat="1" applyFont="1" applyFill="1" applyBorder="1" applyAlignment="1">
      <alignment horizontal="right"/>
    </xf>
    <xf numFmtId="167" fontId="32" fillId="0" borderId="57" xfId="0" applyNumberFormat="1" applyFont="1" applyFill="1" applyBorder="1" applyAlignment="1">
      <alignment horizontal="right"/>
    </xf>
    <xf numFmtId="1" fontId="32" fillId="0" borderId="46" xfId="0" applyNumberFormat="1" applyFont="1" applyFill="1" applyBorder="1" applyAlignment="1">
      <alignment horizontal="right"/>
    </xf>
    <xf numFmtId="2" fontId="32" fillId="0" borderId="56" xfId="0" applyNumberFormat="1" applyFont="1" applyFill="1" applyBorder="1" applyAlignment="1">
      <alignment horizontal="right"/>
    </xf>
    <xf numFmtId="2" fontId="32" fillId="0" borderId="57" xfId="0" applyNumberFormat="1" applyFont="1" applyFill="1" applyBorder="1" applyAlignment="1">
      <alignment horizontal="right"/>
    </xf>
    <xf numFmtId="0" fontId="32" fillId="0" borderId="2" xfId="0" applyFont="1" applyFill="1" applyBorder="1" applyAlignment="1">
      <alignment vertical="top" wrapText="1"/>
    </xf>
    <xf numFmtId="0" fontId="32" fillId="0" borderId="19" xfId="21" applyFont="1" applyFill="1" applyBorder="1" applyAlignment="1" applyProtection="1">
      <alignment horizontal="left"/>
      <protection/>
    </xf>
    <xf numFmtId="0" fontId="32" fillId="0" borderId="19" xfId="0" applyFont="1" applyFill="1" applyBorder="1" applyAlignment="1">
      <alignment vertical="top" wrapText="1"/>
    </xf>
    <xf numFmtId="0" fontId="32" fillId="0" borderId="19" xfId="0" applyFont="1" applyFill="1" applyBorder="1" applyAlignment="1">
      <alignment horizontal="right" vertical="top"/>
    </xf>
    <xf numFmtId="0" fontId="32" fillId="0" borderId="2" xfId="0" applyFont="1" applyFill="1" applyBorder="1" applyAlignment="1">
      <alignment horizontal="right"/>
    </xf>
    <xf numFmtId="0" fontId="32" fillId="0" borderId="60" xfId="0" applyFont="1" applyFill="1" applyBorder="1" applyProtection="1">
      <protection/>
    </xf>
    <xf numFmtId="0" fontId="40" fillId="0" borderId="49" xfId="0" applyFont="1" applyFill="1" applyBorder="1" applyAlignment="1">
      <alignment horizontal="left"/>
    </xf>
    <xf numFmtId="0" fontId="40" fillId="0" borderId="61" xfId="25" applyFont="1" applyFill="1" applyBorder="1" applyAlignment="1">
      <alignment horizontal="right"/>
      <protection/>
    </xf>
    <xf numFmtId="0" fontId="40" fillId="0" borderId="62" xfId="25" applyFont="1" applyFill="1" applyBorder="1" applyAlignment="1">
      <alignment horizontal="right"/>
      <protection/>
    </xf>
    <xf numFmtId="0" fontId="40" fillId="0" borderId="63" xfId="25" applyFont="1" applyFill="1" applyBorder="1" applyAlignment="1">
      <alignment horizontal="right"/>
      <protection/>
    </xf>
    <xf numFmtId="0" fontId="42" fillId="0" borderId="61" xfId="25" applyFont="1" applyFill="1" applyBorder="1" applyAlignment="1">
      <alignment horizontal="right"/>
      <protection/>
    </xf>
    <xf numFmtId="0" fontId="42" fillId="0" borderId="62" xfId="25" applyFont="1" applyFill="1" applyBorder="1" applyAlignment="1">
      <alignment horizontal="right"/>
      <protection/>
    </xf>
    <xf numFmtId="0" fontId="40" fillId="0" borderId="64" xfId="25" applyFont="1" applyFill="1" applyBorder="1" applyAlignment="1">
      <alignment horizontal="right"/>
      <protection/>
    </xf>
    <xf numFmtId="0" fontId="40" fillId="0" borderId="65" xfId="25" applyFont="1" applyFill="1" applyBorder="1" applyAlignment="1">
      <alignment horizontal="right"/>
      <protection/>
    </xf>
    <xf numFmtId="0" fontId="40" fillId="0" borderId="66" xfId="25" applyFont="1" applyFill="1" applyBorder="1" applyAlignment="1">
      <alignment horizontal="right"/>
      <protection/>
    </xf>
    <xf numFmtId="1" fontId="32" fillId="0" borderId="0" xfId="0" applyNumberFormat="1" applyFont="1" applyFill="1" applyProtection="1">
      <protection/>
    </xf>
    <xf numFmtId="0" fontId="32" fillId="0" borderId="0" xfId="0" applyFont="1" applyFill="1" applyProtection="1">
      <protection/>
    </xf>
    <xf numFmtId="0" fontId="32" fillId="0" borderId="0" xfId="0" applyFont="1" applyFill="1" applyAlignment="1">
      <alignment horizontal="right"/>
    </xf>
    <xf numFmtId="1" fontId="32" fillId="0" borderId="0" xfId="0" applyNumberFormat="1" applyFont="1" applyFill="1" applyAlignment="1" applyProtection="1">
      <alignment vertical="top"/>
      <protection/>
    </xf>
    <xf numFmtId="1" fontId="38" fillId="0" borderId="0" xfId="0" applyNumberFormat="1" applyFont="1" applyFill="1" applyProtection="1">
      <protection/>
    </xf>
    <xf numFmtId="0" fontId="32" fillId="0" borderId="0" xfId="0" applyFont="1" applyFill="1" applyAlignment="1" applyProtection="1">
      <alignment/>
      <protection/>
    </xf>
    <xf numFmtId="0" fontId="16" fillId="0" borderId="0" xfId="0" applyFont="1"/>
    <xf numFmtId="1" fontId="33" fillId="0" borderId="0" xfId="0" applyNumberFormat="1" applyFont="1" applyFill="1" applyProtection="1">
      <protection/>
    </xf>
    <xf numFmtId="0" fontId="28" fillId="0" borderId="0" xfId="0" applyFont="1" applyFill="1" applyBorder="1" applyAlignment="1">
      <alignment horizontal="right"/>
    </xf>
    <xf numFmtId="0" fontId="1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Font="1" applyFill="1" applyAlignment="1">
      <alignment horizontal="center" vertical="center"/>
    </xf>
    <xf numFmtId="167" fontId="2" fillId="6" borderId="6" xfId="0" applyNumberFormat="1" applyFont="1" applyFill="1" applyBorder="1" applyAlignment="1" applyProtection="1">
      <alignment horizontal="center" vertical="center"/>
      <protection hidden="1"/>
    </xf>
    <xf numFmtId="0" fontId="1" fillId="6" borderId="0" xfId="30" applyFill="1" applyProtection="1">
      <alignment/>
      <protection/>
    </xf>
    <xf numFmtId="0" fontId="1" fillId="0" borderId="0" xfId="30" applyProtection="1">
      <alignment/>
      <protection/>
    </xf>
    <xf numFmtId="0" fontId="43" fillId="6" borderId="0" xfId="0" applyFont="1" applyFill="1" applyAlignment="1" applyProtection="1">
      <alignment vertical="center"/>
      <protection/>
    </xf>
    <xf numFmtId="0" fontId="45" fillId="6" borderId="0" xfId="0" applyFont="1" applyFill="1" applyAlignment="1" applyProtection="1">
      <alignment vertical="center"/>
      <protection/>
    </xf>
    <xf numFmtId="0" fontId="0" fillId="6" borderId="0" xfId="0" applyFill="1" applyAlignment="1" applyProtection="1">
      <alignment vertical="center"/>
      <protection/>
    </xf>
    <xf numFmtId="0" fontId="0" fillId="6" borderId="0" xfId="0" applyFill="1" applyBorder="1" applyProtection="1">
      <protection/>
    </xf>
    <xf numFmtId="0" fontId="0" fillId="6" borderId="0" xfId="0" applyFill="1" applyProtection="1">
      <protection/>
    </xf>
    <xf numFmtId="0" fontId="46" fillId="6" borderId="0" xfId="30" applyFont="1" applyFill="1" applyBorder="1" applyAlignment="1" applyProtection="1">
      <alignment horizontal="justify" vertical="center" wrapText="1"/>
      <protection/>
    </xf>
    <xf numFmtId="0" fontId="46" fillId="6" borderId="0" xfId="30" applyFont="1" applyFill="1" applyBorder="1" applyAlignment="1" applyProtection="1">
      <alignment vertical="center" wrapText="1"/>
      <protection/>
    </xf>
    <xf numFmtId="0" fontId="46" fillId="6" borderId="0" xfId="30" applyFont="1" applyFill="1" applyBorder="1" applyAlignment="1" applyProtection="1">
      <alignment horizontal="left"/>
      <protection/>
    </xf>
    <xf numFmtId="0" fontId="46" fillId="6" borderId="0" xfId="30" applyFont="1" applyFill="1" applyAlignment="1" applyProtection="1">
      <alignment horizontal="justify" vertical="center"/>
      <protection/>
    </xf>
    <xf numFmtId="0" fontId="0" fillId="6" borderId="0" xfId="0" applyFont="1" applyFill="1" applyProtection="1">
      <protection/>
    </xf>
    <xf numFmtId="0" fontId="46" fillId="6" borderId="0" xfId="0" applyFont="1" applyFill="1" applyAlignment="1" applyProtection="1">
      <alignment horizontal="center" vertical="center"/>
      <protection/>
    </xf>
    <xf numFmtId="0" fontId="46" fillId="6" borderId="0" xfId="0" applyFont="1" applyFill="1" applyProtection="1">
      <protection/>
    </xf>
    <xf numFmtId="0" fontId="0" fillId="11" borderId="6" xfId="0" applyFill="1" applyBorder="1" applyProtection="1">
      <protection locked="0"/>
    </xf>
    <xf numFmtId="0" fontId="0" fillId="11" borderId="6" xfId="0" applyFill="1" applyBorder="1" applyAlignment="1" applyProtection="1">
      <alignment horizontal="center"/>
      <protection locked="0"/>
    </xf>
    <xf numFmtId="0" fontId="47" fillId="6" borderId="0" xfId="0" applyFont="1" applyFill="1" applyAlignment="1" applyProtection="1">
      <alignment horizontal="center" vertical="center"/>
      <protection/>
    </xf>
    <xf numFmtId="0" fontId="43" fillId="6" borderId="0" xfId="0" applyFont="1" applyFill="1" applyAlignment="1" applyProtection="1">
      <alignment vertical="center"/>
      <protection hidden="1"/>
    </xf>
    <xf numFmtId="0" fontId="0" fillId="6" borderId="0" xfId="0" applyFont="1" applyFill="1" applyAlignment="1" applyProtection="1">
      <alignment vertical="center"/>
      <protection hidden="1"/>
    </xf>
    <xf numFmtId="0" fontId="46" fillId="6" borderId="0" xfId="30" applyFont="1" applyFill="1" applyBorder="1" applyAlignment="1" applyProtection="1">
      <alignment/>
      <protection hidden="1"/>
    </xf>
    <xf numFmtId="0" fontId="0" fillId="6" borderId="0" xfId="0" applyFont="1" applyFill="1" applyProtection="1">
      <protection hidden="1"/>
    </xf>
    <xf numFmtId="0" fontId="46" fillId="6" borderId="0" xfId="30" applyFont="1" applyFill="1" applyBorder="1" applyAlignment="1" applyProtection="1">
      <alignment horizontal="left"/>
      <protection hidden="1"/>
    </xf>
    <xf numFmtId="0" fontId="46" fillId="6" borderId="0" xfId="30" applyFont="1" applyFill="1" applyBorder="1" applyAlignment="1" applyProtection="1" quotePrefix="1">
      <alignment/>
      <protection hidden="1"/>
    </xf>
    <xf numFmtId="0" fontId="46" fillId="6" borderId="0" xfId="0" applyFont="1" applyFill="1" applyProtection="1">
      <protection hidden="1"/>
    </xf>
    <xf numFmtId="0" fontId="0" fillId="6" borderId="0" xfId="0" applyFont="1" applyFill="1" applyAlignment="1" applyProtection="1">
      <alignment vertical="top"/>
      <protection/>
    </xf>
    <xf numFmtId="0" fontId="0" fillId="6" borderId="0" xfId="0" applyFill="1" applyAlignment="1" applyProtection="1">
      <alignment horizontal="center" vertical="center"/>
      <protection/>
    </xf>
    <xf numFmtId="0" fontId="48" fillId="6" borderId="0" xfId="0" applyFont="1" applyFill="1" applyAlignment="1" applyProtection="1">
      <alignment horizontal="center" vertical="top"/>
      <protection/>
    </xf>
    <xf numFmtId="0" fontId="0" fillId="6" borderId="0" xfId="0" applyFill="1" applyAlignment="1" applyProtection="1">
      <alignment vertical="center"/>
      <protection hidden="1"/>
    </xf>
    <xf numFmtId="0" fontId="0" fillId="6" borderId="0" xfId="0" applyFill="1" applyProtection="1">
      <protection hidden="1"/>
    </xf>
    <xf numFmtId="49" fontId="46" fillId="6" borderId="0" xfId="30" applyNumberFormat="1" applyFont="1" applyFill="1" applyBorder="1" applyAlignment="1" applyProtection="1">
      <alignment/>
      <protection hidden="1"/>
    </xf>
    <xf numFmtId="0" fontId="25" fillId="6" borderId="0" xfId="0" applyFont="1" applyFill="1" applyProtection="1">
      <protection/>
    </xf>
    <xf numFmtId="0" fontId="49" fillId="6" borderId="0" xfId="0" applyFont="1" applyFill="1" applyAlignment="1" applyProtection="1">
      <alignment vertical="center"/>
      <protection hidden="1"/>
    </xf>
    <xf numFmtId="0" fontId="50" fillId="6" borderId="0" xfId="0" applyFont="1" applyFill="1" applyAlignment="1" applyProtection="1">
      <alignment vertical="center"/>
      <protection hidden="1"/>
    </xf>
    <xf numFmtId="0" fontId="50" fillId="6" borderId="0" xfId="0" applyFont="1" applyFill="1" applyProtection="1">
      <protection hidden="1"/>
    </xf>
    <xf numFmtId="0" fontId="2" fillId="3" borderId="4" xfId="0" applyFont="1" applyFill="1" applyBorder="1" applyAlignment="1" applyProtection="1">
      <alignment horizontal="center" wrapText="1"/>
      <protection hidden="1"/>
    </xf>
    <xf numFmtId="0" fontId="6" fillId="2" borderId="0" xfId="0" applyFont="1" applyFill="1" applyBorder="1" applyProtection="1">
      <protection hidden="1"/>
    </xf>
    <xf numFmtId="0" fontId="0" fillId="0" borderId="0" xfId="0" applyFont="1"/>
    <xf numFmtId="0" fontId="6" fillId="2" borderId="0" xfId="0" applyFont="1" applyFill="1" applyBorder="1" applyAlignment="1" applyProtection="1">
      <alignment horizontal="right"/>
      <protection hidden="1"/>
    </xf>
    <xf numFmtId="0" fontId="3" fillId="2" borderId="0" xfId="0" applyFont="1" applyFill="1" applyBorder="1" applyProtection="1">
      <protection hidden="1"/>
    </xf>
    <xf numFmtId="0" fontId="3" fillId="2" borderId="0" xfId="0" applyFont="1" applyFill="1" applyBorder="1" applyAlignment="1" applyProtection="1">
      <alignment horizontal="left"/>
      <protection hidden="1"/>
    </xf>
    <xf numFmtId="0" fontId="0" fillId="2" borderId="0" xfId="0" applyFont="1" applyFill="1" applyBorder="1" applyAlignment="1" applyProtection="1">
      <alignment horizontal="left" vertical="top" wrapText="1"/>
      <protection hidden="1"/>
    </xf>
    <xf numFmtId="0" fontId="6" fillId="2" borderId="0" xfId="0" applyFont="1" applyFill="1" applyBorder="1" applyAlignment="1" applyProtection="1">
      <alignment/>
      <protection hidden="1"/>
    </xf>
    <xf numFmtId="0" fontId="0" fillId="0" borderId="0" xfId="0" applyFont="1" applyProtection="1">
      <protection hidden="1"/>
    </xf>
    <xf numFmtId="0" fontId="15" fillId="2" borderId="0" xfId="0" applyFont="1" applyFill="1" applyBorder="1" applyAlignment="1" applyProtection="1">
      <alignment vertical="top" wrapText="1"/>
      <protection hidden="1"/>
    </xf>
    <xf numFmtId="0" fontId="17" fillId="6" borderId="0" xfId="0" applyFont="1" applyFill="1" applyBorder="1" applyAlignment="1" applyProtection="1">
      <alignment vertical="center"/>
      <protection hidden="1"/>
    </xf>
    <xf numFmtId="0" fontId="2" fillId="3" borderId="5" xfId="0" applyFont="1" applyFill="1" applyBorder="1" applyAlignment="1" applyProtection="1">
      <alignment horizontal="center" vertical="top" wrapText="1"/>
      <protection hidden="1"/>
    </xf>
    <xf numFmtId="0" fontId="21" fillId="3" borderId="17" xfId="0" applyFont="1" applyFill="1" applyBorder="1" applyAlignment="1" applyProtection="1">
      <alignment horizontal="center" vertical="top" wrapText="1"/>
      <protection hidden="1"/>
    </xf>
    <xf numFmtId="0" fontId="21" fillId="3" borderId="5" xfId="0" applyFont="1" applyFill="1" applyBorder="1" applyAlignment="1" applyProtection="1">
      <alignment horizontal="center" vertical="top" wrapText="1"/>
      <protection hidden="1"/>
    </xf>
    <xf numFmtId="0" fontId="2" fillId="3" borderId="5" xfId="0" applyFont="1" applyFill="1" applyBorder="1" applyAlignment="1" applyProtection="1">
      <alignment horizontal="center" vertical="top" wrapText="1"/>
      <protection hidden="1"/>
    </xf>
    <xf numFmtId="0" fontId="21" fillId="3" borderId="4" xfId="0" applyFont="1" applyFill="1" applyBorder="1" applyAlignment="1" applyProtection="1">
      <alignment horizontal="center" wrapText="1"/>
      <protection hidden="1"/>
    </xf>
    <xf numFmtId="0" fontId="54" fillId="3" borderId="54" xfId="0" applyFont="1" applyFill="1" applyBorder="1" applyAlignment="1" applyProtection="1">
      <alignment horizontal="center"/>
      <protection hidden="1"/>
    </xf>
    <xf numFmtId="0" fontId="54" fillId="3" borderId="16" xfId="0" applyFont="1" applyFill="1" applyBorder="1" applyAlignment="1" applyProtection="1">
      <alignment horizontal="center" vertical="top"/>
      <protection hidden="1"/>
    </xf>
    <xf numFmtId="0" fontId="7" fillId="3" borderId="4" xfId="0" applyFont="1" applyFill="1" applyBorder="1" applyAlignment="1" applyProtection="1">
      <alignment horizontal="center" wrapText="1"/>
      <protection hidden="1"/>
    </xf>
    <xf numFmtId="0" fontId="7" fillId="3" borderId="9" xfId="0" applyFont="1" applyFill="1" applyBorder="1" applyAlignment="1" applyProtection="1">
      <alignment horizontal="center" wrapText="1"/>
      <protection hidden="1"/>
    </xf>
    <xf numFmtId="0" fontId="7" fillId="3" borderId="17" xfId="0" applyFont="1" applyFill="1" applyBorder="1" applyAlignment="1" applyProtection="1">
      <alignment horizontal="center" vertical="top" wrapText="1"/>
      <protection hidden="1"/>
    </xf>
    <xf numFmtId="0" fontId="7" fillId="3" borderId="9" xfId="0" applyFont="1" applyFill="1" applyBorder="1" applyAlignment="1" applyProtection="1">
      <alignment horizontal="center"/>
      <protection hidden="1"/>
    </xf>
    <xf numFmtId="0" fontId="7" fillId="3" borderId="54" xfId="0" applyFont="1" applyFill="1" applyBorder="1" applyAlignment="1" applyProtection="1">
      <alignment horizontal="center" wrapText="1"/>
      <protection hidden="1"/>
    </xf>
    <xf numFmtId="0" fontId="7" fillId="3" borderId="5" xfId="0" applyFont="1" applyFill="1" applyBorder="1" applyAlignment="1" applyProtection="1">
      <alignment horizontal="center" vertical="top" wrapText="1"/>
      <protection hidden="1"/>
    </xf>
    <xf numFmtId="17" fontId="0" fillId="0" borderId="0" xfId="0" applyNumberFormat="1" applyFont="1"/>
    <xf numFmtId="14" fontId="0" fillId="0" borderId="0" xfId="0" applyNumberFormat="1"/>
    <xf numFmtId="0" fontId="2" fillId="5" borderId="6" xfId="0" applyFont="1" applyFill="1" applyBorder="1" applyAlignment="1" applyProtection="1">
      <alignment horizontal="left" vertical="center" wrapText="1"/>
      <protection locked="0"/>
    </xf>
    <xf numFmtId="0" fontId="0" fillId="6" borderId="0" xfId="0" applyFill="1" applyAlignment="1" applyProtection="1">
      <alignment horizontal="center"/>
      <protection/>
    </xf>
    <xf numFmtId="0" fontId="0" fillId="6" borderId="0" xfId="0" applyFill="1"/>
    <xf numFmtId="0" fontId="45" fillId="0" borderId="0" xfId="0" applyFont="1"/>
    <xf numFmtId="0" fontId="0" fillId="6" borderId="0" xfId="0" applyFont="1" applyFill="1"/>
    <xf numFmtId="0" fontId="0" fillId="6" borderId="0" xfId="0" applyFont="1" applyFill="1" applyAlignment="1">
      <alignment vertical="center"/>
    </xf>
    <xf numFmtId="0" fontId="0" fillId="6" borderId="0" xfId="0" applyFill="1" applyAlignment="1">
      <alignment vertical="center"/>
    </xf>
    <xf numFmtId="0" fontId="48" fillId="6" borderId="0" xfId="0" applyFont="1" applyFill="1"/>
    <xf numFmtId="0" fontId="19" fillId="6" borderId="0" xfId="0" applyFont="1" applyFill="1"/>
    <xf numFmtId="0" fontId="44" fillId="6" borderId="0" xfId="0" applyFont="1" applyFill="1" applyAlignment="1" applyProtection="1">
      <alignment vertical="center" wrapText="1"/>
      <protection/>
    </xf>
    <xf numFmtId="0" fontId="0" fillId="6" borderId="57" xfId="0" applyFill="1" applyBorder="1" applyProtection="1">
      <protection/>
    </xf>
    <xf numFmtId="0" fontId="0" fillId="6" borderId="15" xfId="0" applyFill="1" applyBorder="1" applyAlignment="1" applyProtection="1">
      <alignment vertical="center"/>
      <protection/>
    </xf>
    <xf numFmtId="0" fontId="2" fillId="6" borderId="0" xfId="0" applyFont="1" applyFill="1"/>
    <xf numFmtId="0" fontId="0" fillId="6" borderId="6" xfId="0" applyFill="1" applyBorder="1" applyAlignment="1" applyProtection="1">
      <alignment horizontal="center" vertical="center" wrapText="1"/>
      <protection/>
    </xf>
    <xf numFmtId="0" fontId="0" fillId="6" borderId="0" xfId="0" applyFill="1" applyAlignment="1">
      <alignment horizontal="right"/>
    </xf>
    <xf numFmtId="0" fontId="16" fillId="3" borderId="4" xfId="0" applyFont="1" applyFill="1" applyBorder="1" applyAlignment="1" applyProtection="1">
      <alignment horizontal="center" wrapText="1"/>
      <protection hidden="1"/>
    </xf>
    <xf numFmtId="0" fontId="16" fillId="3" borderId="5" xfId="0" applyFont="1" applyFill="1" applyBorder="1" applyAlignment="1" applyProtection="1">
      <alignment horizontal="center" vertical="top"/>
      <protection hidden="1"/>
    </xf>
    <xf numFmtId="0" fontId="9" fillId="2" borderId="0" xfId="0" applyFont="1" applyFill="1" applyBorder="1" applyProtection="1">
      <protection hidden="1"/>
    </xf>
    <xf numFmtId="0" fontId="0" fillId="6" borderId="0" xfId="0" applyFill="1" applyAlignment="1">
      <alignment horizontal="center"/>
    </xf>
    <xf numFmtId="0" fontId="0" fillId="6" borderId="0" xfId="0" applyFill="1" applyProtection="1">
      <protection hidden="1" locked="0"/>
    </xf>
    <xf numFmtId="0" fontId="49" fillId="6" borderId="0" xfId="0" applyFont="1" applyFill="1" applyAlignment="1" applyProtection="1">
      <alignment vertical="center"/>
      <protection hidden="1" locked="0"/>
    </xf>
    <xf numFmtId="17" fontId="2" fillId="6" borderId="0" xfId="0" applyNumberFormat="1" applyFont="1" applyFill="1" applyAlignment="1" applyProtection="1">
      <alignment horizontal="right" vertical="center"/>
      <protection hidden="1"/>
    </xf>
    <xf numFmtId="0" fontId="3" fillId="6" borderId="0" xfId="0" applyFont="1" applyFill="1" applyBorder="1" applyAlignment="1" applyProtection="1">
      <alignment horizontal="center" vertical="center"/>
      <protection hidden="1"/>
    </xf>
    <xf numFmtId="14" fontId="0" fillId="6" borderId="0" xfId="0" applyNumberFormat="1" applyFont="1" applyFill="1" applyBorder="1" applyAlignment="1" applyProtection="1">
      <alignment horizontal="left" vertical="center" wrapText="1"/>
      <protection locked="0"/>
    </xf>
    <xf numFmtId="0" fontId="6" fillId="6" borderId="0" xfId="0" applyFont="1" applyFill="1" applyBorder="1" applyProtection="1">
      <protection hidden="1"/>
    </xf>
    <xf numFmtId="0" fontId="3" fillId="6" borderId="0" xfId="0" applyFont="1" applyFill="1" applyBorder="1" applyProtection="1">
      <protection hidden="1"/>
    </xf>
    <xf numFmtId="0" fontId="2" fillId="6" borderId="0" xfId="0" applyFont="1" applyFill="1" applyBorder="1" applyProtection="1">
      <protection hidden="1"/>
    </xf>
    <xf numFmtId="0" fontId="3" fillId="12" borderId="6" xfId="0" applyFont="1" applyFill="1" applyBorder="1" applyAlignment="1" applyProtection="1">
      <alignment horizontal="right"/>
      <protection hidden="1"/>
    </xf>
    <xf numFmtId="0" fontId="3" fillId="12" borderId="6" xfId="0" applyFont="1" applyFill="1" applyBorder="1" applyAlignment="1" applyProtection="1">
      <alignment horizontal="right"/>
      <protection hidden="1"/>
    </xf>
    <xf numFmtId="0" fontId="21" fillId="6" borderId="0" xfId="0" applyFont="1" applyFill="1" applyBorder="1" applyAlignment="1" applyProtection="1">
      <alignment vertical="center" wrapText="1"/>
      <protection hidden="1"/>
    </xf>
    <xf numFmtId="0" fontId="6" fillId="0" borderId="0" xfId="0" applyFont="1" applyFill="1" applyBorder="1" applyAlignment="1" applyProtection="1">
      <alignment horizontal="right"/>
      <protection hidden="1"/>
    </xf>
    <xf numFmtId="0" fontId="6" fillId="0" borderId="0" xfId="0" applyFont="1" applyFill="1" applyBorder="1" applyAlignment="1" applyProtection="1">
      <alignment horizontal="right"/>
      <protection hidden="1"/>
    </xf>
    <xf numFmtId="0" fontId="6" fillId="0" borderId="0" xfId="0" applyFont="1" applyFill="1" applyBorder="1" applyProtection="1">
      <protection hidden="1"/>
    </xf>
    <xf numFmtId="0" fontId="0" fillId="0" borderId="0" xfId="0" applyFill="1"/>
    <xf numFmtId="0" fontId="0" fillId="0" borderId="0" xfId="0" applyFill="1" applyProtection="1">
      <protection hidden="1"/>
    </xf>
    <xf numFmtId="0" fontId="0" fillId="0" borderId="0" xfId="0" applyFont="1" applyFill="1" applyProtection="1">
      <protection hidden="1"/>
    </xf>
    <xf numFmtId="0" fontId="0" fillId="6" borderId="6" xfId="0" applyFont="1" applyFill="1" applyBorder="1" applyAlignment="1" applyProtection="1">
      <alignment vertical="top" wrapText="1"/>
      <protection hidden="1"/>
    </xf>
    <xf numFmtId="0" fontId="0" fillId="6" borderId="0" xfId="0" applyFill="1" applyBorder="1"/>
    <xf numFmtId="0" fontId="0" fillId="0" borderId="0" xfId="0" applyBorder="1"/>
    <xf numFmtId="0" fontId="2" fillId="3" borderId="5" xfId="0" applyFont="1" applyFill="1" applyBorder="1" applyAlignment="1" applyProtection="1">
      <alignment horizontal="center" vertical="top"/>
      <protection hidden="1"/>
    </xf>
    <xf numFmtId="0" fontId="2" fillId="3" borderId="17" xfId="0" applyFont="1" applyFill="1" applyBorder="1" applyAlignment="1" applyProtection="1">
      <alignment horizontal="center" vertical="top"/>
      <protection hidden="1"/>
    </xf>
    <xf numFmtId="0" fontId="2" fillId="3" borderId="5" xfId="0" applyFont="1" applyFill="1" applyBorder="1" applyAlignment="1" applyProtection="1">
      <alignment horizontal="center" vertical="top"/>
      <protection hidden="1"/>
    </xf>
    <xf numFmtId="0" fontId="0" fillId="0" borderId="0" xfId="0" applyAlignment="1">
      <alignment vertical="top"/>
    </xf>
    <xf numFmtId="0" fontId="0" fillId="0" borderId="0" xfId="0" applyAlignment="1">
      <alignment vertical="center"/>
    </xf>
    <xf numFmtId="1" fontId="0" fillId="6" borderId="0" xfId="0" applyNumberFormat="1" applyFill="1"/>
    <xf numFmtId="0" fontId="19" fillId="6" borderId="0" xfId="0" applyFont="1" applyFill="1" applyAlignment="1">
      <alignment horizontal="center"/>
    </xf>
    <xf numFmtId="0" fontId="0" fillId="6" borderId="8" xfId="0" applyFill="1" applyBorder="1" applyAlignment="1" applyProtection="1">
      <alignment horizontal="center"/>
      <protection/>
    </xf>
    <xf numFmtId="0" fontId="0" fillId="6" borderId="0" xfId="0" applyFill="1" applyBorder="1" applyAlignment="1">
      <alignment/>
    </xf>
    <xf numFmtId="0" fontId="0" fillId="6" borderId="36" xfId="0" applyFill="1" applyBorder="1"/>
    <xf numFmtId="0" fontId="56" fillId="2" borderId="0" xfId="0" applyFont="1" applyFill="1" applyBorder="1" applyProtection="1">
      <protection hidden="1"/>
    </xf>
    <xf numFmtId="0" fontId="44" fillId="6" borderId="0" xfId="0" applyFont="1" applyFill="1" applyAlignment="1" applyProtection="1">
      <alignment vertical="center" wrapText="1"/>
      <protection locked="0"/>
    </xf>
    <xf numFmtId="0" fontId="0" fillId="6" borderId="0" xfId="0" applyFill="1" applyProtection="1">
      <protection locked="0"/>
    </xf>
    <xf numFmtId="0" fontId="0" fillId="6" borderId="0" xfId="0" applyFill="1" applyAlignment="1" applyProtection="1">
      <alignment vertical="center"/>
      <protection locked="0"/>
    </xf>
    <xf numFmtId="0" fontId="0" fillId="6" borderId="0" xfId="0" applyFont="1" applyFill="1" applyAlignment="1" applyProtection="1">
      <alignment vertical="center"/>
      <protection locked="0"/>
    </xf>
    <xf numFmtId="0" fontId="0" fillId="6" borderId="0" xfId="0" applyFill="1" applyBorder="1" applyProtection="1">
      <protection locked="0"/>
    </xf>
    <xf numFmtId="0" fontId="3" fillId="2" borderId="0" xfId="0" applyFont="1" applyFill="1" applyBorder="1" applyAlignment="1" applyProtection="1">
      <alignment horizontal="center"/>
      <protection hidden="1"/>
    </xf>
    <xf numFmtId="0" fontId="0" fillId="0" borderId="6" xfId="0" applyFont="1" applyBorder="1" applyAlignment="1">
      <alignment wrapText="1"/>
    </xf>
    <xf numFmtId="0" fontId="6" fillId="6" borderId="0" xfId="0" applyFont="1" applyFill="1"/>
    <xf numFmtId="0" fontId="2" fillId="3" borderId="6" xfId="0" applyFont="1" applyFill="1" applyBorder="1" applyAlignment="1" applyProtection="1">
      <alignment horizontal="center" vertical="top"/>
      <protection hidden="1"/>
    </xf>
    <xf numFmtId="0" fontId="2" fillId="3" borderId="6" xfId="0" applyFont="1" applyFill="1" applyBorder="1" applyAlignment="1" applyProtection="1">
      <alignment horizontal="center" vertical="top"/>
      <protection hidden="1"/>
    </xf>
    <xf numFmtId="0" fontId="19" fillId="2" borderId="0" xfId="0" applyFont="1" applyFill="1" applyProtection="1">
      <protection hidden="1"/>
    </xf>
    <xf numFmtId="0" fontId="19" fillId="0" borderId="0" xfId="0" applyFont="1"/>
    <xf numFmtId="0" fontId="20" fillId="2" borderId="0" xfId="0" applyFont="1" applyFill="1" applyBorder="1" applyProtection="1">
      <protection hidden="1"/>
    </xf>
    <xf numFmtId="0" fontId="20" fillId="2" borderId="0" xfId="0" applyFont="1" applyFill="1" applyBorder="1" applyAlignment="1" applyProtection="1">
      <alignment vertical="top"/>
      <protection hidden="1"/>
    </xf>
    <xf numFmtId="0" fontId="19" fillId="0" borderId="0" xfId="0" applyFont="1" applyAlignment="1">
      <alignment vertical="top"/>
    </xf>
    <xf numFmtId="0" fontId="19" fillId="2" borderId="0" xfId="0" applyFont="1" applyFill="1" applyAlignment="1" applyProtection="1">
      <alignment horizontal="center"/>
      <protection hidden="1"/>
    </xf>
    <xf numFmtId="0" fontId="3" fillId="2" borderId="10" xfId="0" applyFont="1" applyFill="1" applyBorder="1" applyAlignment="1" applyProtection="1">
      <alignment horizontal="center"/>
      <protection hidden="1"/>
    </xf>
    <xf numFmtId="0" fontId="2" fillId="3" borderId="6"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2" fillId="6" borderId="6" xfId="0" applyFont="1" applyFill="1" applyBorder="1" applyAlignment="1" applyProtection="1">
      <alignment horizontal="center" vertical="center" wrapText="1"/>
      <protection locked="0"/>
    </xf>
    <xf numFmtId="166" fontId="5" fillId="2" borderId="0" xfId="0" applyNumberFormat="1" applyFont="1" applyFill="1" applyBorder="1" applyAlignment="1" applyProtection="1">
      <alignment horizontal="center" vertical="top" wrapText="1"/>
      <protection hidden="1"/>
    </xf>
    <xf numFmtId="0" fontId="7" fillId="2" borderId="6"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4" fillId="2" borderId="0" xfId="0" applyFont="1" applyFill="1" applyAlignment="1" applyProtection="1">
      <alignment horizontal="center"/>
      <protection hidden="1"/>
    </xf>
    <xf numFmtId="0" fontId="0" fillId="2" borderId="0" xfId="0" applyFill="1" applyAlignment="1" applyProtection="1">
      <alignment horizontal="center" vertical="center"/>
      <protection hidden="1"/>
    </xf>
    <xf numFmtId="0" fontId="48" fillId="6" borderId="0" xfId="0" applyFont="1" applyFill="1" applyProtection="1">
      <protection locked="0"/>
    </xf>
    <xf numFmtId="0" fontId="3" fillId="0" borderId="0" xfId="0" applyFont="1" applyFill="1" applyProtection="1">
      <protection locked="0"/>
    </xf>
    <xf numFmtId="0" fontId="0" fillId="6" borderId="0" xfId="0" applyFont="1" applyFill="1" applyProtection="1">
      <protection locked="0"/>
    </xf>
    <xf numFmtId="0" fontId="3" fillId="6" borderId="0" xfId="0" applyFont="1" applyFill="1" applyAlignment="1">
      <alignment horizontal="right"/>
    </xf>
    <xf numFmtId="0" fontId="0" fillId="6" borderId="10" xfId="0" applyFill="1" applyBorder="1" applyAlignment="1">
      <alignment vertical="center" wrapText="1"/>
    </xf>
    <xf numFmtId="0" fontId="0" fillId="6" borderId="10" xfId="0" applyFill="1" applyBorder="1" applyAlignment="1">
      <alignment wrapText="1"/>
    </xf>
    <xf numFmtId="0" fontId="3" fillId="6" borderId="0" xfId="0" applyFont="1" applyFill="1"/>
    <xf numFmtId="0" fontId="0" fillId="6" borderId="6" xfId="0" applyFill="1" applyBorder="1"/>
    <xf numFmtId="0" fontId="0" fillId="6" borderId="5" xfId="0" applyFill="1" applyBorder="1"/>
    <xf numFmtId="0" fontId="3" fillId="6" borderId="6" xfId="0" applyFont="1" applyFill="1" applyBorder="1" applyAlignment="1">
      <alignment horizontal="center"/>
    </xf>
    <xf numFmtId="2" fontId="2" fillId="5" borderId="6" xfId="0" applyNumberFormat="1" applyFont="1" applyFill="1" applyBorder="1" applyAlignment="1" applyProtection="1">
      <alignment horizontal="center" vertical="center" wrapText="1"/>
      <protection locked="0"/>
    </xf>
    <xf numFmtId="2" fontId="2" fillId="5" borderId="6" xfId="0" applyNumberFormat="1" applyFont="1" applyFill="1" applyBorder="1" applyAlignment="1" applyProtection="1">
      <alignment horizontal="center" vertical="center" wrapText="1"/>
      <protection locked="0"/>
    </xf>
    <xf numFmtId="0" fontId="0" fillId="6" borderId="0" xfId="0" applyFont="1" applyFill="1" applyAlignment="1" quotePrefix="1">
      <alignment horizontal="right"/>
    </xf>
    <xf numFmtId="0" fontId="14" fillId="6" borderId="0" xfId="0" applyFont="1" applyFill="1"/>
    <xf numFmtId="0" fontId="3" fillId="6" borderId="0" xfId="0" applyFont="1" applyFill="1" applyAlignment="1">
      <alignment vertical="center"/>
    </xf>
    <xf numFmtId="0" fontId="3" fillId="6" borderId="0" xfId="0" applyFont="1" applyFill="1" applyProtection="1">
      <protection locked="0"/>
    </xf>
    <xf numFmtId="0" fontId="59" fillId="0" borderId="6" xfId="0" applyFont="1" applyBorder="1" applyAlignment="1">
      <alignment vertical="center" wrapText="1"/>
    </xf>
    <xf numFmtId="173" fontId="0" fillId="6" borderId="0" xfId="0" applyNumberFormat="1" applyFill="1" applyBorder="1" applyAlignment="1">
      <alignment/>
    </xf>
    <xf numFmtId="0" fontId="57" fillId="6" borderId="0" xfId="0" applyFont="1" applyFill="1" applyBorder="1" applyAlignment="1">
      <alignment horizontal="center" vertical="center" wrapText="1"/>
    </xf>
    <xf numFmtId="0" fontId="14" fillId="6" borderId="0" xfId="0" applyFont="1" applyFill="1" applyBorder="1" applyAlignment="1">
      <alignment/>
    </xf>
    <xf numFmtId="0" fontId="14" fillId="6" borderId="0" xfId="0" applyFont="1" applyFill="1" applyProtection="1">
      <protection locked="0"/>
    </xf>
    <xf numFmtId="0" fontId="0" fillId="6" borderId="0" xfId="0" applyFont="1" applyFill="1" applyBorder="1" applyAlignment="1" applyProtection="1">
      <alignment horizontal="left" vertical="center" wrapText="1" indent="1"/>
      <protection locked="0"/>
    </xf>
    <xf numFmtId="0" fontId="0" fillId="6" borderId="0" xfId="0" applyFill="1" applyBorder="1" applyAlignment="1" applyProtection="1">
      <alignment vertical="center" wrapText="1"/>
      <protection locked="0"/>
    </xf>
    <xf numFmtId="0" fontId="0" fillId="6" borderId="0" xfId="0" applyFont="1" applyFill="1" applyBorder="1" applyAlignment="1" applyProtection="1">
      <alignment vertical="center" wrapText="1"/>
      <protection locked="0"/>
    </xf>
    <xf numFmtId="0" fontId="0" fillId="6" borderId="0" xfId="0" applyFill="1" applyAlignment="1">
      <alignment horizontal="center"/>
    </xf>
    <xf numFmtId="0" fontId="19" fillId="6" borderId="0" xfId="0" applyFont="1" applyFill="1" applyAlignment="1">
      <alignment horizontal="center"/>
    </xf>
    <xf numFmtId="0" fontId="3" fillId="6" borderId="0" xfId="0" applyFont="1" applyFill="1" applyAlignment="1" quotePrefix="1">
      <alignment horizontal="right"/>
    </xf>
    <xf numFmtId="0" fontId="0" fillId="6" borderId="57" xfId="0" applyFill="1" applyBorder="1" applyAlignment="1" applyProtection="1">
      <alignment horizontal="center"/>
      <protection/>
    </xf>
    <xf numFmtId="0" fontId="0" fillId="6" borderId="57" xfId="0" applyFill="1" applyBorder="1" applyAlignment="1" applyProtection="1">
      <alignment horizontal="center" vertical="center"/>
      <protection/>
    </xf>
    <xf numFmtId="49" fontId="2" fillId="5" borderId="6" xfId="0" applyNumberFormat="1" applyFont="1" applyFill="1" applyBorder="1" applyAlignment="1" applyProtection="1">
      <alignment horizontal="center" vertical="center" wrapText="1"/>
      <protection locked="0"/>
    </xf>
    <xf numFmtId="0" fontId="54" fillId="6" borderId="0" xfId="0" applyFont="1" applyFill="1"/>
    <xf numFmtId="0" fontId="0" fillId="6" borderId="0" xfId="0" applyFill="1" applyAlignment="1" applyProtection="1">
      <alignment horizontal="right"/>
      <protection locked="0"/>
    </xf>
    <xf numFmtId="0" fontId="0" fillId="6" borderId="0" xfId="0" applyFont="1" applyFill="1" applyAlignment="1" applyProtection="1">
      <alignment horizontal="right"/>
      <protection locked="0"/>
    </xf>
    <xf numFmtId="0" fontId="0" fillId="6" borderId="0" xfId="0" applyFill="1" applyAlignment="1">
      <alignment horizontal="right" vertical="top" wrapText="1"/>
    </xf>
    <xf numFmtId="0" fontId="0" fillId="6" borderId="0" xfId="0" applyFill="1" applyAlignment="1">
      <alignment horizontal="right" vertical="center"/>
    </xf>
    <xf numFmtId="0" fontId="3" fillId="6" borderId="0" xfId="0" applyFont="1" applyFill="1" applyAlignment="1">
      <alignment horizontal="right" vertical="center" wrapText="1"/>
    </xf>
    <xf numFmtId="0" fontId="0" fillId="6" borderId="0" xfId="0" applyFont="1" applyFill="1" applyAlignment="1">
      <alignment horizontal="right"/>
    </xf>
    <xf numFmtId="0" fontId="0" fillId="6" borderId="0" xfId="0" applyFill="1" applyAlignment="1">
      <alignment horizontal="right" wrapText="1"/>
    </xf>
    <xf numFmtId="0" fontId="54" fillId="6" borderId="0" xfId="0" applyFont="1" applyFill="1" applyAlignment="1">
      <alignment horizontal="right"/>
    </xf>
    <xf numFmtId="0" fontId="0" fillId="6" borderId="0" xfId="0" applyFill="1" applyAlignment="1" applyProtection="1">
      <alignment horizontal="center"/>
      <protection locked="0"/>
    </xf>
    <xf numFmtId="0" fontId="0" fillId="6" borderId="0" xfId="0" applyFont="1" applyFill="1" applyAlignment="1" applyProtection="1">
      <alignment horizontal="center"/>
      <protection locked="0"/>
    </xf>
    <xf numFmtId="0" fontId="0" fillId="6" borderId="0" xfId="0" applyFill="1" applyAlignment="1">
      <alignment horizontal="center" vertical="top" wrapText="1"/>
    </xf>
    <xf numFmtId="0" fontId="0" fillId="6" borderId="0" xfId="0" applyFill="1" applyAlignment="1">
      <alignment horizontal="center" vertical="center"/>
    </xf>
    <xf numFmtId="0" fontId="3" fillId="6" borderId="0" xfId="0" applyFont="1" applyFill="1" applyAlignment="1">
      <alignment horizontal="center" vertical="center" wrapText="1"/>
    </xf>
    <xf numFmtId="0" fontId="0" fillId="6" borderId="0" xfId="0" applyFont="1" applyFill="1" applyAlignment="1">
      <alignment horizontal="center"/>
    </xf>
    <xf numFmtId="0" fontId="0" fillId="6" borderId="0" xfId="0" applyFill="1" applyBorder="1" applyAlignment="1">
      <alignment horizontal="center"/>
    </xf>
    <xf numFmtId="0" fontId="54" fillId="6" borderId="0" xfId="0" applyFont="1" applyFill="1" applyAlignment="1">
      <alignment horizontal="center"/>
    </xf>
    <xf numFmtId="0" fontId="0" fillId="6" borderId="6" xfId="0" applyFill="1" applyBorder="1" applyAlignment="1">
      <alignment horizontal="right"/>
    </xf>
    <xf numFmtId="173" fontId="0" fillId="6" borderId="0" xfId="0" applyNumberFormat="1" applyFill="1" applyBorder="1" applyAlignment="1">
      <alignment horizontal="right"/>
    </xf>
    <xf numFmtId="0" fontId="0" fillId="6" borderId="0" xfId="0" applyFill="1" applyAlignment="1">
      <alignment horizontal="left" vertical="top" wrapText="1"/>
    </xf>
    <xf numFmtId="0" fontId="0" fillId="6" borderId="0" xfId="0" applyFill="1" applyAlignment="1">
      <alignment vertical="top"/>
    </xf>
    <xf numFmtId="0" fontId="0" fillId="6" borderId="0" xfId="0" applyFill="1" applyAlignment="1">
      <alignment horizontal="center" vertical="top"/>
    </xf>
    <xf numFmtId="0" fontId="16" fillId="6" borderId="0" xfId="0" applyFont="1" applyFill="1"/>
    <xf numFmtId="0" fontId="0" fillId="0" borderId="0" xfId="0" applyAlignment="1" applyProtection="1">
      <alignment vertical="top"/>
      <protection locked="0"/>
    </xf>
    <xf numFmtId="0" fontId="0" fillId="6" borderId="0" xfId="0" applyFill="1" applyAlignment="1">
      <alignment horizontal="right" vertical="top"/>
    </xf>
    <xf numFmtId="0" fontId="0" fillId="6" borderId="0" xfId="0" applyFill="1" applyAlignment="1">
      <alignment horizontal="left" vertical="center" wrapText="1"/>
    </xf>
    <xf numFmtId="0" fontId="6" fillId="6" borderId="0" xfId="0" applyFont="1" applyFill="1" applyAlignment="1" applyProtection="1">
      <alignment horizontal="left" wrapText="1"/>
      <protection locked="0"/>
    </xf>
    <xf numFmtId="0" fontId="0" fillId="6" borderId="0" xfId="0" applyFill="1" applyAlignment="1">
      <alignment/>
    </xf>
    <xf numFmtId="0" fontId="3" fillId="6" borderId="0" xfId="0" applyFont="1" applyFill="1" applyAlignment="1">
      <alignment/>
    </xf>
    <xf numFmtId="0" fontId="48" fillId="6" borderId="0" xfId="0" applyFont="1" applyFill="1" applyAlignment="1">
      <alignment/>
    </xf>
    <xf numFmtId="0" fontId="0" fillId="6" borderId="0" xfId="0" applyFill="1" applyAlignment="1">
      <alignment vertical="center" wrapText="1"/>
    </xf>
    <xf numFmtId="0" fontId="0" fillId="6" borderId="0" xfId="0" applyFill="1" applyAlignment="1">
      <alignment horizontal="left" vertical="top" wrapText="1"/>
    </xf>
    <xf numFmtId="0" fontId="0" fillId="6" borderId="0" xfId="0" applyFill="1" applyAlignment="1">
      <alignment horizontal="left" vertical="center" wrapText="1"/>
    </xf>
    <xf numFmtId="0" fontId="0" fillId="6" borderId="0" xfId="0" applyFill="1" applyAlignment="1">
      <alignment vertical="center" wrapText="1"/>
    </xf>
    <xf numFmtId="0" fontId="3" fillId="6" borderId="0" xfId="0" applyFont="1" applyFill="1" applyAlignment="1">
      <alignment horizontal="left" vertical="top"/>
    </xf>
    <xf numFmtId="0" fontId="6" fillId="6" borderId="0" xfId="0" applyFont="1" applyFill="1" applyAlignment="1" applyProtection="1">
      <alignment wrapText="1"/>
      <protection locked="0"/>
    </xf>
    <xf numFmtId="0" fontId="0" fillId="0" borderId="0" xfId="0" applyAlignment="1">
      <alignment/>
    </xf>
    <xf numFmtId="0" fontId="3" fillId="6" borderId="0" xfId="0" applyFont="1" applyFill="1" applyAlignment="1" applyProtection="1">
      <alignment wrapText="1"/>
      <protection locked="0"/>
    </xf>
    <xf numFmtId="0" fontId="3" fillId="6" borderId="0" xfId="0" applyFont="1" applyFill="1" applyAlignment="1" applyProtection="1">
      <alignment/>
      <protection locked="0"/>
    </xf>
    <xf numFmtId="0" fontId="2" fillId="6" borderId="0" xfId="0" applyFont="1" applyFill="1" applyAlignment="1" applyProtection="1">
      <alignment/>
      <protection locked="0"/>
    </xf>
    <xf numFmtId="0" fontId="6" fillId="2" borderId="0" xfId="0" applyFont="1" applyFill="1" applyBorder="1" applyAlignment="1" applyProtection="1">
      <alignment vertical="center"/>
      <protection hidden="1"/>
    </xf>
    <xf numFmtId="0" fontId="6" fillId="2" borderId="0" xfId="0" applyFont="1" applyFill="1" applyBorder="1" applyAlignment="1" applyProtection="1">
      <alignment horizontal="right" vertical="center"/>
      <protection hidden="1"/>
    </xf>
    <xf numFmtId="0" fontId="49" fillId="6" borderId="0" xfId="0" applyFont="1" applyFill="1" applyAlignment="1" applyProtection="1">
      <alignment vertical="top"/>
      <protection locked="0"/>
    </xf>
    <xf numFmtId="0" fontId="2" fillId="0" borderId="0" xfId="0" applyFont="1" applyAlignment="1" applyProtection="1">
      <alignment vertical="top"/>
      <protection locked="0"/>
    </xf>
    <xf numFmtId="0" fontId="0" fillId="2" borderId="19" xfId="0" applyFont="1" applyFill="1" applyBorder="1" applyAlignment="1" applyProtection="1">
      <alignment wrapText="1"/>
      <protection hidden="1"/>
    </xf>
    <xf numFmtId="0" fontId="0" fillId="2" borderId="20" xfId="0" applyFont="1" applyFill="1" applyBorder="1" applyAlignment="1" applyProtection="1">
      <alignment wrapText="1"/>
      <protection hidden="1"/>
    </xf>
    <xf numFmtId="0" fontId="3" fillId="6" borderId="0" xfId="0" applyFont="1" applyFill="1" applyAlignment="1">
      <alignment horizontal="left"/>
    </xf>
    <xf numFmtId="0" fontId="2" fillId="0" borderId="0" xfId="0" applyFont="1"/>
    <xf numFmtId="0" fontId="48" fillId="6" borderId="0" xfId="0" applyFont="1" applyFill="1" applyBorder="1" applyProtection="1">
      <protection/>
    </xf>
    <xf numFmtId="0" fontId="48" fillId="6" borderId="0" xfId="0" applyFont="1" applyFill="1" applyAlignment="1">
      <alignment vertical="center"/>
    </xf>
    <xf numFmtId="0" fontId="0" fillId="6" borderId="0" xfId="0" applyFill="1" applyAlignment="1">
      <alignment horizontal="left" vertical="top" wrapText="1"/>
    </xf>
    <xf numFmtId="0" fontId="0" fillId="6" borderId="0" xfId="0" applyFill="1" applyAlignment="1">
      <alignment vertical="top" wrapText="1"/>
    </xf>
    <xf numFmtId="0" fontId="45" fillId="6" borderId="0" xfId="0" applyFont="1" applyFill="1"/>
    <xf numFmtId="0" fontId="2" fillId="6" borderId="0" xfId="0" applyFont="1" applyFill="1" applyAlignment="1">
      <alignment/>
    </xf>
    <xf numFmtId="0" fontId="0" fillId="6" borderId="67" xfId="0" applyFill="1" applyBorder="1" applyAlignment="1">
      <alignment horizontal="left" vertical="top"/>
    </xf>
    <xf numFmtId="0" fontId="0" fillId="6" borderId="9" xfId="0" applyFill="1" applyBorder="1" applyAlignment="1">
      <alignment horizontal="left" vertical="top"/>
    </xf>
    <xf numFmtId="0" fontId="0" fillId="13" borderId="10" xfId="0" applyFill="1" applyBorder="1" applyAlignment="1">
      <alignment horizontal="left" vertical="top"/>
    </xf>
    <xf numFmtId="0" fontId="0" fillId="13" borderId="0" xfId="0" applyFill="1" applyBorder="1" applyAlignment="1">
      <alignment horizontal="left" vertical="top"/>
    </xf>
    <xf numFmtId="0" fontId="0" fillId="13" borderId="68" xfId="0" applyFill="1" applyBorder="1" applyAlignment="1">
      <alignment horizontal="left" vertical="top"/>
    </xf>
    <xf numFmtId="0" fontId="0" fillId="13" borderId="16" xfId="0" applyFill="1" applyBorder="1" applyAlignment="1">
      <alignment horizontal="left" vertical="top"/>
    </xf>
    <xf numFmtId="0" fontId="0" fillId="13" borderId="36" xfId="0" applyFill="1" applyBorder="1" applyAlignment="1">
      <alignment horizontal="left" vertical="top"/>
    </xf>
    <xf numFmtId="0" fontId="0" fillId="13" borderId="17" xfId="0" applyFill="1" applyBorder="1" applyAlignment="1">
      <alignment horizontal="left" vertical="top"/>
    </xf>
    <xf numFmtId="0" fontId="0" fillId="13" borderId="10" xfId="0" applyFill="1" applyBorder="1"/>
    <xf numFmtId="0" fontId="0" fillId="13" borderId="0" xfId="0" applyFill="1" applyBorder="1"/>
    <xf numFmtId="0" fontId="0" fillId="13" borderId="68" xfId="0" applyFill="1" applyBorder="1"/>
    <xf numFmtId="0" fontId="0" fillId="13" borderId="16" xfId="0" applyFill="1" applyBorder="1"/>
    <xf numFmtId="0" fontId="0" fillId="13" borderId="36" xfId="0" applyFill="1" applyBorder="1"/>
    <xf numFmtId="0" fontId="0" fillId="13" borderId="17" xfId="0" applyFill="1" applyBorder="1"/>
    <xf numFmtId="0" fontId="16" fillId="6" borderId="67" xfId="0" applyFont="1" applyFill="1" applyBorder="1" applyAlignment="1">
      <alignment horizontal="left" vertical="top"/>
    </xf>
    <xf numFmtId="0" fontId="16" fillId="6" borderId="54" xfId="0" applyFont="1" applyFill="1" applyBorder="1" applyAlignment="1">
      <alignment horizontal="left" vertical="top"/>
    </xf>
    <xf numFmtId="0" fontId="0" fillId="6" borderId="0" xfId="0" applyFont="1" applyFill="1" applyBorder="1" applyProtection="1">
      <protection hidden="1"/>
    </xf>
    <xf numFmtId="0" fontId="50" fillId="6" borderId="0" xfId="0" applyFont="1" applyFill="1" applyAlignment="1" applyProtection="1">
      <alignment vertical="center" wrapText="1"/>
      <protection hidden="1"/>
    </xf>
    <xf numFmtId="0" fontId="50" fillId="6" borderId="0" xfId="0" applyFont="1" applyFill="1" applyAlignment="1" applyProtection="1">
      <alignment wrapText="1"/>
      <protection hidden="1"/>
    </xf>
    <xf numFmtId="0" fontId="51" fillId="6" borderId="0" xfId="0" applyFont="1" applyFill="1" applyAlignment="1" applyProtection="1">
      <alignment wrapText="1"/>
      <protection hidden="1"/>
    </xf>
    <xf numFmtId="0" fontId="50" fillId="6" borderId="0" xfId="0" applyFont="1" applyFill="1" applyAlignment="1" applyProtection="1">
      <alignment/>
      <protection hidden="1"/>
    </xf>
    <xf numFmtId="0" fontId="49" fillId="6" borderId="0" xfId="0" applyFont="1" applyFill="1" applyAlignment="1" applyProtection="1">
      <alignment vertical="center" wrapText="1"/>
      <protection hidden="1"/>
    </xf>
    <xf numFmtId="0" fontId="0" fillId="6" borderId="0" xfId="0" applyFont="1" applyFill="1" applyProtection="1">
      <protection hidden="1" locked="0"/>
    </xf>
    <xf numFmtId="0" fontId="50" fillId="0" borderId="0" xfId="0" applyFont="1" applyProtection="1">
      <protection hidden="1"/>
    </xf>
    <xf numFmtId="0" fontId="63" fillId="2" borderId="0" xfId="0" applyFont="1" applyFill="1" applyBorder="1" applyProtection="1">
      <protection hidden="1"/>
    </xf>
    <xf numFmtId="0" fontId="64" fillId="2" borderId="0" xfId="0" applyFont="1" applyFill="1" applyBorder="1" applyProtection="1">
      <protection hidden="1"/>
    </xf>
    <xf numFmtId="0" fontId="64" fillId="2" borderId="0" xfId="0" applyFont="1" applyFill="1" applyBorder="1" applyAlignment="1" applyProtection="1">
      <alignment vertical="center"/>
      <protection hidden="1"/>
    </xf>
    <xf numFmtId="49" fontId="64" fillId="2" borderId="0" xfId="0" applyNumberFormat="1" applyFont="1" applyFill="1" applyBorder="1" applyAlignment="1" applyProtection="1">
      <alignment horizontal="right"/>
      <protection hidden="1"/>
    </xf>
    <xf numFmtId="0" fontId="64" fillId="0" borderId="0" xfId="0" applyFont="1" applyFill="1" applyBorder="1" applyProtection="1">
      <protection hidden="1"/>
    </xf>
    <xf numFmtId="0" fontId="63" fillId="0" borderId="0" xfId="0" applyFont="1" applyFill="1" applyBorder="1" applyProtection="1">
      <protection hidden="1"/>
    </xf>
    <xf numFmtId="17" fontId="21" fillId="6" borderId="0" xfId="0" applyNumberFormat="1" applyFont="1" applyFill="1" applyBorder="1" applyAlignment="1" applyProtection="1">
      <alignment vertical="center"/>
      <protection hidden="1"/>
    </xf>
    <xf numFmtId="0" fontId="0" fillId="6" borderId="0" xfId="0" applyFill="1" applyAlignment="1">
      <alignment vertical="top" wrapText="1"/>
    </xf>
    <xf numFmtId="0" fontId="0" fillId="6" borderId="0" xfId="0" applyFill="1" applyAlignment="1">
      <alignment horizontal="center"/>
    </xf>
    <xf numFmtId="0" fontId="0" fillId="6" borderId="0" xfId="0" applyFill="1" applyAlignment="1">
      <alignment vertical="top" wrapText="1"/>
    </xf>
    <xf numFmtId="0" fontId="0" fillId="6" borderId="0" xfId="0" applyFill="1" applyAlignment="1">
      <alignment wrapText="1"/>
    </xf>
    <xf numFmtId="0" fontId="45" fillId="6" borderId="0" xfId="0" applyFont="1" applyFill="1" applyProtection="1">
      <protection locked="0"/>
    </xf>
    <xf numFmtId="0" fontId="55" fillId="6" borderId="0" xfId="0" applyFont="1" applyFill="1" applyAlignment="1" applyProtection="1">
      <alignment wrapText="1"/>
      <protection locked="0"/>
    </xf>
    <xf numFmtId="0" fontId="17" fillId="6" borderId="0" xfId="0" applyFont="1" applyFill="1"/>
    <xf numFmtId="0" fontId="0" fillId="6" borderId="0" xfId="0" applyFill="1" applyAlignment="1" applyProtection="1">
      <alignment vertical="top"/>
      <protection locked="0"/>
    </xf>
    <xf numFmtId="0" fontId="49" fillId="6" borderId="0" xfId="0" applyFont="1" applyFill="1" applyAlignment="1" applyProtection="1">
      <alignment vertical="center"/>
      <protection locked="0"/>
    </xf>
    <xf numFmtId="0" fontId="43" fillId="6" borderId="0" xfId="0" applyFont="1" applyFill="1" applyAlignment="1" applyProtection="1">
      <alignment vertical="center"/>
      <protection locked="0"/>
    </xf>
    <xf numFmtId="0" fontId="19" fillId="6" borderId="0" xfId="0" applyFont="1" applyFill="1" applyProtection="1">
      <protection locked="0"/>
    </xf>
    <xf numFmtId="0" fontId="58" fillId="6" borderId="0" xfId="0" applyFont="1" applyFill="1" applyProtection="1">
      <protection locked="0"/>
    </xf>
    <xf numFmtId="0" fontId="17" fillId="6" borderId="0" xfId="0" applyFont="1" applyFill="1" applyProtection="1">
      <protection locked="0"/>
    </xf>
    <xf numFmtId="0" fontId="50" fillId="0" borderId="0" xfId="0" applyFont="1"/>
    <xf numFmtId="0" fontId="56" fillId="6" borderId="0" xfId="0" applyFont="1" applyFill="1" applyAlignment="1">
      <alignment vertical="top" wrapText="1"/>
    </xf>
    <xf numFmtId="0" fontId="0" fillId="6" borderId="0" xfId="0" applyFont="1" applyFill="1" applyAlignment="1">
      <alignment vertical="top" wrapText="1"/>
    </xf>
    <xf numFmtId="0" fontId="0" fillId="6" borderId="0" xfId="0" applyFont="1" applyFill="1" applyAlignment="1">
      <alignment wrapText="1"/>
    </xf>
    <xf numFmtId="0" fontId="0" fillId="0" borderId="0" xfId="0" applyAlignment="1" applyProtection="1">
      <alignment horizontal="center"/>
      <protection locked="0"/>
    </xf>
    <xf numFmtId="0" fontId="0" fillId="0" borderId="0" xfId="0" applyFont="1" applyAlignment="1" applyProtection="1">
      <alignment wrapText="1"/>
      <protection locked="0"/>
    </xf>
    <xf numFmtId="0" fontId="0" fillId="0" borderId="0" xfId="0" applyFont="1" applyAlignment="1" applyProtection="1">
      <alignment horizontal="center" wrapText="1"/>
      <protection locked="0"/>
    </xf>
    <xf numFmtId="49" fontId="0" fillId="0" borderId="0" xfId="0" applyNumberFormat="1" applyProtection="1">
      <protection locked="0"/>
    </xf>
    <xf numFmtId="0" fontId="0" fillId="0" borderId="0" xfId="0" applyFont="1" applyAlignment="1" applyProtection="1">
      <alignment horizontal="center"/>
      <protection locked="0"/>
    </xf>
    <xf numFmtId="1" fontId="0" fillId="0" borderId="0" xfId="0" applyNumberFormat="1" applyFont="1" applyAlignment="1" applyProtection="1">
      <alignment horizontal="center"/>
      <protection locked="0"/>
    </xf>
    <xf numFmtId="2" fontId="0" fillId="0" borderId="0" xfId="0" applyNumberFormat="1" applyFont="1" applyAlignment="1" applyProtection="1">
      <alignment horizontal="center"/>
      <protection locked="0"/>
    </xf>
    <xf numFmtId="0" fontId="0" fillId="0" borderId="0" xfId="0" applyFont="1" applyProtection="1">
      <protection locked="0"/>
    </xf>
    <xf numFmtId="0" fontId="0" fillId="0" borderId="0" xfId="0" applyAlignment="1" applyProtection="1">
      <alignment horizontal="right"/>
      <protection locked="0"/>
    </xf>
    <xf numFmtId="0" fontId="63" fillId="2" borderId="0" xfId="0" applyFont="1" applyFill="1" applyBorder="1" applyProtection="1">
      <protection hidden="1"/>
    </xf>
    <xf numFmtId="0" fontId="64" fillId="2" borderId="0" xfId="0" applyFont="1" applyFill="1" applyBorder="1" applyProtection="1">
      <protection hidden="1"/>
    </xf>
    <xf numFmtId="49" fontId="64" fillId="2" borderId="0" xfId="0" applyNumberFormat="1" applyFont="1" applyFill="1" applyBorder="1" applyAlignment="1" applyProtection="1">
      <alignment horizontal="right"/>
      <protection hidden="1"/>
    </xf>
    <xf numFmtId="0" fontId="50" fillId="0" borderId="0" xfId="0" applyFont="1" applyProtection="1">
      <protection hidden="1"/>
    </xf>
    <xf numFmtId="14" fontId="0" fillId="2" borderId="6" xfId="0" applyNumberFormat="1" applyFont="1" applyFill="1" applyBorder="1" applyAlignment="1" applyProtection="1">
      <alignment/>
      <protection hidden="1"/>
    </xf>
    <xf numFmtId="0" fontId="0" fillId="2" borderId="6" xfId="0" applyNumberFormat="1" applyFont="1" applyFill="1" applyBorder="1" applyAlignment="1" applyProtection="1">
      <alignment/>
      <protection hidden="1"/>
    </xf>
    <xf numFmtId="0" fontId="6" fillId="5" borderId="6" xfId="0" applyFont="1" applyFill="1" applyBorder="1" applyAlignment="1" applyProtection="1">
      <alignment horizontal="center"/>
      <protection locked="0"/>
    </xf>
    <xf numFmtId="0" fontId="0" fillId="5" borderId="6" xfId="0" applyFill="1" applyBorder="1" applyProtection="1">
      <protection locked="0"/>
    </xf>
    <xf numFmtId="0" fontId="19" fillId="6" borderId="0" xfId="0" applyFont="1" applyFill="1"/>
    <xf numFmtId="0" fontId="50" fillId="2" borderId="0" xfId="0" applyFont="1" applyFill="1" applyProtection="1">
      <protection hidden="1"/>
    </xf>
    <xf numFmtId="0" fontId="63" fillId="2" borderId="0" xfId="0" applyFont="1" applyFill="1" applyBorder="1" applyAlignment="1" applyProtection="1">
      <alignment vertical="top"/>
      <protection hidden="1"/>
    </xf>
    <xf numFmtId="0" fontId="50" fillId="2" borderId="0" xfId="0" applyFont="1" applyFill="1" applyAlignment="1" applyProtection="1">
      <alignment horizontal="center"/>
      <protection hidden="1"/>
    </xf>
    <xf numFmtId="0" fontId="50" fillId="6" borderId="0" xfId="0" applyFont="1" applyFill="1"/>
    <xf numFmtId="0" fontId="6" fillId="6" borderId="0" xfId="0" applyFont="1" applyFill="1" applyBorder="1" applyAlignment="1" applyProtection="1">
      <alignment horizontal="right"/>
      <protection hidden="1"/>
    </xf>
    <xf numFmtId="0" fontId="3" fillId="6" borderId="0" xfId="0" applyFont="1" applyFill="1" applyBorder="1" applyProtection="1">
      <protection hidden="1"/>
    </xf>
    <xf numFmtId="0" fontId="3" fillId="6" borderId="0" xfId="0" applyFont="1" applyFill="1" applyBorder="1" applyAlignment="1" applyProtection="1">
      <alignment horizontal="right"/>
      <protection hidden="1"/>
    </xf>
    <xf numFmtId="14" fontId="0" fillId="6" borderId="0" xfId="0" applyNumberFormat="1" applyFont="1" applyFill="1" applyBorder="1" applyAlignment="1" applyProtection="1">
      <alignment horizontal="left" vertical="center"/>
      <protection hidden="1"/>
    </xf>
    <xf numFmtId="0" fontId="0" fillId="6" borderId="0" xfId="0" applyNumberFormat="1" applyFont="1" applyFill="1" applyBorder="1" applyAlignment="1" applyProtection="1">
      <alignment horizontal="left" vertical="center"/>
      <protection hidden="1"/>
    </xf>
    <xf numFmtId="0" fontId="55" fillId="6" borderId="0" xfId="0" applyFont="1" applyFill="1" applyAlignment="1" applyProtection="1">
      <alignment vertical="center"/>
      <protection hidden="1" locked="0"/>
    </xf>
    <xf numFmtId="165" fontId="0" fillId="6" borderId="0" xfId="0" applyNumberFormat="1" applyFont="1" applyFill="1" applyBorder="1" applyAlignment="1" applyProtection="1">
      <alignment vertical="center" wrapText="1"/>
      <protection hidden="1" locked="0"/>
    </xf>
    <xf numFmtId="0" fontId="50" fillId="6" borderId="0" xfId="0" applyFont="1" applyFill="1" applyProtection="1">
      <protection hidden="1" locked="0"/>
    </xf>
    <xf numFmtId="0" fontId="0" fillId="6" borderId="0" xfId="0" applyFont="1" applyFill="1" applyAlignment="1" applyProtection="1">
      <alignment vertical="center"/>
      <protection hidden="1" locked="0"/>
    </xf>
    <xf numFmtId="0" fontId="55" fillId="6" borderId="0" xfId="0" applyFont="1" applyFill="1" applyBorder="1" applyProtection="1">
      <protection hidden="1"/>
    </xf>
    <xf numFmtId="14" fontId="0" fillId="2" borderId="6" xfId="0" applyNumberFormat="1" applyFont="1" applyFill="1" applyBorder="1" applyProtection="1">
      <protection hidden="1"/>
    </xf>
    <xf numFmtId="0" fontId="0" fillId="2" borderId="0" xfId="0" applyFill="1" applyAlignment="1" applyProtection="1">
      <alignment horizontal="left" vertical="center"/>
      <protection hidden="1"/>
    </xf>
    <xf numFmtId="14" fontId="0" fillId="2" borderId="6" xfId="23" applyNumberFormat="1" applyFont="1" applyFill="1" applyBorder="1" applyAlignment="1" applyProtection="1">
      <alignment/>
      <protection hidden="1"/>
    </xf>
    <xf numFmtId="0" fontId="0" fillId="6" borderId="0" xfId="0" applyFill="1" applyAlignment="1">
      <alignment horizontal="left" vertical="center"/>
    </xf>
    <xf numFmtId="0" fontId="0" fillId="0" borderId="0" xfId="0" applyFont="1" applyAlignment="1">
      <alignment wrapText="1"/>
    </xf>
    <xf numFmtId="0" fontId="0" fillId="0" borderId="0" xfId="0" applyFont="1" applyAlignment="1">
      <alignment vertical="top"/>
    </xf>
    <xf numFmtId="0" fontId="66" fillId="0" borderId="6" xfId="0" applyFont="1" applyBorder="1" applyAlignment="1">
      <alignment vertical="center" wrapText="1"/>
    </xf>
    <xf numFmtId="0" fontId="0" fillId="0" borderId="6" xfId="0" applyFont="1" applyBorder="1"/>
    <xf numFmtId="0" fontId="3" fillId="7" borderId="15" xfId="0" applyFont="1" applyFill="1" applyBorder="1"/>
    <xf numFmtId="0" fontId="3" fillId="7" borderId="6" xfId="0" applyFont="1" applyFill="1" applyBorder="1"/>
    <xf numFmtId="0" fontId="0" fillId="0" borderId="15" xfId="0" applyFont="1" applyBorder="1"/>
    <xf numFmtId="0" fontId="0" fillId="0" borderId="6" xfId="0" applyFont="1" applyFill="1" applyBorder="1"/>
    <xf numFmtId="0" fontId="0" fillId="6" borderId="6" xfId="0" applyFont="1" applyFill="1" applyBorder="1"/>
    <xf numFmtId="0" fontId="0" fillId="0" borderId="15" xfId="0" applyFont="1" applyBorder="1" applyAlignment="1">
      <alignment wrapText="1"/>
    </xf>
    <xf numFmtId="0" fontId="0" fillId="7" borderId="6" xfId="0" applyFont="1" applyFill="1" applyBorder="1" applyAlignment="1">
      <alignment vertical="top" wrapText="1"/>
    </xf>
    <xf numFmtId="0" fontId="0" fillId="0" borderId="6" xfId="0" applyFont="1" applyFill="1" applyBorder="1" applyAlignment="1">
      <alignment wrapText="1"/>
    </xf>
    <xf numFmtId="0" fontId="0" fillId="0" borderId="15" xfId="0" applyFont="1" applyBorder="1" applyAlignment="1">
      <alignment vertical="top" wrapText="1"/>
    </xf>
    <xf numFmtId="0" fontId="0" fillId="0" borderId="6" xfId="0" applyFont="1" applyBorder="1" applyAlignment="1">
      <alignment vertical="top" wrapText="1"/>
    </xf>
    <xf numFmtId="0" fontId="0" fillId="0" borderId="6" xfId="0" applyFont="1" applyFill="1" applyBorder="1" applyAlignment="1">
      <alignment vertical="top" wrapText="1"/>
    </xf>
    <xf numFmtId="0" fontId="0" fillId="0" borderId="6" xfId="0" applyFont="1" applyFill="1" applyBorder="1" applyAlignment="1" applyProtection="1">
      <alignment horizontal="left" vertical="top" wrapText="1"/>
      <protection hidden="1"/>
    </xf>
    <xf numFmtId="0" fontId="0" fillId="6" borderId="15" xfId="0" applyFont="1" applyFill="1" applyBorder="1" quotePrefix="1"/>
    <xf numFmtId="0" fontId="0" fillId="6" borderId="6" xfId="0" applyFont="1" applyFill="1" applyBorder="1" quotePrefix="1"/>
    <xf numFmtId="0" fontId="0" fillId="2" borderId="15" xfId="0" applyFont="1" applyFill="1" applyBorder="1" applyProtection="1">
      <protection hidden="1"/>
    </xf>
    <xf numFmtId="0" fontId="0" fillId="0" borderId="15" xfId="0" applyFont="1" applyFill="1" applyBorder="1"/>
    <xf numFmtId="0" fontId="0" fillId="7" borderId="6" xfId="0" applyFont="1" applyFill="1" applyBorder="1" applyAlignment="1">
      <alignment wrapText="1"/>
    </xf>
    <xf numFmtId="0" fontId="0" fillId="0" borderId="15" xfId="0" applyFont="1" applyFill="1" applyBorder="1" applyAlignment="1">
      <alignment wrapText="1"/>
    </xf>
    <xf numFmtId="0" fontId="0" fillId="0" borderId="6" xfId="0" applyFont="1" applyFill="1" applyBorder="1" applyAlignment="1" quotePrefix="1">
      <alignment wrapText="1"/>
    </xf>
    <xf numFmtId="0" fontId="0" fillId="0" borderId="15" xfId="0" applyFont="1" applyBorder="1" applyAlignment="1" quotePrefix="1">
      <alignment wrapText="1"/>
    </xf>
    <xf numFmtId="0" fontId="0" fillId="0" borderId="6" xfId="0" applyFont="1" applyBorder="1" applyAlignment="1" quotePrefix="1">
      <alignment wrapText="1"/>
    </xf>
    <xf numFmtId="0" fontId="0" fillId="0" borderId="15" xfId="23" applyFont="1" applyBorder="1" applyAlignment="1">
      <alignment wrapText="1"/>
      <protection/>
    </xf>
    <xf numFmtId="0" fontId="0" fillId="0" borderId="6" xfId="23" applyFont="1" applyBorder="1" applyAlignment="1">
      <alignment wrapText="1"/>
      <protection/>
    </xf>
    <xf numFmtId="0" fontId="0" fillId="0" borderId="6" xfId="23" applyFont="1" applyFill="1" applyBorder="1" applyAlignment="1">
      <alignment wrapText="1"/>
      <protection/>
    </xf>
    <xf numFmtId="0" fontId="0" fillId="0" borderId="15" xfId="23" applyFont="1" applyBorder="1">
      <alignment/>
      <protection/>
    </xf>
    <xf numFmtId="0" fontId="0" fillId="0" borderId="6" xfId="23" applyFont="1" applyBorder="1">
      <alignment/>
      <protection/>
    </xf>
    <xf numFmtId="0" fontId="0" fillId="0" borderId="6" xfId="23" applyFont="1" applyBorder="1" applyAlignment="1">
      <alignment vertical="top" wrapText="1"/>
      <protection/>
    </xf>
    <xf numFmtId="0" fontId="0" fillId="2" borderId="15" xfId="0" applyFont="1" applyFill="1" applyBorder="1" applyAlignment="1" applyProtection="1">
      <alignment wrapText="1"/>
      <protection hidden="1"/>
    </xf>
    <xf numFmtId="0" fontId="0" fillId="2" borderId="6" xfId="0" applyFont="1" applyFill="1" applyBorder="1" applyAlignment="1" applyProtection="1">
      <alignment wrapText="1"/>
      <protection hidden="1"/>
    </xf>
    <xf numFmtId="0" fontId="0" fillId="0" borderId="6" xfId="0" applyFont="1" applyFill="1" applyBorder="1" applyAlignment="1" applyProtection="1">
      <alignment wrapText="1"/>
      <protection hidden="1"/>
    </xf>
    <xf numFmtId="0" fontId="0" fillId="0" borderId="0" xfId="0" applyFont="1" applyAlignment="1">
      <alignment vertical="center"/>
    </xf>
    <xf numFmtId="0" fontId="0" fillId="0" borderId="6" xfId="0" applyFont="1" applyBorder="1" applyAlignment="1">
      <alignment vertical="center"/>
    </xf>
    <xf numFmtId="0" fontId="0" fillId="0" borderId="6" xfId="0" applyFont="1" applyBorder="1" applyAlignment="1">
      <alignment vertical="center" wrapText="1"/>
    </xf>
    <xf numFmtId="0" fontId="0" fillId="6" borderId="6" xfId="0" applyFont="1" applyFill="1" applyBorder="1" applyAlignment="1">
      <alignment wrapText="1"/>
    </xf>
    <xf numFmtId="0" fontId="0" fillId="6" borderId="6" xfId="0" applyFont="1" applyFill="1" applyBorder="1" applyAlignment="1">
      <alignment vertical="top" wrapText="1"/>
    </xf>
    <xf numFmtId="0" fontId="0" fillId="0" borderId="0" xfId="0" applyFont="1" applyBorder="1" applyAlignment="1">
      <alignment wrapText="1"/>
    </xf>
    <xf numFmtId="0" fontId="0" fillId="0" borderId="39" xfId="0" applyFont="1" applyFill="1" applyBorder="1" applyAlignment="1">
      <alignment wrapText="1"/>
    </xf>
    <xf numFmtId="0" fontId="0" fillId="6" borderId="0" xfId="30" applyFont="1" applyFill="1" applyBorder="1" applyAlignment="1" applyProtection="1">
      <alignment horizontal="left" vertical="center" wrapText="1"/>
      <protection/>
    </xf>
    <xf numFmtId="0" fontId="67" fillId="6" borderId="0" xfId="0" applyFont="1" applyFill="1"/>
    <xf numFmtId="0" fontId="0" fillId="6" borderId="0" xfId="0" applyFont="1" applyFill="1" applyAlignment="1">
      <alignment horizontal="left" indent="1"/>
    </xf>
    <xf numFmtId="0" fontId="6" fillId="6" borderId="0" xfId="0" applyFont="1" applyFill="1" applyAlignment="1">
      <alignment/>
    </xf>
    <xf numFmtId="0" fontId="3" fillId="0" borderId="0" xfId="0" applyFont="1"/>
    <xf numFmtId="0" fontId="0" fillId="6" borderId="0" xfId="0" applyFill="1" applyAlignment="1">
      <alignment horizontal="left" vertical="top" wrapText="1"/>
    </xf>
    <xf numFmtId="0" fontId="0" fillId="6" borderId="0" xfId="0" applyFill="1" applyAlignment="1">
      <alignment horizontal="left" wrapText="1"/>
    </xf>
    <xf numFmtId="0" fontId="48" fillId="6" borderId="0" xfId="0" applyFont="1" applyFill="1" applyAlignment="1">
      <alignment horizontal="center"/>
    </xf>
    <xf numFmtId="0" fontId="0" fillId="6" borderId="0" xfId="0" applyFill="1" applyAlignment="1">
      <alignment horizontal="center"/>
    </xf>
    <xf numFmtId="0" fontId="0" fillId="6" borderId="0" xfId="0" applyFill="1" applyAlignment="1">
      <alignment horizontal="left"/>
    </xf>
    <xf numFmtId="0" fontId="0" fillId="6" borderId="0" xfId="0" applyFont="1" applyFill="1" applyAlignment="1">
      <alignment horizontal="left" vertical="top" wrapText="1"/>
    </xf>
    <xf numFmtId="0" fontId="3" fillId="6" borderId="0" xfId="0" applyFont="1" applyFill="1" applyAlignment="1">
      <alignment horizontal="left" vertical="center" wrapText="1"/>
    </xf>
    <xf numFmtId="0" fontId="0" fillId="6" borderId="6" xfId="0" applyFill="1" applyBorder="1" applyAlignment="1">
      <alignment horizontal="left"/>
    </xf>
    <xf numFmtId="0" fontId="0" fillId="6" borderId="0" xfId="0" applyFill="1" applyAlignment="1">
      <alignment vertical="top" wrapText="1"/>
    </xf>
    <xf numFmtId="0" fontId="0" fillId="6" borderId="0" xfId="0" applyFill="1" applyAlignment="1">
      <alignment horizontal="center" wrapText="1"/>
    </xf>
    <xf numFmtId="0" fontId="0" fillId="6" borderId="0" xfId="0" applyFill="1" applyAlignment="1" applyProtection="1">
      <alignment/>
      <protection locked="0"/>
    </xf>
    <xf numFmtId="0" fontId="3" fillId="7" borderId="6" xfId="0" applyFont="1" applyFill="1" applyBorder="1" applyAlignment="1">
      <alignment wrapText="1"/>
    </xf>
    <xf numFmtId="0" fontId="0" fillId="7" borderId="6" xfId="0" applyFont="1" applyFill="1" applyBorder="1" applyAlignment="1" applyProtection="1">
      <alignment wrapText="1"/>
      <protection hidden="1"/>
    </xf>
    <xf numFmtId="0" fontId="0" fillId="0" borderId="6" xfId="0" applyFont="1" applyBorder="1" applyAlignment="1" applyProtection="1">
      <alignment wrapText="1"/>
      <protection hidden="1"/>
    </xf>
    <xf numFmtId="0" fontId="0" fillId="6" borderId="6" xfId="30" applyFont="1" applyFill="1" applyBorder="1" applyAlignment="1" applyProtection="1">
      <alignment wrapText="1"/>
      <protection hidden="1"/>
    </xf>
    <xf numFmtId="0" fontId="0" fillId="6" borderId="6" xfId="30" applyFont="1" applyFill="1" applyBorder="1" applyAlignment="1" applyProtection="1">
      <alignment horizontal="left" wrapText="1"/>
      <protection hidden="1"/>
    </xf>
    <xf numFmtId="0" fontId="0" fillId="6" borderId="6" xfId="30" applyFont="1" applyFill="1" applyBorder="1" applyAlignment="1" applyProtection="1" quotePrefix="1">
      <alignment wrapText="1"/>
      <protection hidden="1"/>
    </xf>
    <xf numFmtId="0" fontId="0" fillId="6" borderId="6" xfId="0" applyFont="1" applyFill="1" applyBorder="1" applyAlignment="1" applyProtection="1">
      <alignment wrapText="1"/>
      <protection hidden="1"/>
    </xf>
    <xf numFmtId="0" fontId="19" fillId="0" borderId="6" xfId="0" applyFont="1" applyFill="1" applyBorder="1" applyAlignment="1">
      <alignment vertical="top" wrapText="1"/>
    </xf>
    <xf numFmtId="0" fontId="0" fillId="6" borderId="0" xfId="0" applyFont="1" applyFill="1" applyAlignment="1" applyProtection="1">
      <alignment wrapText="1"/>
      <protection/>
    </xf>
    <xf numFmtId="0" fontId="0" fillId="0" borderId="0" xfId="0" applyAlignment="1" applyProtection="1">
      <alignment/>
      <protection locked="0"/>
    </xf>
    <xf numFmtId="2" fontId="0" fillId="2" borderId="15" xfId="0" applyNumberFormat="1" applyFont="1" applyFill="1" applyBorder="1" applyAlignment="1" applyProtection="1">
      <alignment horizontal="center"/>
      <protection hidden="1"/>
    </xf>
    <xf numFmtId="0" fontId="0" fillId="0" borderId="0" xfId="0" applyFont="1" applyAlignment="1" applyProtection="1" quotePrefix="1">
      <alignment horizontal="right"/>
      <protection hidden="1"/>
    </xf>
    <xf numFmtId="0" fontId="68" fillId="6" borderId="0" xfId="0" applyFont="1" applyFill="1" applyAlignment="1" applyProtection="1">
      <alignment vertical="center"/>
      <protection locked="0"/>
    </xf>
    <xf numFmtId="0" fontId="68" fillId="6" borderId="0" xfId="0" applyFont="1" applyFill="1" applyAlignment="1" applyProtection="1">
      <alignment vertical="center"/>
      <protection/>
    </xf>
    <xf numFmtId="0" fontId="19" fillId="6" borderId="0" xfId="0" applyFont="1" applyFill="1" applyProtection="1">
      <protection locked="0"/>
    </xf>
    <xf numFmtId="0" fontId="69" fillId="6" borderId="0" xfId="0" applyFont="1" applyFill="1" applyProtection="1">
      <protection locked="0"/>
    </xf>
    <xf numFmtId="0" fontId="70" fillId="6" borderId="0" xfId="0" applyFont="1" applyFill="1" applyAlignment="1" applyProtection="1">
      <alignment wrapText="1"/>
      <protection locked="0"/>
    </xf>
    <xf numFmtId="3" fontId="71" fillId="6" borderId="0" xfId="0" applyNumberFormat="1" applyFont="1" applyFill="1" applyAlignment="1" applyProtection="1">
      <alignment vertical="center" wrapText="1"/>
      <protection locked="0"/>
    </xf>
    <xf numFmtId="0" fontId="19" fillId="6" borderId="0" xfId="0" applyFont="1" applyFill="1" applyAlignment="1" applyProtection="1">
      <alignment/>
      <protection locked="0"/>
    </xf>
    <xf numFmtId="3" fontId="71" fillId="6" borderId="0" xfId="0" applyNumberFormat="1" applyFont="1" applyFill="1" applyAlignment="1" applyProtection="1">
      <alignment wrapText="1"/>
      <protection locked="0"/>
    </xf>
    <xf numFmtId="3" fontId="71" fillId="6" borderId="0" xfId="0" applyNumberFormat="1" applyFont="1" applyFill="1" applyAlignment="1" applyProtection="1">
      <alignment horizontal="center" vertical="center"/>
      <protection locked="0"/>
    </xf>
    <xf numFmtId="0" fontId="19" fillId="6" borderId="0" xfId="0" applyFont="1" applyFill="1" applyAlignment="1" applyProtection="1">
      <alignment horizontal="center"/>
      <protection locked="0"/>
    </xf>
    <xf numFmtId="0" fontId="19" fillId="6" borderId="0" xfId="0" applyFont="1" applyFill="1" applyAlignment="1" applyProtection="1" quotePrefix="1">
      <alignment horizontal="center"/>
      <protection locked="0"/>
    </xf>
    <xf numFmtId="0" fontId="19" fillId="6" borderId="0" xfId="0" applyFont="1" applyFill="1"/>
    <xf numFmtId="0" fontId="19" fillId="6" borderId="0" xfId="0" applyFont="1" applyFill="1" applyBorder="1" applyProtection="1">
      <protection locked="0"/>
    </xf>
    <xf numFmtId="0" fontId="19" fillId="6" borderId="0" xfId="0" applyFont="1" applyFill="1" applyBorder="1"/>
    <xf numFmtId="0" fontId="19" fillId="6" borderId="0" xfId="0" applyFont="1" applyFill="1" applyAlignment="1" applyProtection="1">
      <alignment vertical="center"/>
      <protection locked="0"/>
    </xf>
    <xf numFmtId="0" fontId="19" fillId="6" borderId="0" xfId="0" applyFont="1" applyFill="1" applyAlignment="1">
      <alignment vertical="center"/>
    </xf>
    <xf numFmtId="0" fontId="19" fillId="6" borderId="0" xfId="0" applyFont="1" applyFill="1" applyAlignment="1" applyProtection="1">
      <alignment vertical="top"/>
      <protection locked="0"/>
    </xf>
    <xf numFmtId="0" fontId="19" fillId="6" borderId="0" xfId="0" applyFont="1" applyFill="1" applyAlignment="1">
      <alignment vertical="top"/>
    </xf>
    <xf numFmtId="0" fontId="19" fillId="6" borderId="0" xfId="0" applyFont="1" applyFill="1" applyAlignment="1">
      <alignment/>
    </xf>
    <xf numFmtId="0" fontId="71" fillId="6" borderId="0" xfId="0" applyFont="1" applyFill="1" applyBorder="1" applyAlignment="1" applyProtection="1">
      <alignment vertical="center" wrapText="1"/>
      <protection locked="0"/>
    </xf>
    <xf numFmtId="0" fontId="2" fillId="6" borderId="0" xfId="0" applyFont="1" applyFill="1" applyAlignment="1">
      <alignment horizontal="left"/>
    </xf>
    <xf numFmtId="0" fontId="0" fillId="6" borderId="0" xfId="0" applyFill="1" applyAlignment="1">
      <alignment horizontal="center"/>
    </xf>
    <xf numFmtId="0" fontId="3" fillId="6" borderId="6" xfId="0" applyFont="1" applyFill="1" applyBorder="1" applyAlignment="1">
      <alignment horizontal="center" wrapText="1"/>
    </xf>
    <xf numFmtId="0" fontId="3" fillId="6" borderId="6" xfId="0" applyFont="1" applyFill="1" applyBorder="1" applyAlignment="1">
      <alignment horizontal="center" vertical="center" wrapText="1"/>
    </xf>
    <xf numFmtId="0" fontId="2" fillId="6" borderId="0" xfId="0" applyFont="1" applyFill="1" applyAlignment="1">
      <alignment wrapText="1"/>
    </xf>
    <xf numFmtId="0" fontId="19" fillId="6" borderId="0" xfId="0" applyFont="1" applyFill="1" applyAlignment="1" applyProtection="1">
      <alignment horizontal="center"/>
      <protection locked="0"/>
    </xf>
    <xf numFmtId="0" fontId="19" fillId="6" borderId="0" xfId="0" applyFont="1" applyFill="1" applyAlignment="1">
      <alignment horizontal="center"/>
    </xf>
    <xf numFmtId="0" fontId="19" fillId="6" borderId="0" xfId="0" applyFont="1" applyFill="1" applyProtection="1">
      <protection hidden="1"/>
    </xf>
    <xf numFmtId="0" fontId="0" fillId="6" borderId="0" xfId="23" applyFill="1" applyProtection="1">
      <alignment/>
      <protection/>
    </xf>
    <xf numFmtId="0" fontId="0" fillId="6" borderId="0" xfId="23" applyFill="1">
      <alignment/>
      <protection/>
    </xf>
    <xf numFmtId="0" fontId="19" fillId="6" borderId="0" xfId="23" applyFont="1" applyFill="1" applyProtection="1">
      <alignment/>
      <protection/>
    </xf>
    <xf numFmtId="0" fontId="19" fillId="6" borderId="0" xfId="23" applyFont="1" applyFill="1">
      <alignment/>
      <protection/>
    </xf>
    <xf numFmtId="0" fontId="19" fillId="6" borderId="0" xfId="0" applyFont="1" applyFill="1" applyProtection="1">
      <protection/>
    </xf>
    <xf numFmtId="0" fontId="2" fillId="0" borderId="6" xfId="0" applyFont="1" applyBorder="1" applyAlignment="1" applyProtection="1">
      <alignment horizontal="right"/>
      <protection hidden="1"/>
    </xf>
    <xf numFmtId="0" fontId="2" fillId="6" borderId="6" xfId="0" applyFont="1" applyFill="1" applyBorder="1" applyAlignment="1" applyProtection="1">
      <alignment vertical="center" wrapText="1"/>
      <protection hidden="1"/>
    </xf>
    <xf numFmtId="0" fontId="2" fillId="6" borderId="6" xfId="0" applyFont="1" applyFill="1" applyBorder="1" applyAlignment="1" applyProtection="1">
      <alignment horizontal="center" vertical="center" wrapText="1"/>
      <protection hidden="1"/>
    </xf>
    <xf numFmtId="2" fontId="2" fillId="2" borderId="6" xfId="0" applyNumberFormat="1" applyFont="1" applyFill="1" applyBorder="1" applyAlignment="1" applyProtection="1">
      <alignment horizontal="center" vertical="center"/>
      <protection hidden="1"/>
    </xf>
    <xf numFmtId="168" fontId="2" fillId="6" borderId="6" xfId="0" applyNumberFormat="1" applyFont="1" applyFill="1" applyBorder="1" applyAlignment="1" applyProtection="1">
      <alignment horizontal="center" vertical="center"/>
      <protection hidden="1"/>
    </xf>
    <xf numFmtId="169" fontId="2" fillId="2" borderId="6" xfId="0" applyNumberFormat="1" applyFont="1" applyFill="1" applyBorder="1" applyAlignment="1" applyProtection="1">
      <alignment horizontal="center" vertical="center"/>
      <protection hidden="1"/>
    </xf>
    <xf numFmtId="1" fontId="2" fillId="2" borderId="6" xfId="0" applyNumberFormat="1" applyFont="1" applyFill="1" applyBorder="1" applyAlignment="1" applyProtection="1">
      <alignment horizontal="center" vertical="center"/>
      <protection hidden="1"/>
    </xf>
    <xf numFmtId="0" fontId="72" fillId="2" borderId="0" xfId="0" applyFont="1" applyFill="1" applyBorder="1" applyProtection="1">
      <protection hidden="1"/>
    </xf>
    <xf numFmtId="0" fontId="21" fillId="0" borderId="0" xfId="0" applyFont="1"/>
    <xf numFmtId="0" fontId="2" fillId="0" borderId="0" xfId="0" applyFont="1"/>
    <xf numFmtId="0" fontId="73" fillId="2" borderId="0" xfId="0" applyFont="1" applyFill="1" applyBorder="1" applyProtection="1">
      <protection hidden="1"/>
    </xf>
    <xf numFmtId="0" fontId="3" fillId="3" borderId="6" xfId="0" applyFont="1" applyFill="1" applyBorder="1" applyAlignment="1" applyProtection="1">
      <alignment horizontal="center" wrapText="1"/>
      <protection hidden="1"/>
    </xf>
    <xf numFmtId="49" fontId="2" fillId="5" borderId="6" xfId="0" applyNumberFormat="1" applyFont="1" applyFill="1" applyBorder="1" applyAlignment="1" applyProtection="1" quotePrefix="1">
      <alignment horizontal="center" vertical="center"/>
      <protection locked="0"/>
    </xf>
    <xf numFmtId="49" fontId="2" fillId="5" borderId="6" xfId="0" applyNumberFormat="1" applyFont="1" applyFill="1" applyBorder="1" applyAlignment="1" applyProtection="1">
      <alignment horizontal="center" vertical="center"/>
      <protection locked="0"/>
    </xf>
    <xf numFmtId="49" fontId="2" fillId="6" borderId="6" xfId="0" applyNumberFormat="1" applyFont="1" applyFill="1" applyBorder="1" applyAlignment="1" applyProtection="1">
      <alignment horizontal="center" vertical="center" wrapText="1"/>
      <protection hidden="1"/>
    </xf>
    <xf numFmtId="49" fontId="2" fillId="8" borderId="6" xfId="0" applyNumberFormat="1" applyFont="1" applyFill="1" applyBorder="1" applyAlignment="1" applyProtection="1">
      <alignment horizontal="center" vertical="center"/>
      <protection locked="0"/>
    </xf>
    <xf numFmtId="0" fontId="46" fillId="6" borderId="0" xfId="0" applyFont="1" applyFill="1" applyAlignment="1" applyProtection="1">
      <alignment vertical="center"/>
      <protection/>
    </xf>
    <xf numFmtId="0" fontId="0" fillId="11" borderId="6" xfId="0" applyFill="1" applyBorder="1" applyAlignment="1" applyProtection="1">
      <alignment/>
      <protection locked="0"/>
    </xf>
    <xf numFmtId="0" fontId="0" fillId="6" borderId="0" xfId="0" applyFill="1" applyAlignment="1" applyProtection="1">
      <alignment/>
      <protection/>
    </xf>
    <xf numFmtId="2" fontId="3" fillId="5" borderId="6" xfId="0" applyNumberFormat="1" applyFont="1" applyFill="1" applyBorder="1" applyAlignment="1" applyProtection="1">
      <alignment horizontal="center" vertical="center"/>
      <protection locked="0"/>
    </xf>
    <xf numFmtId="0" fontId="2" fillId="6" borderId="6" xfId="0" applyFont="1" applyFill="1" applyBorder="1" applyAlignment="1">
      <alignment horizontal="center" vertical="center" wrapText="1"/>
    </xf>
    <xf numFmtId="0" fontId="2" fillId="6" borderId="6" xfId="0" applyNumberFormat="1" applyFont="1" applyFill="1" applyBorder="1" applyAlignment="1">
      <alignment horizontal="center" vertical="center" wrapText="1"/>
    </xf>
    <xf numFmtId="0" fontId="2" fillId="6" borderId="6" xfId="0" applyFont="1" applyFill="1" applyBorder="1" applyAlignment="1">
      <alignment vertical="center" wrapText="1"/>
    </xf>
    <xf numFmtId="0" fontId="19" fillId="6" borderId="10" xfId="0" applyFont="1" applyFill="1" applyBorder="1" applyProtection="1">
      <protection locked="0"/>
    </xf>
    <xf numFmtId="0" fontId="19" fillId="6" borderId="68" xfId="0" applyFont="1" applyFill="1" applyBorder="1" applyProtection="1">
      <protection locked="0"/>
    </xf>
    <xf numFmtId="0" fontId="19" fillId="6" borderId="17" xfId="0" applyFont="1" applyFill="1" applyBorder="1" applyProtection="1">
      <protection locked="0"/>
    </xf>
    <xf numFmtId="0" fontId="19" fillId="6" borderId="16" xfId="0" applyFont="1" applyFill="1" applyBorder="1" applyProtection="1">
      <protection locked="0"/>
    </xf>
    <xf numFmtId="0" fontId="0" fillId="6" borderId="0" xfId="0" applyFont="1" applyFill="1" applyAlignment="1" applyProtection="1">
      <alignment/>
      <protection locked="0"/>
    </xf>
    <xf numFmtId="0" fontId="0" fillId="6" borderId="6" xfId="0" applyFill="1" applyBorder="1" applyAlignment="1" applyProtection="1">
      <alignment shrinkToFit="1"/>
      <protection locked="0"/>
    </xf>
    <xf numFmtId="0" fontId="0" fillId="6" borderId="6" xfId="0" applyFill="1" applyBorder="1" applyAlignment="1" applyProtection="1">
      <alignment horizontal="right" shrinkToFit="1"/>
      <protection locked="0"/>
    </xf>
    <xf numFmtId="0" fontId="0" fillId="6" borderId="6" xfId="0" applyFill="1" applyBorder="1" applyAlignment="1" applyProtection="1">
      <alignment horizontal="center" shrinkToFit="1"/>
      <protection locked="0"/>
    </xf>
    <xf numFmtId="0" fontId="19" fillId="6" borderId="0" xfId="0" applyFont="1" applyFill="1" applyAlignment="1" applyProtection="1">
      <alignment vertical="top"/>
      <protection locked="0"/>
    </xf>
    <xf numFmtId="0" fontId="0" fillId="6" borderId="0" xfId="0" applyFont="1" applyFill="1" applyAlignment="1">
      <alignment horizontal="right" vertical="top" wrapText="1"/>
    </xf>
    <xf numFmtId="0" fontId="0" fillId="14" borderId="36" xfId="0" applyFont="1" applyFill="1" applyBorder="1" applyAlignment="1" applyProtection="1">
      <alignment horizontal="left" vertical="top" wrapText="1"/>
      <protection locked="0"/>
    </xf>
    <xf numFmtId="0" fontId="2" fillId="6" borderId="0" xfId="0" applyFont="1" applyFill="1" applyAlignment="1">
      <alignment horizontal="right"/>
    </xf>
    <xf numFmtId="0" fontId="0" fillId="6" borderId="0" xfId="0" applyFill="1" applyAlignment="1">
      <alignment horizontal="left" vertical="top" wrapText="1"/>
    </xf>
    <xf numFmtId="0" fontId="0" fillId="6" borderId="0" xfId="0" applyFill="1" applyAlignment="1">
      <alignment horizontal="left" wrapText="1"/>
    </xf>
    <xf numFmtId="0" fontId="0" fillId="6" borderId="0" xfId="0" applyFill="1" applyAlignment="1">
      <alignment horizontal="center"/>
    </xf>
    <xf numFmtId="0" fontId="0" fillId="6" borderId="36" xfId="0" applyFont="1" applyFill="1" applyBorder="1" applyProtection="1">
      <protection locked="0"/>
    </xf>
    <xf numFmtId="0" fontId="0" fillId="6" borderId="36" xfId="0" applyFont="1" applyFill="1" applyBorder="1" applyAlignment="1" applyProtection="1">
      <alignment horizontal="center"/>
      <protection locked="0"/>
    </xf>
    <xf numFmtId="0" fontId="0" fillId="6" borderId="36" xfId="0" applyFont="1" applyFill="1" applyBorder="1" applyAlignment="1" applyProtection="1">
      <alignment horizontal="left" vertical="top" wrapText="1"/>
      <protection locked="0"/>
    </xf>
    <xf numFmtId="0" fontId="0" fillId="0" borderId="10" xfId="0" applyFont="1" applyBorder="1" applyAlignment="1">
      <alignment vertical="center" wrapText="1"/>
    </xf>
    <xf numFmtId="0" fontId="3" fillId="6" borderId="0" xfId="0" applyFont="1" applyFill="1" applyAlignment="1">
      <alignment horizontal="left" vertical="center"/>
    </xf>
    <xf numFmtId="0" fontId="0" fillId="6" borderId="36" xfId="0" applyFill="1" applyBorder="1" applyAlignment="1" applyProtection="1">
      <alignment vertical="center"/>
      <protection locked="0"/>
    </xf>
    <xf numFmtId="0" fontId="0" fillId="6" borderId="0" xfId="0" applyFont="1" applyFill="1" applyAlignment="1" quotePrefix="1">
      <alignment vertical="center"/>
    </xf>
    <xf numFmtId="0" fontId="2" fillId="0" borderId="0" xfId="0" applyFont="1" applyProtection="1">
      <protection locked="0"/>
    </xf>
    <xf numFmtId="0" fontId="3" fillId="6" borderId="0" xfId="0" applyFont="1" applyFill="1" applyAlignment="1" applyProtection="1">
      <alignment horizontal="right"/>
      <protection locked="0"/>
    </xf>
    <xf numFmtId="0" fontId="19" fillId="0" borderId="0" xfId="0" applyFont="1" applyProtection="1">
      <protection locked="0"/>
    </xf>
    <xf numFmtId="0" fontId="19" fillId="0" borderId="0" xfId="0" applyFont="1" applyAlignment="1" applyProtection="1">
      <alignment vertical="top"/>
      <protection locked="0"/>
    </xf>
    <xf numFmtId="173" fontId="2" fillId="6" borderId="6" xfId="0" applyNumberFormat="1" applyFont="1" applyFill="1" applyBorder="1" applyAlignment="1" applyProtection="1">
      <alignment horizontal="center" vertical="center"/>
      <protection hidden="1"/>
    </xf>
    <xf numFmtId="173" fontId="23" fillId="7" borderId="6" xfId="0" applyNumberFormat="1" applyFont="1" applyFill="1" applyBorder="1" applyAlignment="1" applyProtection="1">
      <alignment horizontal="center" vertical="center"/>
      <protection hidden="1"/>
    </xf>
    <xf numFmtId="0" fontId="48" fillId="6" borderId="0" xfId="0" applyFont="1" applyFill="1" applyProtection="1">
      <protection hidden="1"/>
    </xf>
    <xf numFmtId="0" fontId="2" fillId="6" borderId="0" xfId="0" applyFont="1" applyFill="1" applyAlignment="1">
      <alignment horizontal="center"/>
    </xf>
    <xf numFmtId="0" fontId="0" fillId="6" borderId="0" xfId="0" applyFill="1" applyAlignment="1">
      <alignment horizontal="left" vertical="center"/>
    </xf>
    <xf numFmtId="0" fontId="74" fillId="6" borderId="0" xfId="0" applyFont="1" applyFill="1"/>
    <xf numFmtId="0" fontId="74" fillId="0" borderId="0" xfId="0" applyFont="1" applyProtection="1">
      <protection locked="0"/>
    </xf>
    <xf numFmtId="0" fontId="74" fillId="0" borderId="0" xfId="0" applyFont="1"/>
    <xf numFmtId="0" fontId="0" fillId="0" borderId="0" xfId="0" applyFont="1" applyProtection="1">
      <protection hidden="1" locked="0"/>
    </xf>
    <xf numFmtId="0" fontId="0" fillId="6" borderId="0" xfId="0" applyFont="1" applyFill="1" applyAlignment="1">
      <alignment horizontal="left" vertical="top"/>
    </xf>
    <xf numFmtId="0" fontId="21" fillId="6" borderId="0" xfId="0" applyFont="1" applyFill="1" applyProtection="1">
      <protection locked="0"/>
    </xf>
    <xf numFmtId="3" fontId="21" fillId="6" borderId="0" xfId="0" applyNumberFormat="1" applyFont="1" applyFill="1" applyAlignment="1" applyProtection="1">
      <alignment vertical="center" wrapText="1"/>
      <protection locked="0"/>
    </xf>
    <xf numFmtId="0" fontId="0" fillId="6" borderId="15" xfId="0" applyFont="1" applyFill="1" applyBorder="1" applyAlignment="1">
      <alignment horizontal="left" vertical="center"/>
    </xf>
    <xf numFmtId="0" fontId="0" fillId="6" borderId="57" xfId="0" applyFont="1" applyFill="1" applyBorder="1" applyAlignment="1">
      <alignment horizontal="left" vertical="center"/>
    </xf>
    <xf numFmtId="0" fontId="0" fillId="6" borderId="0" xfId="0" applyFont="1" applyFill="1" applyAlignment="1" quotePrefix="1">
      <alignment horizontal="right" vertical="top"/>
    </xf>
    <xf numFmtId="0" fontId="2" fillId="6" borderId="0" xfId="0" applyFont="1" applyFill="1" applyAlignment="1">
      <alignment horizontal="center"/>
    </xf>
    <xf numFmtId="0" fontId="0" fillId="6" borderId="0" xfId="0" applyFill="1" applyAlignment="1">
      <alignment horizontal="left" wrapText="1"/>
    </xf>
    <xf numFmtId="0" fontId="0" fillId="6" borderId="0" xfId="0" applyFill="1" applyAlignment="1">
      <alignment horizontal="left" vertical="top" wrapText="1"/>
    </xf>
    <xf numFmtId="0" fontId="0" fillId="6" borderId="0" xfId="0" applyFill="1" applyAlignment="1">
      <alignment horizontal="center"/>
    </xf>
    <xf numFmtId="0" fontId="19" fillId="6" borderId="0" xfId="0" applyFont="1" applyFill="1" applyAlignment="1" applyProtection="1">
      <alignment vertical="center"/>
      <protection locked="0"/>
    </xf>
    <xf numFmtId="0" fontId="60" fillId="6" borderId="10" xfId="0" applyFont="1" applyFill="1" applyBorder="1" applyAlignment="1">
      <alignment vertical="top" wrapText="1"/>
    </xf>
    <xf numFmtId="0" fontId="60" fillId="6" borderId="0" xfId="0" applyFont="1" applyFill="1" applyBorder="1" applyAlignment="1">
      <alignment vertical="top" wrapText="1"/>
    </xf>
    <xf numFmtId="0" fontId="60" fillId="6" borderId="68" xfId="0" applyFont="1" applyFill="1" applyBorder="1" applyAlignment="1">
      <alignment vertical="top" wrapText="1"/>
    </xf>
    <xf numFmtId="0" fontId="60" fillId="6" borderId="16" xfId="0" applyFont="1" applyFill="1" applyBorder="1" applyAlignment="1">
      <alignment vertical="top" wrapText="1"/>
    </xf>
    <xf numFmtId="0" fontId="60" fillId="6" borderId="36" xfId="0" applyFont="1" applyFill="1" applyBorder="1" applyAlignment="1">
      <alignment vertical="top" wrapText="1"/>
    </xf>
    <xf numFmtId="0" fontId="60" fillId="6" borderId="17" xfId="0" applyFont="1" applyFill="1" applyBorder="1" applyAlignment="1">
      <alignment vertical="top" wrapText="1"/>
    </xf>
    <xf numFmtId="0" fontId="0" fillId="0" borderId="6" xfId="0" applyFont="1" applyBorder="1" applyAlignment="1">
      <alignment wrapText="1"/>
    </xf>
    <xf numFmtId="0" fontId="0" fillId="0" borderId="6" xfId="0" applyFont="1" applyBorder="1" applyAlignment="1">
      <alignment vertical="top" wrapText="1"/>
    </xf>
    <xf numFmtId="0" fontId="0" fillId="0" borderId="0" xfId="0" applyFont="1" applyFill="1" applyBorder="1" applyAlignment="1">
      <alignment wrapText="1"/>
    </xf>
    <xf numFmtId="0" fontId="51" fillId="6" borderId="0" xfId="30" applyFont="1" applyFill="1" applyBorder="1" applyAlignment="1" applyProtection="1">
      <alignment/>
      <protection hidden="1"/>
    </xf>
    <xf numFmtId="0" fontId="51" fillId="6" borderId="0" xfId="30" applyFont="1" applyFill="1" applyBorder="1" applyAlignment="1" applyProtection="1">
      <alignment horizontal="left"/>
      <protection hidden="1"/>
    </xf>
    <xf numFmtId="0" fontId="51" fillId="6" borderId="0" xfId="30" applyFont="1" applyFill="1" applyBorder="1" applyAlignment="1" applyProtection="1" quotePrefix="1">
      <alignment/>
      <protection hidden="1"/>
    </xf>
    <xf numFmtId="0" fontId="75" fillId="6" borderId="0" xfId="28" applyFont="1" applyFill="1" applyBorder="1" applyProtection="1">
      <alignment/>
      <protection hidden="1"/>
    </xf>
    <xf numFmtId="0" fontId="50" fillId="6" borderId="0" xfId="0" applyFont="1" applyFill="1" applyBorder="1" applyProtection="1">
      <protection hidden="1"/>
    </xf>
    <xf numFmtId="0" fontId="51" fillId="6" borderId="0" xfId="28" applyFont="1" applyFill="1" applyBorder="1" applyProtection="1">
      <alignment/>
      <protection hidden="1"/>
    </xf>
    <xf numFmtId="0" fontId="75" fillId="6" borderId="0" xfId="28" applyFont="1" applyFill="1" applyProtection="1">
      <alignment/>
      <protection hidden="1"/>
    </xf>
    <xf numFmtId="0" fontId="51" fillId="6" borderId="0" xfId="28" applyFont="1" applyFill="1" applyProtection="1">
      <alignment/>
      <protection hidden="1"/>
    </xf>
    <xf numFmtId="0" fontId="51" fillId="6" borderId="0" xfId="0" applyFont="1" applyFill="1" applyProtection="1">
      <protection hidden="1"/>
    </xf>
    <xf numFmtId="0" fontId="0" fillId="11" borderId="6" xfId="0" applyFill="1" applyBorder="1" applyAlignment="1" applyProtection="1">
      <alignment vertical="center"/>
      <protection locked="0"/>
    </xf>
    <xf numFmtId="0" fontId="19" fillId="6" borderId="0" xfId="0" applyFont="1" applyFill="1" applyAlignment="1" applyProtection="1">
      <alignment horizontal="left"/>
      <protection hidden="1"/>
    </xf>
    <xf numFmtId="0" fontId="0" fillId="6" borderId="0" xfId="0" applyFill="1" applyAlignment="1" applyProtection="1">
      <alignment horizontal="left"/>
      <protection hidden="1"/>
    </xf>
    <xf numFmtId="0" fontId="0" fillId="6" borderId="6" xfId="0" applyFill="1" applyBorder="1" applyAlignment="1">
      <alignment horizontal="center" vertical="center" wrapText="1"/>
    </xf>
    <xf numFmtId="2" fontId="57" fillId="6" borderId="6" xfId="0" applyNumberFormat="1" applyFont="1" applyFill="1" applyBorder="1" applyAlignment="1">
      <alignment horizontal="center" vertical="center" wrapText="1"/>
    </xf>
    <xf numFmtId="0" fontId="1" fillId="6" borderId="0" xfId="30" applyFill="1" applyAlignment="1" applyProtection="1">
      <alignment horizontal="left"/>
      <protection/>
    </xf>
    <xf numFmtId="0" fontId="51" fillId="6" borderId="0" xfId="28" applyFont="1" applyFill="1" applyAlignment="1" applyProtection="1">
      <alignment vertical="top"/>
      <protection hidden="1"/>
    </xf>
    <xf numFmtId="49" fontId="51" fillId="6" borderId="0" xfId="30" applyNumberFormat="1" applyFont="1" applyFill="1" applyBorder="1" applyAlignment="1" applyProtection="1" quotePrefix="1">
      <alignment horizontal="center"/>
      <protection hidden="1"/>
    </xf>
    <xf numFmtId="49" fontId="51" fillId="6" borderId="0" xfId="30" applyNumberFormat="1" applyFont="1" applyFill="1" applyBorder="1" applyAlignment="1" applyProtection="1">
      <alignment horizontal="left"/>
      <protection hidden="1"/>
    </xf>
    <xf numFmtId="0" fontId="76" fillId="6" borderId="0" xfId="0" applyFont="1" applyFill="1" applyProtection="1">
      <protection hidden="1"/>
    </xf>
    <xf numFmtId="0" fontId="63" fillId="6" borderId="0" xfId="0" applyFont="1" applyFill="1" applyBorder="1" applyProtection="1">
      <protection hidden="1"/>
    </xf>
    <xf numFmtId="0" fontId="63" fillId="6" borderId="0" xfId="0" applyFont="1" applyFill="1" applyBorder="1" applyAlignment="1" applyProtection="1">
      <alignment horizontal="right"/>
      <protection hidden="1"/>
    </xf>
    <xf numFmtId="0" fontId="46" fillId="6" borderId="0" xfId="30" applyFont="1" applyFill="1" applyBorder="1" applyAlignment="1" applyProtection="1">
      <alignment horizontal="left" vertical="center" wrapText="1"/>
      <protection/>
    </xf>
    <xf numFmtId="0" fontId="46" fillId="6" borderId="0" xfId="0" applyFont="1" applyFill="1" applyAlignment="1" applyProtection="1">
      <alignment horizontal="left" vertical="center" wrapText="1"/>
      <protection/>
    </xf>
    <xf numFmtId="0" fontId="46" fillId="6" borderId="68" xfId="0" applyFont="1" applyFill="1" applyBorder="1" applyAlignment="1" applyProtection="1">
      <alignment horizontal="left" vertical="center" wrapText="1"/>
      <protection/>
    </xf>
    <xf numFmtId="0" fontId="0" fillId="6" borderId="0" xfId="0" applyFont="1" applyFill="1" applyAlignment="1" applyProtection="1">
      <alignment horizontal="left" wrapText="1"/>
      <protection/>
    </xf>
    <xf numFmtId="0" fontId="47" fillId="15" borderId="0" xfId="0" applyFont="1" applyFill="1" applyAlignment="1" applyProtection="1">
      <alignment horizontal="center" vertical="center"/>
      <protection/>
    </xf>
    <xf numFmtId="0" fontId="0" fillId="11" borderId="54" xfId="0" applyFill="1" applyBorder="1" applyAlignment="1" applyProtection="1">
      <alignment vertical="center" wrapText="1"/>
      <protection locked="0"/>
    </xf>
    <xf numFmtId="0" fontId="0" fillId="11" borderId="67" xfId="0" applyFill="1" applyBorder="1" applyAlignment="1" applyProtection="1">
      <alignment vertical="center" wrapText="1"/>
      <protection locked="0"/>
    </xf>
    <xf numFmtId="0" fontId="0" fillId="11" borderId="9" xfId="0" applyFill="1" applyBorder="1" applyAlignment="1" applyProtection="1">
      <alignment vertical="center" wrapText="1"/>
      <protection locked="0"/>
    </xf>
    <xf numFmtId="0" fontId="0" fillId="11" borderId="10" xfId="0" applyFill="1" applyBorder="1" applyAlignment="1" applyProtection="1">
      <alignment vertical="center" wrapText="1"/>
      <protection locked="0"/>
    </xf>
    <xf numFmtId="0" fontId="0" fillId="11" borderId="0" xfId="0" applyFill="1" applyBorder="1" applyAlignment="1" applyProtection="1">
      <alignment vertical="center" wrapText="1"/>
      <protection locked="0"/>
    </xf>
    <xf numFmtId="0" fontId="0" fillId="11" borderId="68" xfId="0" applyFill="1" applyBorder="1" applyAlignment="1" applyProtection="1">
      <alignment vertical="center" wrapText="1"/>
      <protection locked="0"/>
    </xf>
    <xf numFmtId="0" fontId="0" fillId="11" borderId="16" xfId="0" applyFill="1" applyBorder="1" applyAlignment="1" applyProtection="1">
      <alignment vertical="center" wrapText="1"/>
      <protection locked="0"/>
    </xf>
    <xf numFmtId="0" fontId="0" fillId="11" borderId="36" xfId="0" applyFill="1" applyBorder="1" applyAlignment="1" applyProtection="1">
      <alignment vertical="center" wrapText="1"/>
      <protection locked="0"/>
    </xf>
    <xf numFmtId="0" fontId="0" fillId="11" borderId="17" xfId="0" applyFill="1" applyBorder="1" applyAlignment="1" applyProtection="1">
      <alignment vertical="center" wrapText="1"/>
      <protection locked="0"/>
    </xf>
    <xf numFmtId="0" fontId="46" fillId="11" borderId="15" xfId="0" applyFont="1" applyFill="1" applyBorder="1" applyAlignment="1" applyProtection="1">
      <alignment vertical="center" wrapText="1"/>
      <protection locked="0"/>
    </xf>
    <xf numFmtId="0" fontId="46" fillId="11" borderId="57" xfId="0" applyFont="1" applyFill="1" applyBorder="1" applyAlignment="1" applyProtection="1">
      <alignment vertical="center" wrapText="1"/>
      <protection locked="0"/>
    </xf>
    <xf numFmtId="0" fontId="46" fillId="11" borderId="8" xfId="0" applyFont="1" applyFill="1" applyBorder="1" applyAlignment="1" applyProtection="1">
      <alignment vertical="center" wrapText="1"/>
      <protection locked="0"/>
    </xf>
    <xf numFmtId="0" fontId="46" fillId="11" borderId="15" xfId="0" applyFont="1" applyFill="1" applyBorder="1" applyAlignment="1" applyProtection="1">
      <alignment vertical="center"/>
      <protection hidden="1"/>
    </xf>
    <xf numFmtId="0" fontId="46" fillId="11" borderId="57" xfId="0" applyFont="1" applyFill="1" applyBorder="1" applyAlignment="1" applyProtection="1">
      <alignment vertical="center"/>
      <protection hidden="1"/>
    </xf>
    <xf numFmtId="0" fontId="46" fillId="11" borderId="8" xfId="0" applyFont="1" applyFill="1" applyBorder="1" applyAlignment="1" applyProtection="1">
      <alignment vertical="center"/>
      <protection hidden="1"/>
    </xf>
    <xf numFmtId="0" fontId="3" fillId="6" borderId="0" xfId="0" applyFont="1" applyFill="1" applyBorder="1" applyAlignment="1" applyProtection="1">
      <alignment horizontal="right" vertical="center"/>
      <protection hidden="1"/>
    </xf>
    <xf numFmtId="0" fontId="44" fillId="11" borderId="0" xfId="0" applyFont="1" applyFill="1" applyAlignment="1" applyProtection="1">
      <alignment horizontal="center" vertical="center" wrapText="1"/>
      <protection/>
    </xf>
    <xf numFmtId="0" fontId="46" fillId="11" borderId="15" xfId="30" applyFont="1" applyFill="1" applyBorder="1" applyAlignment="1" applyProtection="1">
      <alignment horizontal="left"/>
      <protection locked="0"/>
    </xf>
    <xf numFmtId="0" fontId="46" fillId="11" borderId="57" xfId="30" applyFont="1" applyFill="1" applyBorder="1" applyAlignment="1" applyProtection="1">
      <alignment horizontal="left"/>
      <protection locked="0"/>
    </xf>
    <xf numFmtId="0" fontId="46" fillId="11" borderId="8" xfId="30" applyFont="1" applyFill="1" applyBorder="1" applyAlignment="1" applyProtection="1">
      <alignment horizontal="left"/>
      <protection locked="0"/>
    </xf>
    <xf numFmtId="0" fontId="46" fillId="11" borderId="54" xfId="0" applyFont="1" applyFill="1" applyBorder="1" applyAlignment="1" applyProtection="1">
      <alignment vertical="center" wrapText="1"/>
      <protection locked="0"/>
    </xf>
    <xf numFmtId="0" fontId="46" fillId="11" borderId="67" xfId="0" applyFont="1" applyFill="1" applyBorder="1" applyAlignment="1" applyProtection="1">
      <alignment vertical="center" wrapText="1"/>
      <protection locked="0"/>
    </xf>
    <xf numFmtId="0" fontId="46" fillId="11" borderId="9" xfId="0" applyFont="1" applyFill="1" applyBorder="1" applyAlignment="1" applyProtection="1">
      <alignment vertical="center" wrapText="1"/>
      <protection locked="0"/>
    </xf>
    <xf numFmtId="0" fontId="46" fillId="11" borderId="16" xfId="0" applyFont="1" applyFill="1" applyBorder="1" applyAlignment="1" applyProtection="1">
      <alignment vertical="center" wrapText="1"/>
      <protection locked="0"/>
    </xf>
    <xf numFmtId="0" fontId="46" fillId="11" borderId="36" xfId="0" applyFont="1" applyFill="1" applyBorder="1" applyAlignment="1" applyProtection="1">
      <alignment vertical="center" wrapText="1"/>
      <protection locked="0"/>
    </xf>
    <xf numFmtId="0" fontId="46" fillId="11" borderId="17" xfId="0" applyFont="1" applyFill="1" applyBorder="1" applyAlignment="1" applyProtection="1">
      <alignment vertical="center" wrapText="1"/>
      <protection locked="0"/>
    </xf>
    <xf numFmtId="0" fontId="0" fillId="6" borderId="0" xfId="0" applyFill="1" applyAlignment="1" applyProtection="1">
      <alignment horizontal="center"/>
      <protection/>
    </xf>
    <xf numFmtId="0" fontId="48" fillId="6" borderId="67" xfId="0" applyFont="1" applyFill="1" applyBorder="1" applyAlignment="1" applyProtection="1">
      <alignment horizontal="center"/>
      <protection/>
    </xf>
    <xf numFmtId="0" fontId="0" fillId="6" borderId="0" xfId="0" applyFont="1" applyFill="1" applyAlignment="1" applyProtection="1">
      <alignment horizontal="left" vertical="top" wrapText="1"/>
      <protection/>
    </xf>
    <xf numFmtId="0" fontId="0" fillId="6" borderId="68" xfId="0" applyFont="1" applyFill="1" applyBorder="1" applyAlignment="1" applyProtection="1">
      <alignment horizontal="left" vertical="top" wrapText="1"/>
      <protection/>
    </xf>
    <xf numFmtId="0" fontId="0" fillId="6" borderId="0" xfId="0" applyFont="1" applyFill="1" applyAlignment="1" applyProtection="1">
      <alignment horizontal="justify" vertical="top" wrapText="1"/>
      <protection/>
    </xf>
    <xf numFmtId="0" fontId="0" fillId="6" borderId="0" xfId="0" applyFill="1" applyAlignment="1" applyProtection="1">
      <alignment horizontal="justify" vertical="top" wrapText="1"/>
      <protection/>
    </xf>
    <xf numFmtId="0" fontId="0" fillId="11" borderId="36" xfId="0" applyFont="1" applyFill="1" applyBorder="1" applyAlignment="1" applyProtection="1">
      <alignment horizontal="left"/>
      <protection locked="0"/>
    </xf>
    <xf numFmtId="0" fontId="48" fillId="6" borderId="0" xfId="0" applyFont="1" applyFill="1" applyAlignment="1" applyProtection="1">
      <alignment horizontal="center" vertical="top"/>
      <protection/>
    </xf>
    <xf numFmtId="0" fontId="48" fillId="6" borderId="0" xfId="0" applyFont="1" applyFill="1" applyAlignment="1" applyProtection="1">
      <alignment horizontal="justify" wrapText="1"/>
      <protection/>
    </xf>
    <xf numFmtId="0" fontId="48" fillId="6" borderId="0" xfId="0" applyFont="1" applyFill="1" applyAlignment="1" applyProtection="1">
      <alignment horizontal="justify"/>
      <protection/>
    </xf>
    <xf numFmtId="0" fontId="48" fillId="6" borderId="0" xfId="0" applyFont="1" applyFill="1" applyAlignment="1" applyProtection="1">
      <alignment horizontal="center"/>
      <protection/>
    </xf>
    <xf numFmtId="0" fontId="0" fillId="6" borderId="0" xfId="0" applyFill="1" applyAlignment="1" applyProtection="1">
      <alignment horizontal="center" vertical="top"/>
      <protection/>
    </xf>
    <xf numFmtId="0" fontId="0" fillId="6" borderId="0" xfId="0" applyFill="1" applyAlignment="1" applyProtection="1">
      <alignment horizontal="center" vertical="center"/>
      <protection/>
    </xf>
    <xf numFmtId="0" fontId="0" fillId="11" borderId="36" xfId="0" applyFill="1" applyBorder="1" applyAlignment="1" applyProtection="1">
      <alignment horizontal="center"/>
      <protection locked="0"/>
    </xf>
    <xf numFmtId="0" fontId="3" fillId="5" borderId="15" xfId="0" applyFont="1" applyFill="1" applyBorder="1" applyAlignment="1" applyProtection="1">
      <alignment horizontal="left" vertical="center"/>
      <protection locked="0"/>
    </xf>
    <xf numFmtId="0" fontId="3" fillId="5" borderId="57" xfId="0" applyFont="1" applyFill="1" applyBorder="1" applyAlignment="1" applyProtection="1">
      <alignment horizontal="left" vertical="center"/>
      <protection locked="0"/>
    </xf>
    <xf numFmtId="0" fontId="3" fillId="5" borderId="8" xfId="0" applyFont="1" applyFill="1" applyBorder="1" applyAlignment="1" applyProtection="1">
      <alignment horizontal="left" vertical="center"/>
      <protection locked="0"/>
    </xf>
    <xf numFmtId="0" fontId="3" fillId="3" borderId="15" xfId="0" applyFont="1" applyFill="1" applyBorder="1" applyAlignment="1" applyProtection="1">
      <alignment horizontal="right" wrapText="1"/>
      <protection hidden="1"/>
    </xf>
    <xf numFmtId="0" fontId="3" fillId="3" borderId="8" xfId="0" applyFont="1" applyFill="1" applyBorder="1" applyAlignment="1" applyProtection="1">
      <alignment horizontal="right" wrapText="1"/>
      <protection hidden="1"/>
    </xf>
    <xf numFmtId="0" fontId="3" fillId="3" borderId="15" xfId="0" applyFont="1" applyFill="1" applyBorder="1" applyAlignment="1" applyProtection="1">
      <alignment horizontal="right" vertical="center" wrapText="1"/>
      <protection hidden="1"/>
    </xf>
    <xf numFmtId="0" fontId="3" fillId="3" borderId="8" xfId="0" applyFont="1" applyFill="1" applyBorder="1" applyAlignment="1" applyProtection="1">
      <alignment horizontal="right" vertical="center" wrapText="1"/>
      <protection hidden="1"/>
    </xf>
    <xf numFmtId="0" fontId="3" fillId="3" borderId="15" xfId="0" applyFont="1" applyFill="1" applyBorder="1" applyAlignment="1" applyProtection="1">
      <alignment horizontal="right"/>
      <protection hidden="1"/>
    </xf>
    <xf numFmtId="0" fontId="3" fillId="3" borderId="8" xfId="0" applyFont="1" applyFill="1" applyBorder="1" applyAlignment="1" applyProtection="1">
      <alignment horizontal="right"/>
      <protection hidden="1"/>
    </xf>
    <xf numFmtId="0" fontId="3" fillId="3" borderId="15" xfId="0" applyFont="1" applyFill="1" applyBorder="1" applyAlignment="1" applyProtection="1">
      <alignment horizontal="right" vertical="center"/>
      <protection hidden="1"/>
    </xf>
    <xf numFmtId="0" fontId="3" fillId="3" borderId="8" xfId="0" applyFont="1" applyFill="1" applyBorder="1" applyAlignment="1" applyProtection="1">
      <alignment horizontal="right" vertical="center"/>
      <protection hidden="1"/>
    </xf>
    <xf numFmtId="0" fontId="3" fillId="6" borderId="15" xfId="0" applyFont="1" applyFill="1" applyBorder="1" applyAlignment="1" applyProtection="1">
      <alignment horizontal="left" vertical="center"/>
      <protection hidden="1"/>
    </xf>
    <xf numFmtId="0" fontId="3" fillId="6" borderId="57" xfId="0" applyFont="1" applyFill="1" applyBorder="1" applyAlignment="1" applyProtection="1">
      <alignment horizontal="left" vertical="center"/>
      <protection hidden="1"/>
    </xf>
    <xf numFmtId="0" fontId="3" fillId="6" borderId="8" xfId="0" applyFont="1" applyFill="1" applyBorder="1" applyAlignment="1" applyProtection="1">
      <alignment horizontal="left" vertical="center"/>
      <protection hidden="1"/>
    </xf>
    <xf numFmtId="0" fontId="21" fillId="6" borderId="10" xfId="0" applyFont="1" applyFill="1" applyBorder="1" applyAlignment="1" applyProtection="1">
      <alignment horizontal="left" vertical="center" wrapText="1"/>
      <protection hidden="1"/>
    </xf>
    <xf numFmtId="0" fontId="21" fillId="6" borderId="0" xfId="0" applyFont="1" applyFill="1" applyBorder="1" applyAlignment="1" applyProtection="1">
      <alignment horizontal="left" vertical="center" wrapText="1"/>
      <protection hidden="1"/>
    </xf>
    <xf numFmtId="0" fontId="14" fillId="2" borderId="0" xfId="0" applyFont="1" applyFill="1" applyBorder="1" applyAlignment="1" applyProtection="1">
      <alignment horizontal="left" vertical="top" wrapText="1"/>
      <protection hidden="1"/>
    </xf>
    <xf numFmtId="0" fontId="3" fillId="5" borderId="6" xfId="0" applyFont="1" applyFill="1" applyBorder="1" applyAlignment="1" applyProtection="1">
      <alignment horizontal="left" vertical="center"/>
      <protection locked="0"/>
    </xf>
    <xf numFmtId="0" fontId="65" fillId="7" borderId="0" xfId="0" applyFont="1" applyFill="1" applyAlignment="1" applyProtection="1">
      <alignment horizontal="center" vertical="top"/>
      <protection hidden="1"/>
    </xf>
    <xf numFmtId="0" fontId="3" fillId="3" borderId="15"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2" fontId="3" fillId="6" borderId="10" xfId="0" applyNumberFormat="1" applyFont="1" applyFill="1" applyBorder="1" applyAlignment="1" applyProtection="1">
      <alignment horizontal="center" vertical="center" wrapText="1"/>
      <protection/>
    </xf>
    <xf numFmtId="2" fontId="3" fillId="6" borderId="0" xfId="0" applyNumberFormat="1" applyFont="1" applyFill="1" applyBorder="1" applyAlignment="1" applyProtection="1">
      <alignment horizontal="center" vertical="center" wrapText="1"/>
      <protection/>
    </xf>
    <xf numFmtId="0" fontId="56" fillId="2" borderId="0" xfId="0" applyFont="1" applyFill="1" applyBorder="1" applyAlignment="1" applyProtection="1">
      <alignment horizontal="center" wrapText="1"/>
      <protection hidden="1"/>
    </xf>
    <xf numFmtId="0" fontId="56" fillId="2" borderId="0" xfId="0" applyFont="1" applyFill="1" applyBorder="1" applyAlignment="1" applyProtection="1">
      <alignment horizontal="center" vertical="center"/>
      <protection hidden="1"/>
    </xf>
    <xf numFmtId="0" fontId="3" fillId="0" borderId="0" xfId="0" applyFont="1" applyAlignment="1">
      <alignment horizontal="center" wrapText="1"/>
    </xf>
    <xf numFmtId="0" fontId="3" fillId="3" borderId="15"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2" fontId="0" fillId="6" borderId="15" xfId="0" applyNumberFormat="1" applyFont="1" applyFill="1" applyBorder="1" applyAlignment="1" applyProtection="1">
      <alignment horizontal="left" vertical="center" wrapText="1"/>
      <protection hidden="1"/>
    </xf>
    <xf numFmtId="0" fontId="0" fillId="6" borderId="8" xfId="0" applyNumberFormat="1" applyFont="1" applyFill="1" applyBorder="1" applyAlignment="1" applyProtection="1">
      <alignment horizontal="left" vertical="center" wrapText="1"/>
      <protection hidden="1"/>
    </xf>
    <xf numFmtId="0" fontId="15" fillId="2" borderId="0" xfId="0" applyFont="1" applyFill="1" applyBorder="1" applyAlignment="1" applyProtection="1">
      <alignment horizontal="left" vertical="top" wrapText="1"/>
      <protection hidden="1"/>
    </xf>
    <xf numFmtId="0" fontId="2" fillId="16" borderId="15" xfId="0" applyFont="1" applyFill="1" applyBorder="1" applyAlignment="1" applyProtection="1">
      <alignment horizontal="left" vertical="top" wrapText="1"/>
      <protection locked="0"/>
    </xf>
    <xf numFmtId="0" fontId="6" fillId="16" borderId="57" xfId="0" applyFont="1" applyFill="1" applyBorder="1" applyAlignment="1" applyProtection="1">
      <alignment horizontal="left" vertical="top" wrapText="1"/>
      <protection locked="0"/>
    </xf>
    <xf numFmtId="0" fontId="6" fillId="16" borderId="8" xfId="0" applyFont="1" applyFill="1" applyBorder="1" applyAlignment="1" applyProtection="1">
      <alignment horizontal="left" vertical="top" wrapText="1"/>
      <protection locked="0"/>
    </xf>
    <xf numFmtId="0" fontId="3" fillId="2" borderId="10" xfId="0"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0" fillId="3" borderId="4" xfId="0" applyFont="1" applyFill="1" applyBorder="1" applyAlignment="1" applyProtection="1">
      <alignment horizontal="center" vertical="center" wrapText="1"/>
      <protection hidden="1"/>
    </xf>
    <xf numFmtId="0" fontId="0" fillId="3" borderId="5" xfId="0" applyFont="1" applyFill="1" applyBorder="1" applyAlignment="1" applyProtection="1">
      <alignment horizontal="center" vertical="center" wrapText="1"/>
      <protection hidden="1"/>
    </xf>
    <xf numFmtId="0" fontId="0" fillId="3" borderId="4" xfId="0" applyFont="1" applyFill="1" applyBorder="1" applyAlignment="1" applyProtection="1">
      <alignment horizontal="center" vertical="center"/>
      <protection hidden="1"/>
    </xf>
    <xf numFmtId="0" fontId="0" fillId="3" borderId="5" xfId="0" applyFont="1" applyFill="1" applyBorder="1" applyAlignment="1" applyProtection="1">
      <alignment horizontal="center" vertical="center"/>
      <protection hidden="1"/>
    </xf>
    <xf numFmtId="2" fontId="0" fillId="6" borderId="15" xfId="0" applyNumberFormat="1" applyFont="1" applyFill="1" applyBorder="1" applyAlignment="1" applyProtection="1">
      <alignment horizontal="center" vertical="center" wrapText="1"/>
      <protection hidden="1"/>
    </xf>
    <xf numFmtId="0" fontId="0" fillId="6" borderId="57" xfId="0" applyNumberFormat="1" applyFont="1" applyFill="1" applyBorder="1" applyAlignment="1" applyProtection="1">
      <alignment horizontal="center" vertical="center" wrapText="1"/>
      <protection hidden="1"/>
    </xf>
    <xf numFmtId="0" fontId="0" fillId="6" borderId="8" xfId="0" applyNumberFormat="1" applyFont="1" applyFill="1" applyBorder="1" applyAlignment="1" applyProtection="1">
      <alignment horizontal="center" vertical="center" wrapText="1"/>
      <protection hidden="1"/>
    </xf>
    <xf numFmtId="0" fontId="3" fillId="2" borderId="15" xfId="0" applyFont="1" applyFill="1" applyBorder="1" applyAlignment="1" applyProtection="1">
      <alignment horizontal="left" vertical="center"/>
      <protection hidden="1"/>
    </xf>
    <xf numFmtId="0" fontId="3" fillId="2" borderId="57" xfId="0" applyFont="1" applyFill="1" applyBorder="1" applyAlignment="1" applyProtection="1">
      <alignment horizontal="left" vertical="center"/>
      <protection hidden="1"/>
    </xf>
    <xf numFmtId="0" fontId="3" fillId="2" borderId="8" xfId="0" applyFont="1" applyFill="1" applyBorder="1" applyAlignment="1" applyProtection="1">
      <alignment horizontal="left" vertical="center"/>
      <protection hidden="1"/>
    </xf>
    <xf numFmtId="0" fontId="3" fillId="6" borderId="0" xfId="0" applyFont="1" applyFill="1" applyBorder="1" applyAlignment="1" applyProtection="1">
      <alignment horizontal="right"/>
      <protection hidden="1"/>
    </xf>
    <xf numFmtId="0" fontId="3" fillId="6"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left" wrapText="1"/>
      <protection hidden="1"/>
    </xf>
    <xf numFmtId="0" fontId="0" fillId="0" borderId="0" xfId="0" applyFont="1" applyAlignment="1" applyProtection="1">
      <alignment horizontal="center"/>
      <protection locked="0"/>
    </xf>
    <xf numFmtId="0" fontId="2" fillId="16" borderId="8" xfId="0" applyFont="1" applyFill="1" applyBorder="1" applyAlignment="1" applyProtection="1">
      <alignment horizontal="left" vertical="top" wrapText="1"/>
      <protection locked="0"/>
    </xf>
    <xf numFmtId="0" fontId="2" fillId="16" borderId="0" xfId="0" applyFont="1" applyFill="1" applyBorder="1" applyAlignment="1" applyProtection="1">
      <alignment horizontal="left" vertical="top" wrapText="1"/>
      <protection locked="0"/>
    </xf>
    <xf numFmtId="0" fontId="2" fillId="16" borderId="6" xfId="0" applyFont="1" applyFill="1" applyBorder="1" applyAlignment="1" applyProtection="1">
      <alignment horizontal="left" vertical="top" wrapText="1"/>
      <protection locked="0"/>
    </xf>
    <xf numFmtId="0" fontId="2" fillId="16" borderId="57" xfId="0" applyFont="1" applyFill="1" applyBorder="1" applyAlignment="1" applyProtection="1">
      <alignment horizontal="left" vertical="top" wrapText="1"/>
      <protection locked="0"/>
    </xf>
    <xf numFmtId="14" fontId="9" fillId="6" borderId="15" xfId="0" applyNumberFormat="1" applyFont="1" applyFill="1" applyBorder="1" applyAlignment="1" applyProtection="1">
      <alignment horizontal="right"/>
      <protection hidden="1"/>
    </xf>
    <xf numFmtId="14" fontId="9" fillId="6" borderId="8" xfId="0" applyNumberFormat="1" applyFont="1" applyFill="1" applyBorder="1" applyAlignment="1" applyProtection="1">
      <alignment horizontal="right"/>
      <protection hidden="1"/>
    </xf>
    <xf numFmtId="0" fontId="2" fillId="3" borderId="54" xfId="0" applyFont="1" applyFill="1" applyBorder="1" applyAlignment="1" applyProtection="1">
      <alignment horizontal="center"/>
      <protection hidden="1"/>
    </xf>
    <xf numFmtId="0" fontId="2" fillId="3" borderId="67" xfId="0" applyFont="1" applyFill="1" applyBorder="1" applyAlignment="1" applyProtection="1">
      <alignment horizontal="center"/>
      <protection hidden="1"/>
    </xf>
    <xf numFmtId="0" fontId="2" fillId="3" borderId="9" xfId="0" applyFont="1" applyFill="1" applyBorder="1" applyAlignment="1" applyProtection="1">
      <alignment horizontal="center"/>
      <protection hidden="1"/>
    </xf>
    <xf numFmtId="0" fontId="3" fillId="2" borderId="15" xfId="0" applyFont="1" applyFill="1" applyBorder="1" applyAlignment="1" applyProtection="1">
      <alignment horizontal="center"/>
      <protection hidden="1"/>
    </xf>
    <xf numFmtId="0" fontId="3" fillId="2" borderId="57" xfId="0" applyFont="1" applyFill="1" applyBorder="1" applyAlignment="1" applyProtection="1">
      <alignment horizontal="center"/>
      <protection hidden="1"/>
    </xf>
    <xf numFmtId="0" fontId="3" fillId="2" borderId="8" xfId="0" applyFont="1" applyFill="1" applyBorder="1" applyAlignment="1" applyProtection="1">
      <alignment horizontal="center"/>
      <protection hidden="1"/>
    </xf>
    <xf numFmtId="0" fontId="3" fillId="3" borderId="57" xfId="0" applyFont="1" applyFill="1" applyBorder="1" applyAlignment="1" applyProtection="1">
      <alignment horizontal="center" vertical="center"/>
      <protection hidden="1"/>
    </xf>
    <xf numFmtId="0" fontId="2" fillId="3" borderId="4" xfId="0"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14" fillId="2" borderId="0" xfId="0" applyFont="1" applyFill="1" applyBorder="1" applyAlignment="1" applyProtection="1">
      <alignment vertical="top" wrapText="1"/>
      <protection hidden="1"/>
    </xf>
    <xf numFmtId="0" fontId="2" fillId="3" borderId="15" xfId="0" applyFont="1" applyFill="1" applyBorder="1" applyAlignment="1" applyProtection="1">
      <alignment horizontal="center" wrapText="1"/>
      <protection hidden="1"/>
    </xf>
    <xf numFmtId="0" fontId="2" fillId="3" borderId="57" xfId="0" applyFont="1" applyFill="1" applyBorder="1" applyAlignment="1" applyProtection="1">
      <alignment horizontal="center" wrapText="1"/>
      <protection hidden="1"/>
    </xf>
    <xf numFmtId="0" fontId="2" fillId="3" borderId="8" xfId="0" applyFont="1" applyFill="1" applyBorder="1" applyAlignment="1" applyProtection="1">
      <alignment horizontal="center" wrapText="1"/>
      <protection hidden="1"/>
    </xf>
    <xf numFmtId="0" fontId="2" fillId="3" borderId="4" xfId="0"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2" fontId="0" fillId="6" borderId="10" xfId="0" applyNumberFormat="1" applyFont="1" applyFill="1" applyBorder="1" applyAlignment="1" applyProtection="1">
      <alignment horizontal="left" vertical="center"/>
      <protection hidden="1"/>
    </xf>
    <xf numFmtId="0" fontId="0" fillId="6" borderId="0" xfId="0" applyNumberFormat="1" applyFont="1" applyFill="1" applyBorder="1" applyAlignment="1" applyProtection="1">
      <alignment horizontal="left" vertical="center"/>
      <protection hidden="1"/>
    </xf>
    <xf numFmtId="0" fontId="3" fillId="2" borderId="6" xfId="0" applyFont="1" applyFill="1" applyBorder="1" applyAlignment="1" applyProtection="1">
      <alignment horizontal="left" vertical="center"/>
      <protection hidden="1"/>
    </xf>
    <xf numFmtId="2" fontId="0" fillId="6" borderId="10" xfId="0" applyNumberFormat="1" applyFont="1" applyFill="1" applyBorder="1" applyAlignment="1" applyProtection="1">
      <alignment horizontal="center" vertical="center"/>
      <protection hidden="1"/>
    </xf>
    <xf numFmtId="0" fontId="0" fillId="6" borderId="0" xfId="0" applyNumberFormat="1" applyFont="1" applyFill="1" applyBorder="1" applyAlignment="1" applyProtection="1">
      <alignment horizontal="center" vertical="center"/>
      <protection hidden="1"/>
    </xf>
    <xf numFmtId="2" fontId="16" fillId="6" borderId="15" xfId="0" applyNumberFormat="1" applyFont="1" applyFill="1" applyBorder="1" applyAlignment="1" applyProtection="1">
      <alignment horizontal="left" vertical="center"/>
      <protection/>
    </xf>
    <xf numFmtId="0" fontId="16" fillId="6" borderId="57" xfId="0" applyNumberFormat="1" applyFont="1" applyFill="1" applyBorder="1" applyAlignment="1" applyProtection="1">
      <alignment horizontal="left" vertical="center"/>
      <protection/>
    </xf>
    <xf numFmtId="0" fontId="16" fillId="6" borderId="8" xfId="0" applyNumberFormat="1" applyFont="1" applyFill="1" applyBorder="1" applyAlignment="1" applyProtection="1">
      <alignment horizontal="left" vertical="center"/>
      <protection/>
    </xf>
    <xf numFmtId="0" fontId="2" fillId="16" borderId="15" xfId="0" applyFont="1" applyFill="1" applyBorder="1" applyAlignment="1" applyProtection="1">
      <alignment horizontal="left" vertical="top" wrapText="1"/>
      <protection locked="0"/>
    </xf>
    <xf numFmtId="0" fontId="2" fillId="16" borderId="57" xfId="0" applyFont="1" applyFill="1" applyBorder="1" applyAlignment="1" applyProtection="1">
      <alignment horizontal="left" vertical="top" wrapText="1"/>
      <protection locked="0"/>
    </xf>
    <xf numFmtId="0" fontId="2" fillId="16" borderId="8" xfId="0" applyFont="1" applyFill="1" applyBorder="1" applyAlignment="1" applyProtection="1">
      <alignment horizontal="left" vertical="top" wrapText="1"/>
      <protection locked="0"/>
    </xf>
    <xf numFmtId="0" fontId="3" fillId="3" borderId="15" xfId="0" applyFont="1" applyFill="1" applyBorder="1" applyAlignment="1" applyProtection="1">
      <alignment horizontal="center" vertical="center" wrapText="1"/>
      <protection hidden="1"/>
    </xf>
    <xf numFmtId="0" fontId="3" fillId="3" borderId="57" xfId="0" applyFont="1" applyFill="1" applyBorder="1" applyAlignment="1" applyProtection="1">
      <alignment horizontal="center" vertical="center" wrapText="1"/>
      <protection hidden="1"/>
    </xf>
    <xf numFmtId="2" fontId="0" fillId="6" borderId="15" xfId="0" applyNumberFormat="1" applyFont="1" applyFill="1" applyBorder="1" applyAlignment="1" applyProtection="1">
      <alignment horizontal="left" vertical="center"/>
      <protection hidden="1"/>
    </xf>
    <xf numFmtId="0" fontId="0" fillId="6" borderId="57" xfId="0" applyNumberFormat="1" applyFont="1" applyFill="1" applyBorder="1" applyAlignment="1" applyProtection="1">
      <alignment horizontal="left" vertical="center"/>
      <protection hidden="1"/>
    </xf>
    <xf numFmtId="0" fontId="0" fillId="6" borderId="8" xfId="0" applyNumberFormat="1" applyFont="1" applyFill="1" applyBorder="1" applyAlignment="1" applyProtection="1">
      <alignment horizontal="left" vertical="center"/>
      <protection hidden="1"/>
    </xf>
    <xf numFmtId="0" fontId="3" fillId="7" borderId="6" xfId="23" applyFont="1" applyFill="1" applyBorder="1" applyAlignment="1" applyProtection="1">
      <alignment horizontal="left" vertical="center"/>
      <protection hidden="1"/>
    </xf>
    <xf numFmtId="0" fontId="3" fillId="3" borderId="46" xfId="23" applyFont="1" applyFill="1" applyBorder="1" applyAlignment="1" applyProtection="1">
      <alignment horizontal="right" vertical="center" wrapText="1"/>
      <protection hidden="1"/>
    </xf>
    <xf numFmtId="0" fontId="3" fillId="3" borderId="8" xfId="23" applyFont="1" applyFill="1" applyBorder="1" applyAlignment="1" applyProtection="1">
      <alignment horizontal="right" vertical="center" wrapText="1"/>
      <protection hidden="1"/>
    </xf>
    <xf numFmtId="0" fontId="3" fillId="8" borderId="15" xfId="23" applyFont="1" applyFill="1" applyBorder="1" applyAlignment="1" applyProtection="1">
      <alignment horizontal="center" vertical="center" wrapText="1"/>
      <protection locked="0"/>
    </xf>
    <xf numFmtId="0" fontId="3" fillId="8" borderId="57" xfId="23" applyFont="1" applyFill="1" applyBorder="1" applyAlignment="1" applyProtection="1">
      <alignment horizontal="center" vertical="center" wrapText="1"/>
      <protection locked="0"/>
    </xf>
    <xf numFmtId="0" fontId="3" fillId="8" borderId="56" xfId="23" applyFont="1" applyFill="1" applyBorder="1" applyAlignment="1" applyProtection="1">
      <alignment horizontal="center" vertical="center" wrapText="1"/>
      <protection locked="0"/>
    </xf>
    <xf numFmtId="0" fontId="3" fillId="3" borderId="11" xfId="23" applyFont="1" applyFill="1" applyBorder="1" applyAlignment="1" applyProtection="1">
      <alignment horizontal="right" vertical="center" wrapText="1"/>
      <protection hidden="1"/>
    </xf>
    <xf numFmtId="0" fontId="3" fillId="3" borderId="6" xfId="23" applyFont="1" applyFill="1" applyBorder="1" applyAlignment="1" applyProtection="1">
      <alignment horizontal="right" vertical="center" wrapText="1"/>
      <protection hidden="1"/>
    </xf>
    <xf numFmtId="0" fontId="3" fillId="8" borderId="15" xfId="23" applyFont="1" applyFill="1" applyBorder="1" applyAlignment="1" applyProtection="1">
      <alignment horizontal="center" vertical="center"/>
      <protection locked="0"/>
    </xf>
    <xf numFmtId="0" fontId="3" fillId="8" borderId="57" xfId="23" applyFont="1" applyFill="1" applyBorder="1" applyAlignment="1" applyProtection="1">
      <alignment horizontal="center" vertical="center"/>
      <protection locked="0"/>
    </xf>
    <xf numFmtId="0" fontId="3" fillId="8" borderId="56" xfId="23" applyFont="1" applyFill="1" applyBorder="1" applyAlignment="1" applyProtection="1">
      <alignment horizontal="center" vertical="center"/>
      <protection locked="0"/>
    </xf>
    <xf numFmtId="0" fontId="0" fillId="2" borderId="32" xfId="23" applyFill="1" applyBorder="1" applyAlignment="1" applyProtection="1">
      <alignment horizontal="left" wrapText="1"/>
      <protection hidden="1"/>
    </xf>
    <xf numFmtId="0" fontId="0" fillId="2" borderId="0" xfId="23" applyFill="1" applyBorder="1" applyAlignment="1" applyProtection="1">
      <alignment horizontal="left" wrapText="1"/>
      <protection hidden="1"/>
    </xf>
    <xf numFmtId="0" fontId="3" fillId="3" borderId="11" xfId="23" applyFont="1" applyFill="1" applyBorder="1" applyAlignment="1" applyProtection="1">
      <alignment horizontal="right" vertical="center"/>
      <protection hidden="1"/>
    </xf>
    <xf numFmtId="0" fontId="3" fillId="3" borderId="6" xfId="23" applyFont="1" applyFill="1" applyBorder="1" applyAlignment="1" applyProtection="1">
      <alignment horizontal="right" vertical="center"/>
      <protection hidden="1"/>
    </xf>
    <xf numFmtId="0" fontId="2" fillId="16" borderId="15" xfId="23" applyFont="1" applyFill="1" applyBorder="1" applyAlignment="1" applyProtection="1">
      <alignment horizontal="left" vertical="top" wrapText="1"/>
      <protection locked="0"/>
    </xf>
    <xf numFmtId="0" fontId="2" fillId="16" borderId="57" xfId="23" applyFont="1" applyFill="1" applyBorder="1" applyAlignment="1" applyProtection="1">
      <alignment horizontal="left" vertical="top" wrapText="1"/>
      <protection locked="0"/>
    </xf>
    <xf numFmtId="0" fontId="2" fillId="16" borderId="8" xfId="23" applyFont="1" applyFill="1" applyBorder="1" applyAlignment="1" applyProtection="1">
      <alignment horizontal="left" vertical="top" wrapText="1"/>
      <protection locked="0"/>
    </xf>
    <xf numFmtId="0" fontId="2" fillId="5" borderId="6"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wrapText="1"/>
      <protection hidden="1"/>
    </xf>
    <xf numFmtId="0" fontId="3" fillId="3" borderId="6" xfId="0" applyFont="1" applyFill="1" applyBorder="1" applyAlignment="1" applyProtection="1">
      <alignment horizontal="center" wrapText="1"/>
      <protection hidden="1"/>
    </xf>
    <xf numFmtId="0" fontId="3" fillId="3" borderId="46" xfId="23" applyFont="1" applyFill="1" applyBorder="1" applyAlignment="1" applyProtection="1">
      <alignment horizontal="right" vertical="center"/>
      <protection hidden="1"/>
    </xf>
    <xf numFmtId="0" fontId="3" fillId="3" borderId="8" xfId="23" applyFont="1" applyFill="1" applyBorder="1" applyAlignment="1" applyProtection="1">
      <alignment horizontal="right" vertical="center"/>
      <protection hidden="1"/>
    </xf>
    <xf numFmtId="0" fontId="17" fillId="3" borderId="23" xfId="23" applyFont="1" applyFill="1" applyBorder="1" applyAlignment="1" applyProtection="1">
      <alignment horizontal="center" vertical="center"/>
      <protection hidden="1"/>
    </xf>
    <xf numFmtId="0" fontId="17" fillId="3" borderId="69" xfId="23" applyFont="1" applyFill="1" applyBorder="1" applyAlignment="1" applyProtection="1">
      <alignment horizontal="center" vertical="center"/>
      <protection hidden="1"/>
    </xf>
    <xf numFmtId="0" fontId="17" fillId="3" borderId="70" xfId="23" applyFont="1" applyFill="1" applyBorder="1" applyAlignment="1" applyProtection="1">
      <alignment horizontal="center" vertical="center"/>
      <protection hidden="1"/>
    </xf>
    <xf numFmtId="0" fontId="3" fillId="3" borderId="15" xfId="23" applyFont="1" applyFill="1" applyBorder="1" applyAlignment="1" applyProtection="1">
      <alignment horizontal="right"/>
      <protection hidden="1"/>
    </xf>
    <xf numFmtId="0" fontId="3" fillId="3" borderId="8" xfId="23" applyFont="1" applyFill="1" applyBorder="1" applyAlignment="1" applyProtection="1">
      <alignment horizontal="right"/>
      <protection hidden="1"/>
    </xf>
    <xf numFmtId="0" fontId="3" fillId="2" borderId="15" xfId="23" applyFont="1" applyFill="1" applyBorder="1" applyAlignment="1" applyProtection="1">
      <alignment horizontal="left" vertical="center"/>
      <protection hidden="1"/>
    </xf>
    <xf numFmtId="0" fontId="3" fillId="2" borderId="57" xfId="23" applyFont="1" applyFill="1" applyBorder="1" applyAlignment="1" applyProtection="1">
      <alignment horizontal="left" vertical="center"/>
      <protection hidden="1"/>
    </xf>
    <xf numFmtId="0" fontId="3" fillId="2" borderId="8" xfId="23" applyFont="1" applyFill="1" applyBorder="1" applyAlignment="1" applyProtection="1">
      <alignment horizontal="left" vertical="center"/>
      <protection hidden="1"/>
    </xf>
    <xf numFmtId="0" fontId="3" fillId="3" borderId="12" xfId="0" applyFont="1" applyFill="1" applyBorder="1" applyAlignment="1" applyProtection="1">
      <alignment horizontal="center" wrapText="1"/>
      <protection hidden="1"/>
    </xf>
    <xf numFmtId="0" fontId="3" fillId="3" borderId="13" xfId="0" applyFont="1" applyFill="1" applyBorder="1" applyAlignment="1" applyProtection="1">
      <alignment horizontal="center" wrapText="1"/>
      <protection hidden="1"/>
    </xf>
    <xf numFmtId="2" fontId="0" fillId="6" borderId="15" xfId="0" applyNumberFormat="1" applyFont="1" applyFill="1" applyBorder="1" applyAlignment="1" applyProtection="1">
      <alignment horizontal="center" vertical="center"/>
      <protection hidden="1"/>
    </xf>
    <xf numFmtId="0" fontId="0" fillId="6" borderId="57" xfId="0" applyNumberFormat="1" applyFont="1" applyFill="1" applyBorder="1" applyAlignment="1" applyProtection="1">
      <alignment horizontal="center" vertical="center"/>
      <protection hidden="1"/>
    </xf>
    <xf numFmtId="0" fontId="0" fillId="6" borderId="8" xfId="0" applyNumberFormat="1" applyFont="1" applyFill="1" applyBorder="1" applyAlignment="1" applyProtection="1">
      <alignment horizontal="center" vertical="center"/>
      <protection hidden="1"/>
    </xf>
    <xf numFmtId="0" fontId="3" fillId="3" borderId="46" xfId="23" applyFont="1" applyFill="1" applyBorder="1" applyAlignment="1" applyProtection="1">
      <alignment horizontal="right" wrapText="1"/>
      <protection hidden="1"/>
    </xf>
    <xf numFmtId="0" fontId="3" fillId="3" borderId="8" xfId="23" applyFont="1" applyFill="1" applyBorder="1" applyAlignment="1" applyProtection="1">
      <alignment horizontal="right" wrapText="1"/>
      <protection hidden="1"/>
    </xf>
    <xf numFmtId="0" fontId="0" fillId="6" borderId="0" xfId="0" applyFont="1" applyFill="1" applyAlignment="1">
      <alignment horizontal="left" wrapText="1"/>
    </xf>
    <xf numFmtId="0" fontId="2" fillId="6" borderId="0" xfId="0" applyFont="1" applyFill="1" applyAlignment="1">
      <alignment horizontal="center"/>
    </xf>
    <xf numFmtId="0" fontId="0" fillId="6" borderId="0" xfId="0" applyFont="1" applyFill="1" applyAlignment="1">
      <alignment horizontal="left" vertical="top" wrapText="1"/>
    </xf>
    <xf numFmtId="0" fontId="0" fillId="6" borderId="15"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8" xfId="0" applyFont="1" applyFill="1" applyBorder="1" applyAlignment="1">
      <alignment horizontal="center" vertical="center"/>
    </xf>
    <xf numFmtId="0" fontId="74" fillId="6" borderId="0" xfId="0" applyFont="1" applyFill="1" applyAlignment="1">
      <alignment horizontal="left" vertical="center" wrapText="1"/>
    </xf>
    <xf numFmtId="0" fontId="0" fillId="6" borderId="0" xfId="0" applyFont="1" applyFill="1" applyAlignment="1">
      <alignment horizontal="center"/>
    </xf>
    <xf numFmtId="0" fontId="0" fillId="6" borderId="0" xfId="0" applyFont="1" applyFill="1" applyAlignment="1">
      <alignment horizontal="left"/>
    </xf>
    <xf numFmtId="0" fontId="0" fillId="6" borderId="0" xfId="0" applyFill="1" applyAlignment="1">
      <alignment horizontal="left"/>
    </xf>
    <xf numFmtId="0" fontId="2" fillId="6" borderId="0" xfId="0" applyFont="1" applyFill="1" applyAlignment="1">
      <alignment horizontal="left" vertical="center" wrapText="1"/>
    </xf>
    <xf numFmtId="0" fontId="2" fillId="6" borderId="6" xfId="0" applyFont="1" applyFill="1" applyBorder="1" applyAlignment="1">
      <alignment horizontal="center" vertical="center" wrapText="1"/>
    </xf>
    <xf numFmtId="0" fontId="0" fillId="6" borderId="6" xfId="0" applyFill="1" applyBorder="1" applyAlignment="1" applyProtection="1">
      <alignment horizontal="center" vertical="center" wrapText="1"/>
      <protection/>
    </xf>
    <xf numFmtId="0" fontId="0" fillId="6" borderId="6" xfId="0" applyFill="1" applyBorder="1" applyAlignment="1" applyProtection="1">
      <alignment horizontal="center"/>
      <protection/>
    </xf>
    <xf numFmtId="0" fontId="0" fillId="6" borderId="6" xfId="0" applyFont="1" applyFill="1" applyBorder="1" applyAlignment="1" applyProtection="1">
      <alignment horizontal="center" vertical="center" wrapText="1"/>
      <protection/>
    </xf>
    <xf numFmtId="0" fontId="0" fillId="6" borderId="6" xfId="0" applyFill="1" applyBorder="1" applyAlignment="1" applyProtection="1">
      <alignment horizontal="center" vertical="center"/>
      <protection/>
    </xf>
    <xf numFmtId="0" fontId="0" fillId="6" borderId="0" xfId="0" applyFill="1" applyAlignment="1">
      <alignment horizontal="left" vertical="center" indent="1"/>
    </xf>
    <xf numFmtId="0" fontId="2" fillId="6" borderId="0" xfId="0" applyFont="1" applyFill="1" applyBorder="1" applyAlignment="1">
      <alignment horizontal="left" vertical="top" wrapText="1"/>
    </xf>
    <xf numFmtId="0" fontId="0" fillId="6" borderId="0" xfId="0" applyFill="1" applyBorder="1" applyAlignment="1">
      <alignment horizontal="left" wrapText="1"/>
    </xf>
    <xf numFmtId="0" fontId="2" fillId="6" borderId="67" xfId="0" applyFont="1" applyFill="1" applyBorder="1" applyAlignment="1">
      <alignment horizontal="left" wrapText="1"/>
    </xf>
    <xf numFmtId="0" fontId="0" fillId="6" borderId="0" xfId="0" applyFill="1" applyAlignment="1">
      <alignment horizontal="left" wrapText="1"/>
    </xf>
    <xf numFmtId="0" fontId="0" fillId="11" borderId="15" xfId="0" applyFill="1" applyBorder="1" applyAlignment="1" applyProtection="1">
      <alignment horizontal="center"/>
      <protection locked="0"/>
    </xf>
    <xf numFmtId="0" fontId="0" fillId="11" borderId="8" xfId="0" applyFill="1" applyBorder="1" applyAlignment="1" applyProtection="1">
      <alignment horizontal="center"/>
      <protection locked="0"/>
    </xf>
    <xf numFmtId="0" fontId="19" fillId="6" borderId="0" xfId="0" applyFont="1" applyFill="1" applyAlignment="1">
      <alignment horizontal="center"/>
    </xf>
    <xf numFmtId="0" fontId="60" fillId="6" borderId="6" xfId="0" applyFont="1" applyFill="1" applyBorder="1" applyAlignment="1">
      <alignment horizontal="left" vertical="top" wrapText="1"/>
    </xf>
    <xf numFmtId="173" fontId="0" fillId="6" borderId="6" xfId="0" applyNumberFormat="1" applyFill="1" applyBorder="1" applyAlignment="1">
      <alignment/>
    </xf>
    <xf numFmtId="0" fontId="0" fillId="0" borderId="6" xfId="0" applyBorder="1" applyAlignment="1">
      <alignment/>
    </xf>
    <xf numFmtId="0" fontId="0" fillId="6" borderId="6" xfId="0" applyFill="1" applyBorder="1" applyAlignment="1">
      <alignment horizontal="left"/>
    </xf>
    <xf numFmtId="173" fontId="0" fillId="6" borderId="6" xfId="0" applyNumberFormat="1" applyFill="1" applyBorder="1" applyAlignment="1">
      <alignment horizontal="center"/>
    </xf>
    <xf numFmtId="0" fontId="0" fillId="0" borderId="6" xfId="0" applyBorder="1" applyAlignment="1">
      <alignment horizontal="center"/>
    </xf>
    <xf numFmtId="0" fontId="60" fillId="6" borderId="6" xfId="0" applyFont="1" applyFill="1" applyBorder="1" applyAlignment="1">
      <alignment horizontal="left" vertical="center"/>
    </xf>
    <xf numFmtId="0" fontId="0" fillId="6" borderId="6" xfId="0" applyFill="1" applyBorder="1" applyAlignment="1" applyProtection="1">
      <alignment horizontal="center"/>
      <protection locked="0"/>
    </xf>
    <xf numFmtId="165" fontId="60" fillId="6" borderId="6" xfId="0" applyNumberFormat="1" applyFont="1" applyFill="1" applyBorder="1" applyAlignment="1" applyProtection="1">
      <alignment horizontal="center" vertical="top" wrapText="1"/>
      <protection/>
    </xf>
    <xf numFmtId="0" fontId="2" fillId="6" borderId="6" xfId="0" applyFont="1" applyFill="1" applyBorder="1" applyAlignment="1" applyProtection="1">
      <alignment horizontal="center" vertical="top" wrapText="1"/>
      <protection locked="0"/>
    </xf>
    <xf numFmtId="0" fontId="60" fillId="6" borderId="54" xfId="0" applyFont="1" applyFill="1" applyBorder="1" applyAlignment="1">
      <alignment horizontal="left" vertical="top" wrapText="1"/>
    </xf>
    <xf numFmtId="0" fontId="60" fillId="6" borderId="67" xfId="0" applyFont="1" applyFill="1" applyBorder="1" applyAlignment="1">
      <alignment horizontal="left" vertical="top" wrapText="1"/>
    </xf>
    <xf numFmtId="0" fontId="60" fillId="6" borderId="10" xfId="0" applyFont="1" applyFill="1" applyBorder="1" applyAlignment="1">
      <alignment horizontal="left" vertical="top" wrapText="1"/>
    </xf>
    <xf numFmtId="0" fontId="60" fillId="6" borderId="0" xfId="0" applyFont="1" applyFill="1" applyBorder="1" applyAlignment="1">
      <alignment horizontal="left" vertical="top" wrapText="1"/>
    </xf>
    <xf numFmtId="0" fontId="60" fillId="6" borderId="16" xfId="0" applyFont="1" applyFill="1" applyBorder="1" applyAlignment="1">
      <alignment horizontal="left" vertical="top" wrapText="1"/>
    </xf>
    <xf numFmtId="0" fontId="60" fillId="6" borderId="36" xfId="0" applyFont="1" applyFill="1" applyBorder="1" applyAlignment="1">
      <alignment horizontal="left" vertical="top" wrapText="1"/>
    </xf>
    <xf numFmtId="0" fontId="2" fillId="6" borderId="54" xfId="0" applyFont="1" applyFill="1" applyBorder="1" applyAlignment="1">
      <alignment horizontal="left" vertical="top" wrapText="1"/>
    </xf>
    <xf numFmtId="0" fontId="2" fillId="6" borderId="67"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36" xfId="0" applyFont="1" applyFill="1" applyBorder="1" applyAlignment="1">
      <alignment horizontal="left" vertical="top" wrapText="1"/>
    </xf>
    <xf numFmtId="0" fontId="2" fillId="6" borderId="17" xfId="0" applyFont="1" applyFill="1" applyBorder="1" applyAlignment="1">
      <alignment horizontal="left" vertical="top" wrapText="1"/>
    </xf>
    <xf numFmtId="0" fontId="60" fillId="6" borderId="9" xfId="0" applyFont="1" applyFill="1" applyBorder="1" applyAlignment="1">
      <alignment horizontal="left" vertical="top" wrapText="1"/>
    </xf>
    <xf numFmtId="0" fontId="61" fillId="17" borderId="6" xfId="0" applyFont="1" applyFill="1" applyBorder="1" applyAlignment="1">
      <alignment horizontal="left" wrapText="1"/>
    </xf>
    <xf numFmtId="2" fontId="0" fillId="6" borderId="15" xfId="0" applyNumberFormat="1" applyFill="1" applyBorder="1" applyAlignment="1">
      <alignment horizontal="center"/>
    </xf>
    <xf numFmtId="2" fontId="0" fillId="6" borderId="8" xfId="0" applyNumberFormat="1" applyFill="1" applyBorder="1" applyAlignment="1">
      <alignment horizontal="center"/>
    </xf>
    <xf numFmtId="0" fontId="62" fillId="17" borderId="15" xfId="0" applyFont="1" applyFill="1" applyBorder="1" applyAlignment="1">
      <alignment horizontal="center" wrapText="1"/>
    </xf>
    <xf numFmtId="0" fontId="62" fillId="17" borderId="57" xfId="0" applyFont="1" applyFill="1" applyBorder="1" applyAlignment="1">
      <alignment horizontal="center" wrapText="1"/>
    </xf>
    <xf numFmtId="0" fontId="62" fillId="17" borderId="8" xfId="0" applyFont="1" applyFill="1" applyBorder="1" applyAlignment="1">
      <alignment horizontal="center" wrapText="1"/>
    </xf>
    <xf numFmtId="0" fontId="3" fillId="6" borderId="36" xfId="0" applyFont="1" applyFill="1" applyBorder="1" applyAlignment="1">
      <alignment horizontal="center" vertical="center"/>
    </xf>
    <xf numFmtId="0" fontId="60" fillId="6" borderId="6" xfId="0" applyFont="1" applyFill="1" applyBorder="1" applyAlignment="1">
      <alignment horizontal="left" wrapText="1"/>
    </xf>
    <xf numFmtId="0" fontId="0" fillId="6" borderId="15" xfId="0" applyFont="1" applyFill="1" applyBorder="1" applyAlignment="1" applyProtection="1">
      <alignment horizontal="center"/>
      <protection locked="0"/>
    </xf>
    <xf numFmtId="0" fontId="0" fillId="6" borderId="57"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6" borderId="15" xfId="0" applyFill="1" applyBorder="1" applyAlignment="1">
      <alignment horizontal="left" vertical="center" wrapText="1"/>
    </xf>
    <xf numFmtId="0" fontId="0" fillId="0" borderId="8" xfId="0" applyBorder="1" applyAlignment="1">
      <alignment horizontal="left" vertical="center" wrapText="1"/>
    </xf>
    <xf numFmtId="0" fontId="0" fillId="6" borderId="15" xfId="0" applyFill="1" applyBorder="1" applyAlignment="1">
      <alignment horizontal="center" vertical="center" wrapText="1"/>
    </xf>
    <xf numFmtId="0" fontId="0" fillId="0" borderId="8" xfId="0" applyBorder="1" applyAlignment="1">
      <alignment horizontal="center" vertical="center" wrapText="1"/>
    </xf>
    <xf numFmtId="2" fontId="57" fillId="6" borderId="15" xfId="0" applyNumberFormat="1" applyFont="1" applyFill="1" applyBorder="1" applyAlignment="1">
      <alignment horizontal="center" vertical="center" wrapText="1"/>
    </xf>
    <xf numFmtId="0" fontId="3" fillId="6" borderId="6" xfId="0" applyFont="1" applyFill="1" applyBorder="1" applyAlignment="1">
      <alignment horizontal="center"/>
    </xf>
    <xf numFmtId="0" fontId="0" fillId="6" borderId="0" xfId="0" applyFill="1" applyAlignment="1">
      <alignment horizontal="left" vertical="top" wrapText="1"/>
    </xf>
    <xf numFmtId="0" fontId="19" fillId="6" borderId="0" xfId="0" applyFont="1" applyFill="1" applyAlignment="1">
      <alignment horizontal="center" wrapText="1"/>
    </xf>
    <xf numFmtId="0" fontId="3" fillId="6" borderId="6" xfId="0" applyFont="1" applyFill="1" applyBorder="1" applyAlignment="1">
      <alignment horizontal="left" vertical="center" wrapText="1"/>
    </xf>
    <xf numFmtId="0" fontId="3" fillId="0" borderId="6" xfId="0" applyFont="1" applyBorder="1" applyAlignment="1">
      <alignment vertical="center" wrapText="1"/>
    </xf>
    <xf numFmtId="0" fontId="0" fillId="6" borderId="0" xfId="0" applyFill="1" applyAlignment="1">
      <alignment vertical="top" wrapText="1"/>
    </xf>
    <xf numFmtId="0" fontId="2" fillId="6" borderId="0" xfId="0" applyFont="1" applyFill="1" applyAlignment="1">
      <alignment horizontal="left"/>
    </xf>
    <xf numFmtId="0" fontId="17" fillId="6" borderId="0" xfId="0" applyFont="1" applyFill="1" applyAlignment="1">
      <alignment horizontal="center" wrapText="1"/>
    </xf>
    <xf numFmtId="0" fontId="0" fillId="6" borderId="6" xfId="0" applyFill="1" applyBorder="1" applyAlignment="1">
      <alignment horizontal="center" vertical="center" wrapText="1"/>
    </xf>
    <xf numFmtId="0" fontId="0" fillId="6" borderId="15" xfId="0" applyFill="1" applyBorder="1" applyAlignment="1" applyProtection="1">
      <alignment horizontal="center"/>
      <protection locked="0"/>
    </xf>
    <xf numFmtId="0" fontId="60" fillId="6" borderId="5" xfId="0" applyFont="1" applyFill="1" applyBorder="1" applyAlignment="1">
      <alignment vertical="top" wrapText="1"/>
    </xf>
    <xf numFmtId="0" fontId="60" fillId="6" borderId="6" xfId="0" applyFont="1" applyFill="1" applyBorder="1" applyAlignment="1" applyProtection="1">
      <alignment horizontal="center" vertical="top" wrapText="1"/>
      <protection locked="0"/>
    </xf>
    <xf numFmtId="0" fontId="60" fillId="6" borderId="39" xfId="0" applyFont="1" applyFill="1" applyBorder="1" applyAlignment="1">
      <alignment horizontal="left" vertical="top" wrapText="1"/>
    </xf>
    <xf numFmtId="0" fontId="54" fillId="6" borderId="6" xfId="0" applyFont="1" applyFill="1" applyBorder="1" applyAlignment="1">
      <alignment horizontal="center" vertical="center"/>
    </xf>
    <xf numFmtId="0" fontId="60" fillId="6" borderId="10" xfId="0" applyFont="1" applyFill="1" applyBorder="1" applyAlignment="1">
      <alignment horizontal="center" vertical="center" wrapText="1"/>
    </xf>
    <xf numFmtId="0" fontId="60" fillId="6" borderId="68" xfId="0" applyFont="1" applyFill="1" applyBorder="1" applyAlignment="1">
      <alignment horizontal="center" vertical="center" wrapText="1"/>
    </xf>
    <xf numFmtId="0" fontId="60" fillId="6" borderId="39" xfId="0" applyFont="1" applyFill="1" applyBorder="1" applyAlignment="1">
      <alignment vertical="top" wrapText="1"/>
    </xf>
    <xf numFmtId="0" fontId="3" fillId="6" borderId="6" xfId="0" applyFont="1" applyFill="1" applyBorder="1" applyAlignment="1">
      <alignment horizontal="center" wrapText="1"/>
    </xf>
    <xf numFmtId="0" fontId="3" fillId="6" borderId="6" xfId="0" applyFont="1" applyFill="1" applyBorder="1" applyAlignment="1">
      <alignment horizontal="center" vertical="center"/>
    </xf>
    <xf numFmtId="0" fontId="48" fillId="6" borderId="0" xfId="0" applyFont="1" applyFill="1" applyAlignment="1">
      <alignment horizontal="center"/>
    </xf>
    <xf numFmtId="0" fontId="0" fillId="6" borderId="6" xfId="0" applyFill="1" applyBorder="1" applyAlignment="1" applyProtection="1">
      <alignment vertical="center" wrapText="1"/>
      <protection locked="0"/>
    </xf>
    <xf numFmtId="0" fontId="0" fillId="6" borderId="0" xfId="0" applyFill="1" applyAlignment="1">
      <alignment vertical="center" wrapText="1"/>
    </xf>
    <xf numFmtId="0" fontId="0" fillId="6" borderId="6" xfId="0" applyFill="1" applyBorder="1" applyAlignment="1" applyProtection="1">
      <alignment horizontal="center" wrapText="1" shrinkToFit="1"/>
      <protection locked="0"/>
    </xf>
    <xf numFmtId="0" fontId="60" fillId="6" borderId="15" xfId="0" applyFont="1" applyFill="1" applyBorder="1" applyAlignment="1" applyProtection="1">
      <alignment horizontal="center" vertical="top" wrapText="1"/>
      <protection locked="0"/>
    </xf>
    <xf numFmtId="0" fontId="60" fillId="6" borderId="8" xfId="0" applyFont="1" applyFill="1" applyBorder="1" applyAlignment="1" applyProtection="1">
      <alignment horizontal="center" vertical="top" wrapText="1"/>
      <protection locked="0"/>
    </xf>
    <xf numFmtId="0" fontId="54" fillId="6" borderId="6" xfId="0" applyFont="1" applyFill="1" applyBorder="1" applyAlignment="1">
      <alignment horizontal="center" vertical="center" wrapText="1"/>
    </xf>
    <xf numFmtId="0" fontId="60" fillId="6" borderId="39" xfId="0" applyFont="1" applyFill="1" applyBorder="1" applyAlignment="1">
      <alignment horizontal="center" vertical="top" wrapText="1"/>
    </xf>
    <xf numFmtId="0" fontId="6" fillId="6" borderId="0" xfId="0" applyFont="1" applyFill="1" applyAlignment="1">
      <alignment horizontal="center" vertical="center" wrapText="1"/>
    </xf>
    <xf numFmtId="0" fontId="6" fillId="6" borderId="0" xfId="0" applyFont="1" applyFill="1" applyAlignment="1">
      <alignment horizontal="left" vertical="center" wrapText="1"/>
    </xf>
    <xf numFmtId="174" fontId="0" fillId="6" borderId="57" xfId="0" applyNumberFormat="1" applyFill="1" applyBorder="1" applyAlignment="1">
      <alignment horizontal="left"/>
    </xf>
    <xf numFmtId="0" fontId="0" fillId="6" borderId="57" xfId="0" applyFill="1" applyBorder="1" applyAlignment="1">
      <alignment horizontal="left"/>
    </xf>
    <xf numFmtId="0" fontId="0" fillId="6" borderId="8" xfId="0" applyFill="1" applyBorder="1" applyAlignment="1">
      <alignment horizontal="left"/>
    </xf>
    <xf numFmtId="173" fontId="59" fillId="6" borderId="6" xfId="0" applyNumberFormat="1" applyFont="1" applyFill="1" applyBorder="1" applyAlignment="1">
      <alignment horizontal="center" vertical="center" wrapText="1"/>
    </xf>
    <xf numFmtId="0" fontId="3" fillId="6" borderId="6" xfId="0" applyFont="1" applyFill="1" applyBorder="1" applyAlignment="1">
      <alignment horizontal="center" vertical="center" wrapText="1"/>
    </xf>
    <xf numFmtId="0" fontId="0" fillId="6" borderId="6" xfId="0" applyFill="1" applyBorder="1" applyAlignment="1">
      <alignment horizontal="left"/>
    </xf>
    <xf numFmtId="0" fontId="0" fillId="6" borderId="0" xfId="0" applyFill="1" applyAlignment="1">
      <alignment horizontal="left" vertical="center" wrapText="1"/>
    </xf>
    <xf numFmtId="0" fontId="3" fillId="6" borderId="15" xfId="0" applyFont="1" applyFill="1" applyBorder="1" applyAlignment="1">
      <alignment horizontal="center" vertical="center"/>
    </xf>
    <xf numFmtId="0" fontId="3" fillId="6" borderId="57" xfId="0" applyFont="1" applyFill="1" applyBorder="1" applyAlignment="1">
      <alignment horizontal="center" vertical="center"/>
    </xf>
    <xf numFmtId="0" fontId="3" fillId="6" borderId="8" xfId="0" applyFont="1" applyFill="1" applyBorder="1" applyAlignment="1">
      <alignment horizontal="center" vertical="center"/>
    </xf>
    <xf numFmtId="167" fontId="0" fillId="6" borderId="15" xfId="0" applyNumberFormat="1" applyFill="1" applyBorder="1" applyAlignment="1" applyProtection="1">
      <alignment horizontal="center"/>
      <protection locked="0"/>
    </xf>
    <xf numFmtId="167" fontId="0" fillId="6" borderId="8" xfId="0" applyNumberFormat="1" applyFill="1" applyBorder="1" applyAlignment="1" applyProtection="1">
      <alignment horizontal="center"/>
      <protection locked="0"/>
    </xf>
    <xf numFmtId="0" fontId="3" fillId="6"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6" borderId="6" xfId="0" applyFont="1" applyFill="1" applyBorder="1" applyAlignment="1">
      <alignment horizontal="left" vertical="center"/>
    </xf>
    <xf numFmtId="0" fontId="0" fillId="6" borderId="0" xfId="0" applyFont="1" applyFill="1" applyBorder="1" applyAlignment="1">
      <alignment/>
    </xf>
    <xf numFmtId="0" fontId="0" fillId="0" borderId="0" xfId="0" applyBorder="1" applyAlignment="1">
      <alignment/>
    </xf>
    <xf numFmtId="174" fontId="0" fillId="6" borderId="6" xfId="0" applyNumberFormat="1" applyFill="1" applyBorder="1" applyAlignment="1">
      <alignment horizontal="center"/>
    </xf>
    <xf numFmtId="174" fontId="0" fillId="6" borderId="6" xfId="0" applyNumberFormat="1" applyFill="1" applyBorder="1" applyAlignment="1">
      <alignment horizontal="left"/>
    </xf>
    <xf numFmtId="0" fontId="0" fillId="0" borderId="6" xfId="0" applyBorder="1" applyAlignment="1">
      <alignment horizontal="left"/>
    </xf>
    <xf numFmtId="174" fontId="0" fillId="6" borderId="57" xfId="0" applyNumberFormat="1" applyFont="1" applyFill="1" applyBorder="1" applyAlignment="1">
      <alignment horizontal="left"/>
    </xf>
    <xf numFmtId="0" fontId="0" fillId="6" borderId="15" xfId="0" applyFill="1" applyBorder="1" applyAlignment="1">
      <alignment horizontal="center"/>
    </xf>
    <xf numFmtId="0" fontId="0" fillId="6" borderId="8" xfId="0" applyFill="1" applyBorder="1" applyAlignment="1">
      <alignment horizontal="center"/>
    </xf>
    <xf numFmtId="0" fontId="0" fillId="6" borderId="5" xfId="0" applyFont="1" applyFill="1" applyBorder="1" applyAlignment="1">
      <alignment horizontal="center"/>
    </xf>
    <xf numFmtId="0" fontId="0" fillId="6" borderId="5" xfId="0" applyFill="1" applyBorder="1" applyAlignment="1">
      <alignment horizontal="center"/>
    </xf>
    <xf numFmtId="0" fontId="0" fillId="6" borderId="6" xfId="0" applyFont="1" applyFill="1" applyBorder="1" applyAlignment="1" applyProtection="1">
      <alignment horizontal="center"/>
      <protection locked="0"/>
    </xf>
    <xf numFmtId="0" fontId="3" fillId="6" borderId="0" xfId="0" applyFont="1" applyFill="1" applyAlignment="1">
      <alignment horizontal="left" vertical="center" wrapText="1"/>
    </xf>
    <xf numFmtId="0" fontId="14" fillId="6" borderId="0" xfId="0" applyFont="1" applyFill="1" applyAlignment="1">
      <alignment horizontal="left" vertical="center" wrapText="1"/>
    </xf>
    <xf numFmtId="0" fontId="6" fillId="6" borderId="0" xfId="0" applyFont="1" applyFill="1" applyAlignment="1">
      <alignment horizontal="left" vertical="top" wrapText="1"/>
    </xf>
    <xf numFmtId="0" fontId="6" fillId="6" borderId="0" xfId="0" applyFont="1" applyFill="1" applyAlignment="1">
      <alignment horizontal="right" vertical="top" wrapText="1"/>
    </xf>
    <xf numFmtId="0" fontId="0" fillId="6" borderId="10" xfId="0" applyFill="1" applyBorder="1" applyAlignment="1" applyProtection="1">
      <alignment horizontal="left" vertical="center" wrapText="1" indent="1"/>
      <protection/>
    </xf>
    <xf numFmtId="0" fontId="0" fillId="0" borderId="0" xfId="0" applyBorder="1" applyAlignment="1" applyProtection="1">
      <alignment horizontal="left" vertical="center" wrapText="1" indent="1"/>
      <protection/>
    </xf>
    <xf numFmtId="0" fontId="2" fillId="6" borderId="1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6" borderId="10" xfId="0"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6" borderId="10"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2" fontId="57" fillId="6" borderId="15" xfId="0" applyNumberFormat="1" applyFont="1" applyFill="1" applyBorder="1" applyAlignment="1">
      <alignment horizontal="left" vertical="center" wrapText="1"/>
    </xf>
    <xf numFmtId="0" fontId="0" fillId="6" borderId="54" xfId="0" applyFill="1" applyBorder="1" applyAlignment="1">
      <alignment horizontal="left" vertical="center" wrapText="1"/>
    </xf>
    <xf numFmtId="0" fontId="0" fillId="0" borderId="67" xfId="0" applyBorder="1" applyAlignment="1">
      <alignment horizontal="left" vertical="center" wrapText="1"/>
    </xf>
    <xf numFmtId="0" fontId="0" fillId="0" borderId="9" xfId="0" applyBorder="1" applyAlignment="1">
      <alignment horizontal="left" vertical="center" wrapText="1"/>
    </xf>
    <xf numFmtId="0" fontId="0" fillId="0" borderId="16" xfId="0" applyBorder="1" applyAlignment="1">
      <alignment horizontal="left" vertical="center" wrapText="1"/>
    </xf>
    <xf numFmtId="0" fontId="0" fillId="0" borderId="36" xfId="0" applyBorder="1" applyAlignment="1">
      <alignment horizontal="left" vertical="center" wrapText="1"/>
    </xf>
    <xf numFmtId="0" fontId="0" fillId="0" borderId="17" xfId="0" applyBorder="1" applyAlignment="1">
      <alignment horizontal="left" vertical="center" wrapText="1"/>
    </xf>
    <xf numFmtId="0" fontId="0" fillId="6" borderId="54" xfId="0" applyFill="1" applyBorder="1" applyAlignment="1" applyProtection="1">
      <alignment horizontal="left" vertical="center" wrapText="1" indent="1"/>
      <protection/>
    </xf>
    <xf numFmtId="0" fontId="0" fillId="0" borderId="67" xfId="0" applyBorder="1" applyAlignment="1" applyProtection="1">
      <alignment horizontal="left" vertical="center" wrapText="1" indent="1"/>
      <protection/>
    </xf>
    <xf numFmtId="0" fontId="2" fillId="6" borderId="54" xfId="0" applyFont="1" applyFill="1" applyBorder="1" applyAlignment="1" applyProtection="1">
      <alignment horizontal="center" vertical="center" wrapText="1"/>
      <protection/>
    </xf>
    <xf numFmtId="0" fontId="2" fillId="0" borderId="67" xfId="0" applyFont="1" applyBorder="1" applyAlignment="1" applyProtection="1">
      <alignment horizontal="center" vertical="center" wrapText="1"/>
      <protection/>
    </xf>
    <xf numFmtId="0" fontId="0" fillId="6" borderId="54" xfId="0" applyFill="1"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0" fillId="6" borderId="54"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6" borderId="0" xfId="0" applyFill="1" applyAlignment="1" applyProtection="1">
      <alignment horizontal="left" vertical="top" wrapText="1"/>
      <protection locked="0"/>
    </xf>
    <xf numFmtId="0" fontId="0" fillId="6" borderId="6"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4" xfId="0" applyFill="1" applyBorder="1" applyAlignment="1" applyProtection="1">
      <alignment horizontal="center" vertical="center" wrapText="1"/>
      <protection locked="0"/>
    </xf>
    <xf numFmtId="0" fontId="0" fillId="6" borderId="39" xfId="0" applyFill="1" applyBorder="1" applyAlignment="1" applyProtection="1">
      <alignment horizontal="center" vertical="center" wrapText="1"/>
      <protection locked="0"/>
    </xf>
    <xf numFmtId="0" fontId="0" fillId="6" borderId="4" xfId="0" applyFill="1" applyBorder="1" applyAlignment="1" applyProtection="1">
      <alignment horizontal="center"/>
      <protection locked="0"/>
    </xf>
    <xf numFmtId="0" fontId="0" fillId="6" borderId="39" xfId="0" applyFill="1" applyBorder="1" applyAlignment="1" applyProtection="1">
      <alignment horizontal="center" vertical="top"/>
      <protection locked="0"/>
    </xf>
    <xf numFmtId="0" fontId="3" fillId="6" borderId="54" xfId="0" applyFont="1" applyFill="1" applyBorder="1" applyAlignment="1" applyProtection="1">
      <alignment horizontal="center" wrapText="1"/>
      <protection locked="0"/>
    </xf>
    <xf numFmtId="0" fontId="3" fillId="6" borderId="9" xfId="0" applyFont="1" applyFill="1" applyBorder="1" applyAlignment="1" applyProtection="1">
      <alignment horizontal="center" wrapText="1"/>
      <protection locked="0"/>
    </xf>
    <xf numFmtId="0" fontId="3" fillId="6" borderId="16" xfId="0" applyFont="1" applyFill="1" applyBorder="1" applyAlignment="1" applyProtection="1">
      <alignment horizontal="center"/>
      <protection locked="0"/>
    </xf>
    <xf numFmtId="0" fontId="3" fillId="6" borderId="17" xfId="0" applyFont="1" applyFill="1" applyBorder="1" applyAlignment="1" applyProtection="1">
      <alignment horizontal="center"/>
      <protection locked="0"/>
    </xf>
    <xf numFmtId="3" fontId="57" fillId="6" borderId="15" xfId="0" applyNumberFormat="1" applyFont="1" applyFill="1" applyBorder="1" applyAlignment="1" applyProtection="1">
      <alignment horizontal="center" vertical="center" wrapText="1"/>
      <protection locked="0"/>
    </xf>
    <xf numFmtId="3" fontId="57" fillId="6" borderId="8" xfId="0" applyNumberFormat="1" applyFont="1" applyFill="1" applyBorder="1" applyAlignment="1" applyProtection="1">
      <alignment horizontal="center" vertical="center" wrapText="1"/>
      <protection locked="0"/>
    </xf>
    <xf numFmtId="0" fontId="0" fillId="6" borderId="15" xfId="0" applyFill="1" applyBorder="1" applyAlignment="1" applyProtection="1">
      <alignment horizontal="left" vertical="center" wrapText="1" indent="1"/>
      <protection/>
    </xf>
    <xf numFmtId="0" fontId="0" fillId="0" borderId="57" xfId="0" applyBorder="1" applyAlignment="1" applyProtection="1">
      <alignment horizontal="left" vertical="center" wrapText="1" indent="1"/>
      <protection/>
    </xf>
    <xf numFmtId="0" fontId="2" fillId="6" borderId="15" xfId="0" applyFont="1" applyFill="1" applyBorder="1" applyAlignment="1" applyProtection="1">
      <alignment horizontal="center" vertical="center" wrapText="1"/>
      <protection/>
    </xf>
    <xf numFmtId="0" fontId="2" fillId="0" borderId="57" xfId="0" applyFont="1" applyBorder="1" applyAlignment="1" applyProtection="1">
      <alignment horizontal="center" vertical="center" wrapText="1"/>
      <protection/>
    </xf>
    <xf numFmtId="0" fontId="0" fillId="6" borderId="15" xfId="0" applyFill="1"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0" fillId="6" borderId="15" xfId="0"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6" fillId="6" borderId="0" xfId="0" applyFont="1" applyFill="1" applyAlignment="1" applyProtection="1">
      <alignment horizontal="right" wrapText="1"/>
      <protection locked="0"/>
    </xf>
    <xf numFmtId="0" fontId="6" fillId="6" borderId="0" xfId="0" applyFont="1" applyFill="1" applyAlignment="1" applyProtection="1">
      <alignment horizontal="left" wrapText="1"/>
      <protection locked="0"/>
    </xf>
    <xf numFmtId="0" fontId="0" fillId="6" borderId="16" xfId="0" applyFill="1" applyBorder="1" applyAlignment="1" applyProtection="1">
      <alignment horizontal="left" vertical="center" wrapText="1" indent="1"/>
      <protection/>
    </xf>
    <xf numFmtId="0" fontId="0" fillId="0" borderId="36" xfId="0" applyBorder="1" applyAlignment="1" applyProtection="1">
      <alignment horizontal="left" vertical="center" wrapText="1" indent="1"/>
      <protection/>
    </xf>
    <xf numFmtId="0" fontId="2" fillId="6" borderId="16" xfId="0" applyFont="1" applyFill="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0" fillId="6" borderId="16" xfId="0" applyFill="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6" borderId="16" xfId="0" applyFill="1" applyBorder="1" applyAlignment="1" applyProtection="1">
      <alignment horizontal="center" vertical="center"/>
      <protection locked="0"/>
    </xf>
    <xf numFmtId="1" fontId="0" fillId="6" borderId="6" xfId="0" applyNumberFormat="1" applyFill="1" applyBorder="1" applyAlignment="1" applyProtection="1">
      <alignment horizontal="center"/>
      <protection locked="0"/>
    </xf>
    <xf numFmtId="0" fontId="0" fillId="6" borderId="0" xfId="0" applyFill="1" applyAlignment="1" applyProtection="1">
      <alignment horizontal="center" wrapText="1"/>
      <protection locked="0"/>
    </xf>
    <xf numFmtId="0" fontId="16" fillId="6" borderId="15" xfId="0" applyFont="1" applyFill="1" applyBorder="1" applyAlignment="1" applyProtection="1">
      <alignment horizontal="left"/>
      <protection locked="0"/>
    </xf>
    <xf numFmtId="0" fontId="16" fillId="6" borderId="57" xfId="0" applyFont="1" applyFill="1" applyBorder="1" applyAlignment="1" applyProtection="1">
      <alignment horizontal="left"/>
      <protection locked="0"/>
    </xf>
    <xf numFmtId="0" fontId="3" fillId="6" borderId="54" xfId="0" applyFont="1" applyFill="1" applyBorder="1" applyAlignment="1" applyProtection="1">
      <alignment horizontal="center" vertical="center" wrapText="1"/>
      <protection locked="0"/>
    </xf>
    <xf numFmtId="0" fontId="3" fillId="6" borderId="67" xfId="0" applyFon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0" fontId="3" fillId="6" borderId="36" xfId="0" applyFont="1" applyFill="1" applyBorder="1" applyAlignment="1" applyProtection="1">
      <alignment horizontal="center" vertical="center" wrapText="1"/>
      <protection locked="0"/>
    </xf>
    <xf numFmtId="0" fontId="21" fillId="6" borderId="0" xfId="0" applyFont="1" applyFill="1" applyAlignment="1" applyProtection="1">
      <alignment horizontal="center" vertical="top" wrapText="1"/>
      <protection locked="0"/>
    </xf>
    <xf numFmtId="0" fontId="21" fillId="6" borderId="0" xfId="0" applyFont="1" applyFill="1" applyAlignment="1" applyProtection="1">
      <alignment horizontal="center" vertical="center"/>
      <protection locked="0"/>
    </xf>
    <xf numFmtId="0" fontId="21" fillId="6" borderId="0" xfId="0" applyFont="1" applyFill="1" applyAlignment="1" applyProtection="1">
      <alignment horizontal="center" wrapText="1"/>
      <protection locked="0"/>
    </xf>
    <xf numFmtId="0" fontId="0" fillId="6" borderId="6" xfId="0" applyFill="1"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2" fillId="6" borderId="6" xfId="0" applyFont="1" applyFill="1" applyBorder="1" applyAlignment="1" applyProtection="1">
      <alignment horizontal="center" vertical="center" wrapText="1"/>
      <protection/>
    </xf>
    <xf numFmtId="0" fontId="2" fillId="0" borderId="6" xfId="0" applyFont="1"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0" fontId="0" fillId="0" borderId="6" xfId="0" applyBorder="1" applyAlignment="1" applyProtection="1">
      <alignment horizontal="center" vertical="center"/>
      <protection locked="0"/>
    </xf>
    <xf numFmtId="0" fontId="0" fillId="6" borderId="15" xfId="0" applyFill="1" applyBorder="1" applyAlignment="1">
      <alignment horizontal="center" wrapText="1"/>
    </xf>
    <xf numFmtId="0" fontId="0" fillId="6" borderId="8" xfId="0" applyFill="1" applyBorder="1" applyAlignment="1">
      <alignment horizontal="center" wrapText="1"/>
    </xf>
    <xf numFmtId="0" fontId="0" fillId="6" borderId="6" xfId="0" applyFill="1" applyBorder="1" applyAlignment="1">
      <alignment horizontal="center" wrapText="1"/>
    </xf>
    <xf numFmtId="0" fontId="6" fillId="6" borderId="0" xfId="0" applyFont="1" applyFill="1" applyAlignment="1">
      <alignment horizontal="right"/>
    </xf>
    <xf numFmtId="0" fontId="0" fillId="6" borderId="8" xfId="0" applyFill="1" applyBorder="1" applyAlignment="1">
      <alignment horizontal="center" vertical="center" wrapText="1"/>
    </xf>
    <xf numFmtId="0" fontId="3" fillId="6" borderId="6" xfId="0" applyFont="1" applyFill="1" applyBorder="1" applyAlignment="1">
      <alignment horizontal="center" vertical="top"/>
    </xf>
    <xf numFmtId="0" fontId="3" fillId="6" borderId="0" xfId="0" applyFont="1" applyFill="1" applyAlignment="1">
      <alignment horizontal="left" vertical="top" wrapText="1"/>
    </xf>
    <xf numFmtId="0" fontId="21" fillId="6" borderId="0" xfId="0" applyFont="1" applyFill="1" applyAlignment="1">
      <alignment horizontal="center" wrapText="1"/>
    </xf>
    <xf numFmtId="0" fontId="60" fillId="6" borderId="4" xfId="0" applyFont="1" applyFill="1" applyBorder="1" applyAlignment="1">
      <alignment horizontal="left" vertical="top" wrapText="1"/>
    </xf>
    <xf numFmtId="0" fontId="60" fillId="0" borderId="6" xfId="0" applyFont="1" applyBorder="1" applyAlignment="1" applyProtection="1">
      <alignment horizontal="center" vertical="top" wrapText="1"/>
      <protection locked="0"/>
    </xf>
    <xf numFmtId="0" fontId="60" fillId="6" borderId="5" xfId="0" applyFont="1" applyFill="1" applyBorder="1" applyAlignment="1">
      <alignment horizontal="center" vertical="top" wrapText="1"/>
    </xf>
    <xf numFmtId="0" fontId="3" fillId="6" borderId="6" xfId="0" applyFont="1" applyFill="1" applyBorder="1" applyAlignment="1">
      <alignment vertical="center" wrapText="1"/>
    </xf>
    <xf numFmtId="0" fontId="2" fillId="6" borderId="0" xfId="0" applyFont="1" applyFill="1" applyAlignment="1">
      <alignment horizontal="left" vertical="top" wrapText="1"/>
    </xf>
    <xf numFmtId="0" fontId="0" fillId="6" borderId="0" xfId="0" applyFont="1" applyFill="1" applyAlignment="1">
      <alignment horizontal="left" vertical="top"/>
    </xf>
    <xf numFmtId="0" fontId="3" fillId="6" borderId="0" xfId="0" applyFont="1" applyFill="1" applyAlignment="1">
      <alignment horizontal="left" wrapText="1"/>
    </xf>
    <xf numFmtId="0" fontId="60" fillId="6" borderId="6" xfId="0" applyFont="1" applyFill="1" applyBorder="1" applyAlignment="1">
      <alignment horizontal="center" vertical="center" wrapText="1"/>
    </xf>
    <xf numFmtId="0" fontId="19" fillId="6" borderId="0" xfId="0" applyFont="1" applyFill="1" applyAlignment="1">
      <alignment horizontal="center" vertical="center"/>
    </xf>
    <xf numFmtId="0" fontId="19" fillId="6" borderId="0" xfId="0" applyFont="1" applyFill="1" applyAlignment="1">
      <alignment horizontal="center" vertical="center" wrapText="1"/>
    </xf>
    <xf numFmtId="0" fontId="0" fillId="6" borderId="0" xfId="0" applyFill="1" applyBorder="1" applyAlignment="1" applyProtection="1">
      <alignment horizontal="center" wrapText="1"/>
      <protection locked="0"/>
    </xf>
    <xf numFmtId="0" fontId="0" fillId="6" borderId="36" xfId="0" applyFill="1" applyBorder="1" applyAlignment="1" applyProtection="1">
      <alignment horizontal="center" wrapText="1"/>
      <protection locked="0"/>
    </xf>
    <xf numFmtId="0" fontId="16" fillId="6" borderId="0" xfId="0" applyFont="1" applyFill="1" applyAlignment="1">
      <alignment horizontal="center" vertical="top" wrapText="1"/>
    </xf>
    <xf numFmtId="0" fontId="19" fillId="6" borderId="54" xfId="0" applyFont="1" applyFill="1" applyBorder="1" applyAlignment="1" applyProtection="1">
      <alignment horizontal="center" wrapText="1"/>
      <protection locked="0"/>
    </xf>
    <xf numFmtId="0" fontId="19" fillId="6" borderId="9" xfId="0" applyFont="1" applyFill="1" applyBorder="1" applyAlignment="1" applyProtection="1">
      <alignment horizontal="center" wrapText="1"/>
      <protection locked="0"/>
    </xf>
    <xf numFmtId="0" fontId="19" fillId="6" borderId="10" xfId="0" applyFont="1" applyFill="1" applyBorder="1" applyAlignment="1" applyProtection="1">
      <alignment horizontal="center" wrapText="1"/>
      <protection locked="0"/>
    </xf>
    <xf numFmtId="0" fontId="19" fillId="6" borderId="68" xfId="0" applyFont="1" applyFill="1" applyBorder="1" applyAlignment="1" applyProtection="1">
      <alignment horizontal="center" wrapText="1"/>
      <protection locked="0"/>
    </xf>
    <xf numFmtId="0" fontId="19" fillId="6" borderId="10" xfId="0" applyFont="1" applyFill="1" applyBorder="1" applyAlignment="1" applyProtection="1">
      <alignment horizontal="center"/>
      <protection locked="0"/>
    </xf>
    <xf numFmtId="0" fontId="19" fillId="6" borderId="68" xfId="0" applyFont="1" applyFill="1" applyBorder="1" applyAlignment="1" applyProtection="1">
      <alignment horizontal="center"/>
      <protection locked="0"/>
    </xf>
    <xf numFmtId="0" fontId="60" fillId="6" borderId="68" xfId="0" applyFont="1" applyFill="1" applyBorder="1" applyAlignment="1">
      <alignment horizontal="left" vertical="top" wrapText="1"/>
    </xf>
    <xf numFmtId="0" fontId="60" fillId="6" borderId="17" xfId="0" applyFont="1" applyFill="1" applyBorder="1" applyAlignment="1">
      <alignment horizontal="left" vertical="top" wrapText="1"/>
    </xf>
    <xf numFmtId="0" fontId="3" fillId="6" borderId="54"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6" fillId="6" borderId="0" xfId="0" applyFont="1" applyFill="1" applyAlignment="1">
      <alignment horizontal="left" wrapText="1"/>
    </xf>
    <xf numFmtId="0" fontId="48" fillId="6" borderId="0" xfId="0" applyFont="1" applyFill="1" applyAlignment="1" applyProtection="1">
      <alignment horizontal="center"/>
      <protection locked="0"/>
    </xf>
    <xf numFmtId="0" fontId="56" fillId="6" borderId="0" xfId="0" applyFont="1" applyFill="1" applyAlignment="1">
      <alignment horizontal="center"/>
    </xf>
    <xf numFmtId="0" fontId="3" fillId="6" borderId="0" xfId="0" applyFont="1" applyFill="1" applyAlignment="1">
      <alignment horizontal="left"/>
    </xf>
    <xf numFmtId="0" fontId="0" fillId="6" borderId="0" xfId="0" applyFill="1" applyAlignment="1">
      <alignment horizontal="left" vertical="center"/>
    </xf>
    <xf numFmtId="0" fontId="0" fillId="6" borderId="0" xfId="0" applyFill="1" applyAlignment="1">
      <alignment horizontal="left" vertical="top"/>
    </xf>
    <xf numFmtId="0" fontId="3" fillId="6" borderId="0" xfId="0" applyFont="1" applyFill="1" applyAlignment="1">
      <alignment vertical="top"/>
    </xf>
    <xf numFmtId="0" fontId="16" fillId="6" borderId="6" xfId="0" applyFont="1" applyFill="1" applyBorder="1" applyAlignment="1">
      <alignment horizontal="left" vertical="center"/>
    </xf>
    <xf numFmtId="0" fontId="16" fillId="6" borderId="6" xfId="0" applyFont="1" applyFill="1" applyBorder="1" applyAlignment="1" applyProtection="1">
      <alignment horizontal="center" vertical="center"/>
      <protection locked="0"/>
    </xf>
    <xf numFmtId="0" fontId="2" fillId="0" borderId="0" xfId="0" applyFont="1" applyAlignment="1">
      <alignment horizontal="center" vertical="center" wrapText="1"/>
    </xf>
    <xf numFmtId="0" fontId="54" fillId="6" borderId="6" xfId="0" applyFont="1" applyFill="1" applyBorder="1" applyAlignment="1">
      <alignment horizontal="center"/>
    </xf>
    <xf numFmtId="0" fontId="60" fillId="6" borderId="6" xfId="0" applyFont="1" applyFill="1" applyBorder="1" applyAlignment="1">
      <alignment horizontal="center"/>
    </xf>
    <xf numFmtId="0" fontId="0" fillId="6" borderId="6" xfId="0" applyFill="1" applyBorder="1" applyAlignment="1">
      <alignment horizontal="center" vertical="center"/>
    </xf>
    <xf numFmtId="0" fontId="0" fillId="6" borderId="6" xfId="0" applyFont="1" applyFill="1" applyBorder="1" applyAlignment="1">
      <alignment horizontal="left" vertical="center" wrapText="1"/>
    </xf>
    <xf numFmtId="0" fontId="2" fillId="0" borderId="0" xfId="0" applyFont="1" applyAlignment="1" applyProtection="1">
      <alignment horizontal="center" vertical="center" wrapText="1"/>
      <protection locked="0"/>
    </xf>
    <xf numFmtId="0" fontId="3" fillId="6" borderId="0" xfId="0" applyFont="1" applyFill="1" applyAlignment="1" applyProtection="1">
      <alignment wrapText="1"/>
      <protection locked="0"/>
    </xf>
    <xf numFmtId="0" fontId="56" fillId="6" borderId="0" xfId="0" applyFont="1" applyFill="1" applyAlignment="1" applyProtection="1">
      <alignment horizontal="center" vertical="center" wrapText="1"/>
      <protection locked="0"/>
    </xf>
    <xf numFmtId="0" fontId="3" fillId="6" borderId="0" xfId="0" applyFont="1" applyFill="1" applyAlignment="1" applyProtection="1">
      <alignment vertical="center" wrapText="1"/>
      <protection locked="0"/>
    </xf>
    <xf numFmtId="0" fontId="2" fillId="18" borderId="0" xfId="0" applyFont="1" applyFill="1" applyAlignment="1" applyProtection="1">
      <alignment horizontal="center" wrapText="1"/>
      <protection hidden="1"/>
    </xf>
    <xf numFmtId="0" fontId="0" fillId="6" borderId="0" xfId="0" applyFill="1" applyBorder="1" applyAlignment="1">
      <alignment horizontal="center" wrapText="1"/>
    </xf>
    <xf numFmtId="0" fontId="0" fillId="13" borderId="10" xfId="0" applyFill="1" applyBorder="1" applyAlignment="1">
      <alignment horizontal="center" vertical="top"/>
    </xf>
    <xf numFmtId="0" fontId="0" fillId="13" borderId="0" xfId="0" applyFill="1" applyBorder="1" applyAlignment="1">
      <alignment horizontal="center" vertical="top"/>
    </xf>
    <xf numFmtId="0" fontId="0" fillId="13" borderId="68" xfId="0" applyFill="1" applyBorder="1" applyAlignment="1">
      <alignment horizontal="center" vertical="top"/>
    </xf>
    <xf numFmtId="0" fontId="0" fillId="13" borderId="16" xfId="0" applyFill="1" applyBorder="1" applyAlignment="1">
      <alignment horizontal="center" vertical="top"/>
    </xf>
    <xf numFmtId="0" fontId="0" fillId="13" borderId="36" xfId="0" applyFill="1" applyBorder="1" applyAlignment="1">
      <alignment horizontal="center" vertical="top"/>
    </xf>
    <xf numFmtId="0" fontId="0" fillId="13" borderId="17" xfId="0" applyFill="1" applyBorder="1" applyAlignment="1">
      <alignment horizontal="center" vertical="top"/>
    </xf>
    <xf numFmtId="0" fontId="16" fillId="6" borderId="54" xfId="0" applyFont="1" applyFill="1" applyBorder="1" applyAlignment="1">
      <alignment horizontal="left" vertical="top"/>
    </xf>
    <xf numFmtId="0" fontId="16" fillId="6" borderId="67" xfId="0" applyFont="1" applyFill="1" applyBorder="1" applyAlignment="1">
      <alignment horizontal="left" vertical="top"/>
    </xf>
    <xf numFmtId="0" fontId="16" fillId="6" borderId="9" xfId="0" applyFont="1" applyFill="1" applyBorder="1" applyAlignment="1">
      <alignment horizontal="left" vertical="top"/>
    </xf>
    <xf numFmtId="0" fontId="0" fillId="6" borderId="54" xfId="0" applyFill="1" applyBorder="1" applyAlignment="1">
      <alignment horizontal="left" vertical="top"/>
    </xf>
    <xf numFmtId="0" fontId="0" fillId="6" borderId="67" xfId="0" applyFill="1" applyBorder="1" applyAlignment="1">
      <alignment horizontal="left" vertical="top"/>
    </xf>
    <xf numFmtId="0" fontId="0" fillId="6" borderId="9" xfId="0" applyFill="1" applyBorder="1" applyAlignment="1">
      <alignment horizontal="left" vertical="top"/>
    </xf>
    <xf numFmtId="0" fontId="0" fillId="6" borderId="0" xfId="0" applyFill="1" applyAlignment="1">
      <alignment horizontal="center" vertical="top" wrapText="1"/>
    </xf>
    <xf numFmtId="0" fontId="0" fillId="6" borderId="0" xfId="0" applyFill="1" applyAlignment="1">
      <alignment horizontal="center"/>
    </xf>
    <xf numFmtId="0" fontId="2" fillId="6" borderId="0" xfId="0" applyFont="1" applyFill="1" applyAlignment="1">
      <alignment horizontal="center" vertical="center" wrapText="1"/>
    </xf>
    <xf numFmtId="49" fontId="0" fillId="6" borderId="0" xfId="0" applyNumberFormat="1" applyFont="1" applyFill="1" applyAlignment="1">
      <alignment horizontal="left" vertical="top" wrapText="1"/>
    </xf>
    <xf numFmtId="49" fontId="0" fillId="6" borderId="0" xfId="0" applyNumberFormat="1" applyFill="1" applyAlignment="1">
      <alignment horizontal="left" vertical="top" wrapText="1"/>
    </xf>
    <xf numFmtId="0" fontId="0" fillId="0" borderId="0" xfId="0" applyFont="1" applyAlignment="1">
      <alignment horizontal="left" wrapText="1"/>
    </xf>
    <xf numFmtId="0" fontId="2" fillId="6" borderId="0" xfId="0" applyFont="1" applyFill="1" applyAlignment="1">
      <alignment horizontal="center" wrapText="1"/>
    </xf>
    <xf numFmtId="0" fontId="33" fillId="0" borderId="71" xfId="0" applyFont="1" applyFill="1" applyBorder="1" applyAlignment="1">
      <alignment horizontal="center"/>
    </xf>
    <xf numFmtId="0" fontId="28" fillId="0" borderId="42" xfId="0" applyFont="1" applyFill="1" applyBorder="1" applyAlignment="1">
      <alignment horizontal="center"/>
    </xf>
    <xf numFmtId="0" fontId="28" fillId="0" borderId="43" xfId="0" applyFont="1" applyFill="1" applyBorder="1" applyAlignment="1">
      <alignment horizontal="center"/>
    </xf>
    <xf numFmtId="14" fontId="3" fillId="6" borderId="15" xfId="0" applyNumberFormat="1" applyFont="1" applyFill="1" applyBorder="1" applyAlignment="1" applyProtection="1">
      <alignment horizontal="center" vertical="center"/>
      <protection locked="0"/>
    </xf>
    <xf numFmtId="14" fontId="3" fillId="6" borderId="8" xfId="0" applyNumberFormat="1" applyFont="1" applyFill="1" applyBorder="1" applyAlignment="1" applyProtection="1">
      <alignment horizontal="center" vertical="center"/>
      <protection locked="0"/>
    </xf>
    <xf numFmtId="0" fontId="0" fillId="16" borderId="15" xfId="0" applyFont="1" applyFill="1" applyBorder="1" applyAlignment="1" applyProtection="1">
      <alignment horizontal="center" vertical="top" wrapText="1"/>
      <protection locked="0"/>
    </xf>
    <xf numFmtId="0" fontId="0" fillId="16" borderId="57" xfId="0" applyFont="1" applyFill="1" applyBorder="1" applyAlignment="1" applyProtection="1">
      <alignment horizontal="center" vertical="top" wrapText="1"/>
      <protection locked="0"/>
    </xf>
    <xf numFmtId="0" fontId="0" fillId="16" borderId="8" xfId="0" applyFont="1" applyFill="1" applyBorder="1" applyAlignment="1" applyProtection="1">
      <alignment horizontal="center" vertical="top" wrapText="1"/>
      <protection locked="0"/>
    </xf>
    <xf numFmtId="0" fontId="3" fillId="3" borderId="15" xfId="0" applyFont="1" applyFill="1" applyBorder="1" applyAlignment="1" applyProtection="1">
      <alignment horizontal="right"/>
      <protection/>
    </xf>
    <xf numFmtId="0" fontId="3" fillId="3" borderId="8" xfId="0" applyFont="1" applyFill="1" applyBorder="1" applyAlignment="1" applyProtection="1">
      <alignment horizontal="right"/>
      <protection/>
    </xf>
    <xf numFmtId="0" fontId="3" fillId="6" borderId="15" xfId="0" applyFont="1" applyFill="1" applyBorder="1" applyAlignment="1">
      <alignment horizontal="center" vertical="center" wrapText="1"/>
    </xf>
    <xf numFmtId="0" fontId="3" fillId="0" borderId="8" xfId="0" applyFont="1" applyBorder="1" applyAlignment="1">
      <alignment horizontal="center" vertical="center" wrapText="1"/>
    </xf>
    <xf numFmtId="0" fontId="0" fillId="19" borderId="0" xfId="0" applyFill="1" applyAlignment="1" applyProtection="1">
      <alignment horizontal="left"/>
      <protection hidden="1"/>
    </xf>
    <xf numFmtId="2" fontId="57" fillId="6" borderId="36" xfId="0" applyNumberFormat="1" applyFont="1" applyFill="1" applyBorder="1" applyAlignment="1">
      <alignment/>
    </xf>
    <xf numFmtId="0" fontId="0" fillId="6" borderId="36" xfId="0" applyFill="1" applyBorder="1" applyAlignment="1">
      <alignment/>
    </xf>
  </cellXfs>
  <cellStyles count="17">
    <cellStyle name="Normal" xfId="0"/>
    <cellStyle name="Percent" xfId="15"/>
    <cellStyle name="Currency" xfId="16"/>
    <cellStyle name="Currency [0]" xfId="17"/>
    <cellStyle name="Comma" xfId="18"/>
    <cellStyle name="Comma [0]" xfId="19"/>
    <cellStyle name="Normal_DID-list Jan-2007" xfId="20"/>
    <cellStyle name="Hivatkozás" xfId="21"/>
    <cellStyle name="Normal 11 4" xfId="22"/>
    <cellStyle name="Standard 2" xfId="23"/>
    <cellStyle name="Komma 2" xfId="24"/>
    <cellStyle name="Normal_Kemi udenfor DID-listen" xfId="25"/>
    <cellStyle name="Normal 11 4 2" xfId="26"/>
    <cellStyle name="Százalék" xfId="27"/>
    <cellStyle name="Normál 2" xfId="28"/>
    <cellStyle name="Százalék 2" xfId="29"/>
    <cellStyle name="Normál 3" xfId="30"/>
  </cellStyles>
  <dxfs count="691">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0"/>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patternFill>
      </fill>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tint="0.3999499976634979"/>
        </patternFill>
      </fill>
      <border/>
    </dxf>
    <dxf>
      <fill>
        <patternFill>
          <bgColor theme="9" tint="0.3999499976634979"/>
        </patternFill>
      </fill>
      <border/>
    </dxf>
    <dxf>
      <fill>
        <patternFill>
          <bgColor theme="9" tint="0.3999499976634979"/>
        </patternFill>
      </fill>
      <border/>
    </dxf>
    <dxf>
      <fill>
        <patternFill>
          <bgColor theme="9" tint="0.3999499976634979"/>
        </patternFill>
      </fill>
      <border/>
    </dxf>
    <dxf>
      <fill>
        <patternFill>
          <bgColor theme="9" tint="0.3999499976634979"/>
        </pattern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tint="-0.24993999302387238"/>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ont>
        <color theme="0"/>
      </font>
      <border/>
    </dxf>
    <dxf>
      <fill>
        <patternFill>
          <bgColor theme="9"/>
        </patternFill>
      </fill>
      <border/>
    </dxf>
    <dxf>
      <font>
        <color theme="0"/>
      </font>
      <border/>
    </dxf>
    <dxf>
      <fill>
        <patternFill>
          <bgColor theme="9"/>
        </patternFill>
      </fill>
      <border/>
    </dxf>
    <dxf>
      <fill>
        <patternFill>
          <bgColor theme="9"/>
        </patternFill>
      </fill>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ill>
        <patternFill>
          <bgColor theme="9"/>
        </patternFill>
      </fill>
      <border/>
    </dxf>
    <dxf>
      <font>
        <color theme="0"/>
      </font>
      <border/>
    </dxf>
    <dxf>
      <fill>
        <patternFill>
          <bgColor theme="9"/>
        </patternFill>
      </fill>
      <border/>
    </dxf>
    <dxf>
      <font>
        <b/>
        <i val="0"/>
        <color rgb="FFFF0000"/>
      </font>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ill>
        <patternFill>
          <bgColor theme="9"/>
        </patternFill>
      </fill>
      <border/>
    </dxf>
    <dxf>
      <font>
        <color theme="0"/>
      </font>
      <border/>
    </dxf>
    <dxf>
      <fill>
        <patternFill>
          <bgColor theme="9"/>
        </patternFill>
      </fill>
      <border/>
    </dxf>
    <dxf>
      <fill>
        <patternFill>
          <bgColor theme="9"/>
        </patternFill>
      </fill>
      <border/>
    </dxf>
    <dxf>
      <fill>
        <patternFill>
          <bgColor theme="9"/>
        </patternFill>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patternType="none"/>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patternType="none"/>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patternType="none"/>
      </fill>
      <border/>
    </dxf>
    <dxf>
      <fill>
        <patternFill patternType="none"/>
      </fill>
      <border/>
    </dxf>
    <dxf>
      <fill>
        <patternFill patternType="none"/>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patternType="none"/>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patternType="none"/>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patternType="none"/>
      </fill>
      <border/>
    </dxf>
    <dxf>
      <fill>
        <patternFill patternType="none"/>
      </fill>
      <border/>
    </dxf>
    <dxf>
      <fill>
        <patternFill patternType="none"/>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patternType="solid">
          <bgColor theme="0"/>
        </patternFill>
      </fill>
      <border/>
    </dxf>
    <dxf>
      <fill>
        <patternFill>
          <bgColor theme="9" tint="0.5999600291252136"/>
        </patternFill>
      </fill>
      <border/>
    </dxf>
    <dxf>
      <fill>
        <patternFill>
          <bgColor rgb="FFFFFF99"/>
        </patternFill>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
      <fill>
        <patternFill>
          <bgColor theme="9" tint="0.3999499976634979"/>
        </patternFill>
      </fill>
    </dxf>
    <dxf>
      <font>
        <b/>
        <i val="0"/>
        <color rgb="FFFF0000"/>
      </font>
      <border/>
    </dxf>
    <dxf>
      <font>
        <b/>
        <i val="0"/>
        <color rgb="FFFF0000"/>
      </font>
      <border/>
    </dxf>
    <dxf>
      <font>
        <b/>
        <i val="0"/>
        <color rgb="FFFF0000"/>
      </font>
      <border/>
    </dxf>
    <dxf>
      <font>
        <b/>
        <i val="0"/>
        <color rgb="FFFF0000"/>
      </font>
      <border/>
    </dxf>
    <dxf>
      <fill>
        <patternFill>
          <bgColor theme="9" tint="0.3999499976634979"/>
        </patternFill>
      </fill>
      <border/>
    </dxf>
    <dxf>
      <fill>
        <patternFill>
          <bgColor theme="0"/>
        </patternFill>
      </fill>
      <border/>
    </dxf>
    <dxf>
      <font>
        <b/>
        <i val="0"/>
        <color rgb="FFFF0000"/>
      </font>
      <border/>
    </dxf>
    <dxf>
      <font>
        <b/>
        <i val="0"/>
        <color rgb="FFFF0000"/>
      </font>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ont>
        <color rgb="FFFF0000"/>
      </font>
      <border/>
    </dxf>
    <dxf>
      <font>
        <b/>
        <i val="0"/>
        <color rgb="FFFF0000"/>
      </font>
      <border/>
    </dxf>
    <dxf>
      <fill>
        <patternFill>
          <bgColor theme="9" tint="0.3999499976634979"/>
        </patternFill>
      </fill>
      <border/>
    </dxf>
    <dxf>
      <font>
        <b/>
        <i val="0"/>
        <color rgb="FFFF0000"/>
      </font>
      <border/>
    </dxf>
    <dxf>
      <fill>
        <patternFill>
          <bgColor rgb="FFFF9966"/>
        </patternFill>
      </fill>
      <border/>
    </dxf>
    <dxf>
      <fill>
        <patternFill>
          <bgColor rgb="FFFF9966"/>
        </patternFill>
      </fill>
      <border/>
    </dxf>
    <dxf>
      <fill>
        <patternFill>
          <bgColor theme="0"/>
        </patternFill>
      </fill>
      <border/>
    </dxf>
    <dxf>
      <fill>
        <patternFill>
          <bgColor rgb="FFFF9966"/>
        </patternFill>
      </fill>
      <border/>
    </dxf>
    <dxf>
      <font>
        <color theme="0"/>
      </font>
    </dxf>
    <dxf>
      <font>
        <color theme="0"/>
      </font>
    </dxf>
    <dxf>
      <font>
        <color theme="0"/>
      </font>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ill>
        <patternFill>
          <bgColor theme="0"/>
        </patternFill>
      </fill>
      <border/>
    </dxf>
    <dxf>
      <font>
        <color rgb="FFFF0000"/>
      </font>
      <border/>
    </dxf>
    <dxf>
      <fill>
        <patternFill>
          <bgColor rgb="FFFF0000"/>
        </patternFill>
      </fill>
    </dxf>
    <dxf>
      <font>
        <b/>
        <i val="0"/>
      </font>
      <fill>
        <patternFill>
          <bgColor theme="0"/>
        </patternFill>
      </fill>
    </dxf>
    <dxf>
      <fill>
        <patternFill>
          <bgColor theme="0"/>
        </patternFill>
      </fill>
      <border/>
    </dxf>
    <dxf>
      <font>
        <color rgb="FFFFFF99"/>
      </font>
      <border/>
    </dxf>
    <dxf>
      <font>
        <color theme="0"/>
      </font>
      <border/>
    </dxf>
    <dxf>
      <fill>
        <patternFill>
          <bgColor rgb="FF92D050"/>
        </patternFill>
      </fill>
      <border/>
    </dxf>
    <dxf>
      <fill>
        <patternFill>
          <bgColor rgb="FFFFC000"/>
        </patternFill>
      </fill>
      <border/>
    </dxf>
    <dxf>
      <font>
        <color rgb="FFFFFF99"/>
      </font>
      <border/>
    </dxf>
    <dxf>
      <font>
        <color rgb="FFFF0000"/>
      </font>
      <border/>
    </dxf>
    <dxf>
      <fill>
        <patternFill>
          <bgColor theme="0"/>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ctrlProps/ctrlProp1.xml><?xml version="1.0" encoding="utf-8"?>
<formControlPr xmlns="http://schemas.microsoft.com/office/spreadsheetml/2009/9/main" objectType="Drop" dropStyle="combo" dx="16" fmlaLink="$M$3" fmlaRange="$H$41:$H$44" noThreeD="1" sel="2" val="0"/>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CheckBox" fmlaLink="$L$356" lockText="1" noThreeD="1"/>
</file>

<file path=xl/ctrlProps/ctrlProp101.xml><?xml version="1.0" encoding="utf-8"?>
<formControlPr xmlns="http://schemas.microsoft.com/office/spreadsheetml/2009/9/main" objectType="CheckBox" fmlaLink="$L$366" lockText="1" noThreeD="1"/>
</file>

<file path=xl/ctrlProps/ctrlProp102.xml><?xml version="1.0" encoding="utf-8"?>
<formControlPr xmlns="http://schemas.microsoft.com/office/spreadsheetml/2009/9/main" objectType="CheckBox" fmlaLink="$L$358" lockText="1" noThreeD="1"/>
</file>

<file path=xl/ctrlProps/ctrlProp103.xml><?xml version="1.0" encoding="utf-8"?>
<formControlPr xmlns="http://schemas.microsoft.com/office/spreadsheetml/2009/9/main" objectType="CheckBox" fmlaLink="$L$361" lockText="1" noThreeD="1"/>
</file>

<file path=xl/ctrlProps/ctrlProp104.xml><?xml version="1.0" encoding="utf-8"?>
<formControlPr xmlns="http://schemas.microsoft.com/office/spreadsheetml/2009/9/main" objectType="CheckBox" fmlaLink="$L$364" lockText="1" noThreeD="1"/>
</file>

<file path=xl/ctrlProps/ctrlProp105.xml><?xml version="1.0" encoding="utf-8"?>
<formControlPr xmlns="http://schemas.microsoft.com/office/spreadsheetml/2009/9/main" objectType="CheckBox" checked="Checked" fmlaLink="$L$370" lockText="1" noThreeD="1"/>
</file>

<file path=xl/ctrlProps/ctrlProp106.xml><?xml version="1.0" encoding="utf-8"?>
<formControlPr xmlns="http://schemas.microsoft.com/office/spreadsheetml/2009/9/main" objectType="CheckBox" fmlaLink="$L$372" lockText="1" noThreeD="1"/>
</file>

<file path=xl/ctrlProps/ctrlProp107.xml><?xml version="1.0" encoding="utf-8"?>
<formControlPr xmlns="http://schemas.microsoft.com/office/spreadsheetml/2009/9/main" objectType="CheckBox" fmlaLink="$L$358" lockText="1" noThreeD="1"/>
</file>

<file path=xl/ctrlProps/ctrlProp108.xml><?xml version="1.0" encoding="utf-8"?>
<formControlPr xmlns="http://schemas.microsoft.com/office/spreadsheetml/2009/9/main" objectType="CheckBox" fmlaLink="$L$386" lockText="1" noThreeD="1"/>
</file>

<file path=xl/ctrlProps/ctrlProp109.xml><?xml version="1.0" encoding="utf-8"?>
<formControlPr xmlns="http://schemas.microsoft.com/office/spreadsheetml/2009/9/main" objectType="CheckBox" fmlaLink="$L$389" lockText="1" noThreeD="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CheckBox" fmlaLink="$L$394" lockText="1" noThreeD="1"/>
</file>

<file path=xl/ctrlProps/ctrlProp111.xml><?xml version="1.0" encoding="utf-8"?>
<formControlPr xmlns="http://schemas.microsoft.com/office/spreadsheetml/2009/9/main" objectType="CheckBox" fmlaLink="$L$401" lockText="1" noThreeD="1"/>
</file>

<file path=xl/ctrlProps/ctrlProp112.xml><?xml version="1.0" encoding="utf-8"?>
<formControlPr xmlns="http://schemas.microsoft.com/office/spreadsheetml/2009/9/main" objectType="CheckBox" fmlaLink="$L$406" lockText="1" noThreeD="1"/>
</file>

<file path=xl/ctrlProps/ctrlProp113.xml><?xml version="1.0" encoding="utf-8"?>
<formControlPr xmlns="http://schemas.microsoft.com/office/spreadsheetml/2009/9/main" objectType="CheckBox" fmlaLink="$L$409" lockText="1" noThreeD="1"/>
</file>

<file path=xl/ctrlProps/ctrlProp114.xml><?xml version="1.0" encoding="utf-8"?>
<formControlPr xmlns="http://schemas.microsoft.com/office/spreadsheetml/2009/9/main" objectType="CheckBox" fmlaLink="$L$414" lockText="1" noThreeD="1"/>
</file>

<file path=xl/ctrlProps/ctrlProp115.xml><?xml version="1.0" encoding="utf-8"?>
<formControlPr xmlns="http://schemas.microsoft.com/office/spreadsheetml/2009/9/main" objectType="CheckBox" fmlaLink="$L$417" lockText="1" noThreeD="1"/>
</file>

<file path=xl/ctrlProps/ctrlProp116.xml><?xml version="1.0" encoding="utf-8"?>
<formControlPr xmlns="http://schemas.microsoft.com/office/spreadsheetml/2009/9/main" objectType="CheckBox" fmlaLink="$L$423" lockText="1" noThreeD="1"/>
</file>

<file path=xl/ctrlProps/ctrlProp117.xml><?xml version="1.0" encoding="utf-8"?>
<formControlPr xmlns="http://schemas.microsoft.com/office/spreadsheetml/2009/9/main" objectType="CheckBox" fmlaLink="$L$426" lockText="1" noThreeD="1"/>
</file>

<file path=xl/ctrlProps/ctrlProp118.xml><?xml version="1.0" encoding="utf-8"?>
<formControlPr xmlns="http://schemas.microsoft.com/office/spreadsheetml/2009/9/main" objectType="CheckBox" fmlaLink="$L$429" lockText="1" noThreeD="1"/>
</file>

<file path=xl/ctrlProps/ctrlProp119.xml><?xml version="1.0" encoding="utf-8"?>
<formControlPr xmlns="http://schemas.microsoft.com/office/spreadsheetml/2009/9/main" objectType="CheckBox" fmlaLink="$L$432" lockText="1" noThreeD="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CheckBox" fmlaLink="$L$437" lockText="1" noThreeD="1"/>
</file>

<file path=xl/ctrlProps/ctrlProp121.xml><?xml version="1.0" encoding="utf-8"?>
<formControlPr xmlns="http://schemas.microsoft.com/office/spreadsheetml/2009/9/main" objectType="CheckBox" fmlaLink="$L$442" lockText="1" noThreeD="1"/>
</file>

<file path=xl/ctrlProps/ctrlProp122.xml><?xml version="1.0" encoding="utf-8"?>
<formControlPr xmlns="http://schemas.microsoft.com/office/spreadsheetml/2009/9/main" objectType="CheckBox" fmlaLink="$L$445" lockText="1" noThreeD="1"/>
</file>

<file path=xl/ctrlProps/ctrlProp123.xml><?xml version="1.0" encoding="utf-8"?>
<formControlPr xmlns="http://schemas.microsoft.com/office/spreadsheetml/2009/9/main" objectType="CheckBox" fmlaLink="$L$450" lockText="1" noThreeD="1"/>
</file>

<file path=xl/ctrlProps/ctrlProp124.xml><?xml version="1.0" encoding="utf-8"?>
<formControlPr xmlns="http://schemas.microsoft.com/office/spreadsheetml/2009/9/main" objectType="CheckBox" fmlaLink="$L$453" lockText="1" noThreeD="1"/>
</file>

<file path=xl/ctrlProps/ctrlProp125.xml><?xml version="1.0" encoding="utf-8"?>
<formControlPr xmlns="http://schemas.microsoft.com/office/spreadsheetml/2009/9/main" objectType="CheckBox" fmlaLink="$L$458" lockText="1" noThreeD="1"/>
</file>

<file path=xl/ctrlProps/ctrlProp126.xml><?xml version="1.0" encoding="utf-8"?>
<formControlPr xmlns="http://schemas.microsoft.com/office/spreadsheetml/2009/9/main" objectType="CheckBox" fmlaLink="$L$464" lockText="1" noThreeD="1"/>
</file>

<file path=xl/ctrlProps/ctrlProp127.xml><?xml version="1.0" encoding="utf-8"?>
<formControlPr xmlns="http://schemas.microsoft.com/office/spreadsheetml/2009/9/main" objectType="CheckBox" fmlaLink="$L$5" lockText="1" noThreeD="1"/>
</file>

<file path=xl/ctrlProps/ctrlProp128.xml><?xml version="1.0" encoding="utf-8"?>
<formControlPr xmlns="http://schemas.microsoft.com/office/spreadsheetml/2009/9/main" objectType="CheckBox" fmlaLink="$L$18" lockText="1" noThreeD="1"/>
</file>

<file path=xl/ctrlProps/ctrlProp129.xml><?xml version="1.0" encoding="utf-8"?>
<formControlPr xmlns="http://schemas.microsoft.com/office/spreadsheetml/2009/9/main" objectType="CheckBox" fmlaLink="$L$22" lockText="1" noThreeD="1"/>
</file>

<file path=xl/ctrlProps/ctrlProp13.xml><?xml version="1.0" encoding="utf-8"?>
<formControlPr xmlns="http://schemas.microsoft.com/office/spreadsheetml/2009/9/main" objectType="CheckBox" fmlaLink="$L$11" lockText="1" noThreeD="1"/>
</file>

<file path=xl/ctrlProps/ctrlProp130.xml><?xml version="1.0" encoding="utf-8"?>
<formControlPr xmlns="http://schemas.microsoft.com/office/spreadsheetml/2009/9/main" objectType="CheckBox" fmlaLink="$L$41" lockText="1" noThreeD="1"/>
</file>

<file path=xl/ctrlProps/ctrlProp131.xml><?xml version="1.0" encoding="utf-8"?>
<formControlPr xmlns="http://schemas.microsoft.com/office/spreadsheetml/2009/9/main" objectType="CheckBox" fmlaLink="$L$24" lockText="1" noThreeD="1"/>
</file>

<file path=xl/ctrlProps/ctrlProp132.xml><?xml version="1.0" encoding="utf-8"?>
<formControlPr xmlns="http://schemas.microsoft.com/office/spreadsheetml/2009/9/main" objectType="CheckBox" fmlaLink="$L$50" lockText="1" noThreeD="1"/>
</file>

<file path=xl/ctrlProps/ctrlProp133.xml><?xml version="1.0" encoding="utf-8"?>
<formControlPr xmlns="http://schemas.microsoft.com/office/spreadsheetml/2009/9/main" objectType="CheckBox" fmlaLink="$L$55" lockText="1" noThreeD="1"/>
</file>

<file path=xl/ctrlProps/ctrlProp134.xml><?xml version="1.0" encoding="utf-8"?>
<formControlPr xmlns="http://schemas.microsoft.com/office/spreadsheetml/2009/9/main" objectType="CheckBox" fmlaLink="$L$57" lockText="1" noThreeD="1"/>
</file>

<file path=xl/ctrlProps/ctrlProp135.xml><?xml version="1.0" encoding="utf-8"?>
<formControlPr xmlns="http://schemas.microsoft.com/office/spreadsheetml/2009/9/main" objectType="CheckBox" fmlaLink="$L$72" lockText="1" noThreeD="1"/>
</file>

<file path=xl/ctrlProps/ctrlProp136.xml><?xml version="1.0" encoding="utf-8"?>
<formControlPr xmlns="http://schemas.microsoft.com/office/spreadsheetml/2009/9/main" objectType="CheckBox" fmlaLink="$L$76" lockText="1" noThreeD="1"/>
</file>

<file path=xl/ctrlProps/ctrlProp137.xml><?xml version="1.0" encoding="utf-8"?>
<formControlPr xmlns="http://schemas.microsoft.com/office/spreadsheetml/2009/9/main" objectType="CheckBox" fmlaLink="$L$89" lockText="1" noThreeD="1"/>
</file>

<file path=xl/ctrlProps/ctrlProp138.xml><?xml version="1.0" encoding="utf-8"?>
<formControlPr xmlns="http://schemas.microsoft.com/office/spreadsheetml/2009/9/main" objectType="CheckBox" fmlaLink="$L$93" lockText="1" noThreeD="1"/>
</file>

<file path=xl/ctrlProps/ctrlProp139.xml><?xml version="1.0" encoding="utf-8"?>
<formControlPr xmlns="http://schemas.microsoft.com/office/spreadsheetml/2009/9/main" objectType="CheckBox" fmlaLink="$L$95" lockText="1" noThreeD="1"/>
</file>

<file path=xl/ctrlProps/ctrlProp14.xml><?xml version="1.0" encoding="utf-8"?>
<formControlPr xmlns="http://schemas.microsoft.com/office/spreadsheetml/2009/9/main" objectType="CheckBox" fmlaLink="$L$13" lockText="1" noThreeD="1"/>
</file>

<file path=xl/ctrlProps/ctrlProp140.xml><?xml version="1.0" encoding="utf-8"?>
<formControlPr xmlns="http://schemas.microsoft.com/office/spreadsheetml/2009/9/main" objectType="CheckBox" fmlaLink="$L$117" lockText="1" noThreeD="1"/>
</file>

<file path=xl/ctrlProps/ctrlProp141.xml><?xml version="1.0" encoding="utf-8"?>
<formControlPr xmlns="http://schemas.microsoft.com/office/spreadsheetml/2009/9/main" objectType="CheckBox" fmlaLink="$L$119" lockText="1" noThreeD="1"/>
</file>

<file path=xl/ctrlProps/ctrlProp142.xml><?xml version="1.0" encoding="utf-8"?>
<formControlPr xmlns="http://schemas.microsoft.com/office/spreadsheetml/2009/9/main" objectType="CheckBox" fmlaLink="$L$121" lockText="1" noThreeD="1"/>
</file>

<file path=xl/ctrlProps/ctrlProp143.xml><?xml version="1.0" encoding="utf-8"?>
<formControlPr xmlns="http://schemas.microsoft.com/office/spreadsheetml/2009/9/main" objectType="CheckBox" fmlaLink="$L$123" lockText="1" noThreeD="1"/>
</file>

<file path=xl/ctrlProps/ctrlProp144.xml><?xml version="1.0" encoding="utf-8"?>
<formControlPr xmlns="http://schemas.microsoft.com/office/spreadsheetml/2009/9/main" objectType="CheckBox" fmlaLink="$L$133" lockText="1" noThreeD="1"/>
</file>

<file path=xl/ctrlProps/ctrlProp145.xml><?xml version="1.0" encoding="utf-8"?>
<formControlPr xmlns="http://schemas.microsoft.com/office/spreadsheetml/2009/9/main" objectType="CheckBox" fmlaLink="$L$135" lockText="1" noThreeD="1"/>
</file>

<file path=xl/ctrlProps/ctrlProp146.xml><?xml version="1.0" encoding="utf-8"?>
<formControlPr xmlns="http://schemas.microsoft.com/office/spreadsheetml/2009/9/main" objectType="CheckBox" fmlaLink="$L$133" lockText="1" noThreeD="1"/>
</file>

<file path=xl/ctrlProps/ctrlProp147.xml><?xml version="1.0" encoding="utf-8"?>
<formControlPr xmlns="http://schemas.microsoft.com/office/spreadsheetml/2009/9/main" objectType="CheckBox" fmlaLink="$L$153" lockText="1" noThreeD="1"/>
</file>

<file path=xl/ctrlProps/ctrlProp148.xml><?xml version="1.0" encoding="utf-8"?>
<formControlPr xmlns="http://schemas.microsoft.com/office/spreadsheetml/2009/9/main" objectType="CheckBox" fmlaLink="$L$133" lockText="1" noThreeD="1"/>
</file>

<file path=xl/ctrlProps/ctrlProp149.xml><?xml version="1.0" encoding="utf-8"?>
<formControlPr xmlns="http://schemas.microsoft.com/office/spreadsheetml/2009/9/main" objectType="CheckBox" fmlaLink="$L$176" lockText="1" noThreeD="1"/>
</file>

<file path=xl/ctrlProps/ctrlProp15.xml><?xml version="1.0" encoding="utf-8"?>
<formControlPr xmlns="http://schemas.microsoft.com/office/spreadsheetml/2009/9/main" objectType="CheckBox" fmlaLink="$L$17" lockText="1" noThreeD="1"/>
</file>

<file path=xl/ctrlProps/ctrlProp150.xml><?xml version="1.0" encoding="utf-8"?>
<formControlPr xmlns="http://schemas.microsoft.com/office/spreadsheetml/2009/9/main" objectType="CheckBox" fmlaLink="$L$180" lockText="1" noThreeD="1"/>
</file>

<file path=xl/ctrlProps/ctrlProp151.xml><?xml version="1.0" encoding="utf-8"?>
<formControlPr xmlns="http://schemas.microsoft.com/office/spreadsheetml/2009/9/main" objectType="CheckBox" fmlaLink="$L$187" lockText="1" noThreeD="1"/>
</file>

<file path=xl/ctrlProps/ctrlProp152.xml><?xml version="1.0" encoding="utf-8"?>
<formControlPr xmlns="http://schemas.microsoft.com/office/spreadsheetml/2009/9/main" objectType="CheckBox" fmlaLink="$L$189" lockText="1" noThreeD="1"/>
</file>

<file path=xl/ctrlProps/ctrlProp153.xml><?xml version="1.0" encoding="utf-8"?>
<formControlPr xmlns="http://schemas.microsoft.com/office/spreadsheetml/2009/9/main" objectType="CheckBox" fmlaLink="$L$201" lockText="1" noThreeD="1"/>
</file>

<file path=xl/ctrlProps/ctrlProp154.xml><?xml version="1.0" encoding="utf-8"?>
<formControlPr xmlns="http://schemas.microsoft.com/office/spreadsheetml/2009/9/main" objectType="CheckBox" fmlaLink="$L$225" lockText="1" noThreeD="1"/>
</file>

<file path=xl/ctrlProps/ctrlProp155.xml><?xml version="1.0" encoding="utf-8"?>
<formControlPr xmlns="http://schemas.microsoft.com/office/spreadsheetml/2009/9/main" objectType="CheckBox" fmlaLink="$L$266" lockText="1" noThreeD="1"/>
</file>

<file path=xl/ctrlProps/ctrlProp156.xml><?xml version="1.0" encoding="utf-8"?>
<formControlPr xmlns="http://schemas.microsoft.com/office/spreadsheetml/2009/9/main" objectType="CheckBox" fmlaLink="$L$205" lockText="1" noThreeD="1"/>
</file>

<file path=xl/ctrlProps/ctrlProp157.xml><?xml version="1.0" encoding="utf-8"?>
<formControlPr xmlns="http://schemas.microsoft.com/office/spreadsheetml/2009/9/main" objectType="CheckBox" fmlaLink="$L$263" lockText="1" noThreeD="1"/>
</file>

<file path=xl/ctrlProps/ctrlProp158.xml><?xml version="1.0" encoding="utf-8"?>
<formControlPr xmlns="http://schemas.microsoft.com/office/spreadsheetml/2009/9/main" objectType="CheckBox" fmlaLink="$L$268" lockText="1" noThreeD="1"/>
</file>

<file path=xl/ctrlProps/ctrlProp159.xml><?xml version="1.0" encoding="utf-8"?>
<formControlPr xmlns="http://schemas.microsoft.com/office/spreadsheetml/2009/9/main" objectType="CheckBox" fmlaLink="$L$271" lockText="1" noThreeD="1"/>
</file>

<file path=xl/ctrlProps/ctrlProp16.xml><?xml version="1.0" encoding="utf-8"?>
<formControlPr xmlns="http://schemas.microsoft.com/office/spreadsheetml/2009/9/main" objectType="CheckBox" fmlaLink="$L$19" lockText="1" noThreeD="1"/>
</file>

<file path=xl/ctrlProps/ctrlProp160.xml><?xml version="1.0" encoding="utf-8"?>
<formControlPr xmlns="http://schemas.microsoft.com/office/spreadsheetml/2009/9/main" objectType="CheckBox" fmlaLink="$L$292" lockText="1" noThreeD="1"/>
</file>

<file path=xl/ctrlProps/ctrlProp161.xml><?xml version="1.0" encoding="utf-8"?>
<formControlPr xmlns="http://schemas.microsoft.com/office/spreadsheetml/2009/9/main" objectType="CheckBox" fmlaLink="$L$296" lockText="1" noThreeD="1"/>
</file>

<file path=xl/ctrlProps/ctrlProp162.xml><?xml version="1.0" encoding="utf-8"?>
<formControlPr xmlns="http://schemas.microsoft.com/office/spreadsheetml/2009/9/main" objectType="CheckBox" fmlaLink="$L$299" lockText="1" noThreeD="1"/>
</file>

<file path=xl/ctrlProps/ctrlProp163.xml><?xml version="1.0" encoding="utf-8"?>
<formControlPr xmlns="http://schemas.microsoft.com/office/spreadsheetml/2009/9/main" objectType="CheckBox" fmlaLink="$L$301" lockText="1" noThreeD="1"/>
</file>

<file path=xl/ctrlProps/ctrlProp164.xml><?xml version="1.0" encoding="utf-8"?>
<formControlPr xmlns="http://schemas.microsoft.com/office/spreadsheetml/2009/9/main" objectType="CheckBox" fmlaLink="$L$305" lockText="1" noThreeD="1"/>
</file>

<file path=xl/ctrlProps/ctrlProp165.xml><?xml version="1.0" encoding="utf-8"?>
<formControlPr xmlns="http://schemas.microsoft.com/office/spreadsheetml/2009/9/main" objectType="CheckBox" fmlaLink="$L$307" lockText="1" noThreeD="1"/>
</file>

<file path=xl/ctrlProps/ctrlProp166.xml><?xml version="1.0" encoding="utf-8"?>
<formControlPr xmlns="http://schemas.microsoft.com/office/spreadsheetml/2009/9/main" objectType="CheckBox" fmlaLink="$L$309" lockText="1" noThreeD="1"/>
</file>

<file path=xl/ctrlProps/ctrlProp167.xml><?xml version="1.0" encoding="utf-8"?>
<formControlPr xmlns="http://schemas.microsoft.com/office/spreadsheetml/2009/9/main" objectType="CheckBox" fmlaLink="$L$315" lockText="1" noThreeD="1"/>
</file>

<file path=xl/ctrlProps/ctrlProp168.xml><?xml version="1.0" encoding="utf-8"?>
<formControlPr xmlns="http://schemas.microsoft.com/office/spreadsheetml/2009/9/main" objectType="CheckBox" fmlaLink="$L$317" lockText="1" noThreeD="1"/>
</file>

<file path=xl/ctrlProps/ctrlProp169.xml><?xml version="1.0" encoding="utf-8"?>
<formControlPr xmlns="http://schemas.microsoft.com/office/spreadsheetml/2009/9/main" objectType="CheckBox" fmlaLink="$L$313" lockText="1" noThreeD="1"/>
</file>

<file path=xl/ctrlProps/ctrlProp17.xml><?xml version="1.0" encoding="utf-8"?>
<formControlPr xmlns="http://schemas.microsoft.com/office/spreadsheetml/2009/9/main" objectType="CheckBox" fmlaLink="$L$21" lockText="1" noThreeD="1"/>
</file>

<file path=xl/ctrlProps/ctrlProp170.xml><?xml version="1.0" encoding="utf-8"?>
<formControlPr xmlns="http://schemas.microsoft.com/office/spreadsheetml/2009/9/main" objectType="CheckBox" fmlaLink="$L$322" lockText="1" noThreeD="1"/>
</file>

<file path=xl/ctrlProps/ctrlProp171.xml><?xml version="1.0" encoding="utf-8"?>
<formControlPr xmlns="http://schemas.microsoft.com/office/spreadsheetml/2009/9/main" objectType="CheckBox" fmlaLink="$L$351" lockText="1" noThreeD="1"/>
</file>

<file path=xl/ctrlProps/ctrlProp172.xml><?xml version="1.0" encoding="utf-8"?>
<formControlPr xmlns="http://schemas.microsoft.com/office/spreadsheetml/2009/9/main" objectType="CheckBox" fmlaLink="$L$326" lockText="1" noThreeD="1"/>
</file>

<file path=xl/ctrlProps/ctrlProp173.xml><?xml version="1.0" encoding="utf-8"?>
<formControlPr xmlns="http://schemas.microsoft.com/office/spreadsheetml/2009/9/main" objectType="CheckBox" fmlaLink="$L$328" lockText="1" noThreeD="1"/>
</file>

<file path=xl/ctrlProps/ctrlProp174.xml><?xml version="1.0" encoding="utf-8"?>
<formControlPr xmlns="http://schemas.microsoft.com/office/spreadsheetml/2009/9/main" objectType="CheckBox" fmlaLink="$L$330" lockText="1" noThreeD="1"/>
</file>

<file path=xl/ctrlProps/ctrlProp175.xml><?xml version="1.0" encoding="utf-8"?>
<formControlPr xmlns="http://schemas.microsoft.com/office/spreadsheetml/2009/9/main" objectType="CheckBox" fmlaLink="$L$336" lockText="1" noThreeD="1"/>
</file>

<file path=xl/ctrlProps/ctrlProp176.xml><?xml version="1.0" encoding="utf-8"?>
<formControlPr xmlns="http://schemas.microsoft.com/office/spreadsheetml/2009/9/main" objectType="CheckBox" fmlaLink="$L$338" lockText="1" noThreeD="1"/>
</file>

<file path=xl/ctrlProps/ctrlProp177.xml><?xml version="1.0" encoding="utf-8"?>
<formControlPr xmlns="http://schemas.microsoft.com/office/spreadsheetml/2009/9/main" objectType="CheckBox" fmlaLink="$L$334" lockText="1" noThreeD="1"/>
</file>

<file path=xl/ctrlProps/ctrlProp178.xml><?xml version="1.0" encoding="utf-8"?>
<formControlPr xmlns="http://schemas.microsoft.com/office/spreadsheetml/2009/9/main" objectType="CheckBox" fmlaLink="$L$345" lockText="1" noThreeD="1"/>
</file>

<file path=xl/ctrlProps/ctrlProp179.xml><?xml version="1.0" encoding="utf-8"?>
<formControlPr xmlns="http://schemas.microsoft.com/office/spreadsheetml/2009/9/main" objectType="CheckBox" fmlaLink="$L$347" lockText="1" noThreeD="1"/>
</file>

<file path=xl/ctrlProps/ctrlProp18.xml><?xml version="1.0" encoding="utf-8"?>
<formControlPr xmlns="http://schemas.microsoft.com/office/spreadsheetml/2009/9/main" objectType="CheckBox" fmlaLink="$L$23" lockText="1" noThreeD="1"/>
</file>

<file path=xl/ctrlProps/ctrlProp180.xml><?xml version="1.0" encoding="utf-8"?>
<formControlPr xmlns="http://schemas.microsoft.com/office/spreadsheetml/2009/9/main" objectType="CheckBox" fmlaLink="$L$349" lockText="1" noThreeD="1"/>
</file>

<file path=xl/ctrlProps/ctrlProp181.xml><?xml version="1.0" encoding="utf-8"?>
<formControlPr xmlns="http://schemas.microsoft.com/office/spreadsheetml/2009/9/main" objectType="CheckBox" fmlaLink="$L$352" lockText="1" noThreeD="1"/>
</file>

<file path=xl/ctrlProps/ctrlProp182.xml><?xml version="1.0" encoding="utf-8"?>
<formControlPr xmlns="http://schemas.microsoft.com/office/spreadsheetml/2009/9/main" objectType="CheckBox" fmlaLink="$L$356" lockText="1" noThreeD="1"/>
</file>

<file path=xl/ctrlProps/ctrlProp183.xml><?xml version="1.0" encoding="utf-8"?>
<formControlPr xmlns="http://schemas.microsoft.com/office/spreadsheetml/2009/9/main" objectType="CheckBox" fmlaLink="$L$366" lockText="1" noThreeD="1"/>
</file>

<file path=xl/ctrlProps/ctrlProp184.xml><?xml version="1.0" encoding="utf-8"?>
<formControlPr xmlns="http://schemas.microsoft.com/office/spreadsheetml/2009/9/main" objectType="CheckBox" fmlaLink="$L$361" lockText="1" noThreeD="1"/>
</file>

<file path=xl/ctrlProps/ctrlProp185.xml><?xml version="1.0" encoding="utf-8"?>
<formControlPr xmlns="http://schemas.microsoft.com/office/spreadsheetml/2009/9/main" objectType="CheckBox" fmlaLink="$L$364" lockText="1" noThreeD="1"/>
</file>

<file path=xl/ctrlProps/ctrlProp186.xml><?xml version="1.0" encoding="utf-8"?>
<formControlPr xmlns="http://schemas.microsoft.com/office/spreadsheetml/2009/9/main" objectType="CheckBox" fmlaLink="$L$469" lockText="1" noThreeD="1"/>
</file>

<file path=xl/ctrlProps/ctrlProp187.xml><?xml version="1.0" encoding="utf-8"?>
<formControlPr xmlns="http://schemas.microsoft.com/office/spreadsheetml/2009/9/main" objectType="CheckBox" fmlaLink="$L$471" lockText="1" noThreeD="1"/>
</file>

<file path=xl/ctrlProps/ctrlProp188.xml><?xml version="1.0" encoding="utf-8"?>
<formControlPr xmlns="http://schemas.microsoft.com/office/spreadsheetml/2009/9/main" objectType="CheckBox" fmlaLink="$L$488" lockText="1" noThreeD="1"/>
</file>

<file path=xl/ctrlProps/ctrlProp189.xml><?xml version="1.0" encoding="utf-8"?>
<formControlPr xmlns="http://schemas.microsoft.com/office/spreadsheetml/2009/9/main" objectType="CheckBox" fmlaLink="$L$379" lockText="1" noThreeD="1"/>
</file>

<file path=xl/ctrlProps/ctrlProp19.xml><?xml version="1.0" encoding="utf-8"?>
<formControlPr xmlns="http://schemas.microsoft.com/office/spreadsheetml/2009/9/main" objectType="CheckBox" fmlaLink="$L$27" lockText="1" noThreeD="1"/>
</file>

<file path=xl/ctrlProps/ctrlProp190.xml><?xml version="1.0" encoding="utf-8"?>
<formControlPr xmlns="http://schemas.microsoft.com/office/spreadsheetml/2009/9/main" objectType="CheckBox" fmlaLink="$L$382" lockText="1" noThreeD="1"/>
</file>

<file path=xl/ctrlProps/ctrlProp191.xml><?xml version="1.0" encoding="utf-8"?>
<formControlPr xmlns="http://schemas.microsoft.com/office/spreadsheetml/2009/9/main" objectType="CheckBox" fmlaLink="$L$380" lockText="1" noThreeD="1"/>
</file>

<file path=xl/ctrlProps/ctrlProp192.xml><?xml version="1.0" encoding="utf-8"?>
<formControlPr xmlns="http://schemas.microsoft.com/office/spreadsheetml/2009/9/main" objectType="CheckBox" fmlaLink="$L$381" lockText="1" noThreeD="1"/>
</file>

<file path=xl/ctrlProps/ctrlProp193.xml><?xml version="1.0" encoding="utf-8"?>
<formControlPr xmlns="http://schemas.microsoft.com/office/spreadsheetml/2009/9/main" objectType="CheckBox" fmlaLink="$L$306" lockText="1" noThreeD="1"/>
</file>

<file path=xl/ctrlProps/ctrlProp194.xml><?xml version="1.0" encoding="utf-8"?>
<formControlPr xmlns="http://schemas.microsoft.com/office/spreadsheetml/2009/9/main" objectType="CheckBox" fmlaLink="$L$13" lockText="1" noThreeD="1"/>
</file>

<file path=xl/ctrlProps/ctrlProp195.xml><?xml version="1.0" encoding="utf-8"?>
<formControlPr xmlns="http://schemas.microsoft.com/office/spreadsheetml/2009/9/main" objectType="CheckBox" fmlaLink="$L$15" lockText="1" noThreeD="1"/>
</file>

<file path=xl/ctrlProps/ctrlProp196.xml><?xml version="1.0" encoding="utf-8"?>
<formControlPr xmlns="http://schemas.microsoft.com/office/spreadsheetml/2009/9/main" objectType="CheckBox" fmlaLink="$L$17" lockText="1" noThreeD="1"/>
</file>

<file path=xl/ctrlProps/ctrlProp197.xml><?xml version="1.0" encoding="utf-8"?>
<formControlPr xmlns="http://schemas.microsoft.com/office/spreadsheetml/2009/9/main" objectType="CheckBox" fmlaLink="$L$23" lockText="1" noThreeD="1"/>
</file>

<file path=xl/ctrlProps/ctrlProp198.xml><?xml version="1.0" encoding="utf-8"?>
<formControlPr xmlns="http://schemas.microsoft.com/office/spreadsheetml/2009/9/main" objectType="CheckBox" fmlaLink="$L$25" lockText="1" noThreeD="1"/>
</file>

<file path=xl/ctrlProps/ctrlProp199.xml><?xml version="1.0" encoding="utf-8"?>
<formControlPr xmlns="http://schemas.microsoft.com/office/spreadsheetml/2009/9/main" objectType="CheckBox" fmlaLink="$L$27" lockText="1" noThreeD="1"/>
</file>

<file path=xl/ctrlProps/ctrlProp2.xml><?xml version="1.0" encoding="utf-8"?>
<formControlPr xmlns="http://schemas.microsoft.com/office/spreadsheetml/2009/9/main" objectType="Drop" dropLines="2" dropStyle="combo" dx="16" fmlaLink="$M$1" fmlaRange="Adatlap!$H$27:$H$28" noThreeD="1" sel="1" val="0"/>
</file>

<file path=xl/ctrlProps/ctrlProp20.xml><?xml version="1.0" encoding="utf-8"?>
<formControlPr xmlns="http://schemas.microsoft.com/office/spreadsheetml/2009/9/main" objectType="CheckBox" fmlaLink="$L$29" lockText="1" noThreeD="1"/>
</file>

<file path=xl/ctrlProps/ctrlProp200.xml><?xml version="1.0" encoding="utf-8"?>
<formControlPr xmlns="http://schemas.microsoft.com/office/spreadsheetml/2009/9/main" objectType="CheckBox" fmlaLink="$L$39" lockText="1" noThreeD="1"/>
</file>

<file path=xl/ctrlProps/ctrlProp201.xml><?xml version="1.0" encoding="utf-8"?>
<formControlPr xmlns="http://schemas.microsoft.com/office/spreadsheetml/2009/9/main" objectType="CheckBox" fmlaLink="$L$34" lockText="1" noThreeD="1"/>
</file>

<file path=xl/ctrlProps/ctrlProp202.xml><?xml version="1.0" encoding="utf-8"?>
<formControlPr xmlns="http://schemas.microsoft.com/office/spreadsheetml/2009/9/main" objectType="CheckBox" fmlaLink="$L$53" lockText="1" noThreeD="1"/>
</file>

<file path=xl/ctrlProps/ctrlProp203.xml><?xml version="1.0" encoding="utf-8"?>
<formControlPr xmlns="http://schemas.microsoft.com/office/spreadsheetml/2009/9/main" objectType="CheckBox" fmlaLink="$L$37" lockText="1" noThreeD="1"/>
</file>

<file path=xl/ctrlProps/ctrlProp204.xml><?xml version="1.0" encoding="utf-8"?>
<formControlPr xmlns="http://schemas.microsoft.com/office/spreadsheetml/2009/9/main" objectType="CheckBox" fmlaLink="$L$38" lockText="1" noThreeD="1"/>
</file>

<file path=xl/ctrlProps/ctrlProp205.xml><?xml version="1.0" encoding="utf-8"?>
<formControlPr xmlns="http://schemas.microsoft.com/office/spreadsheetml/2009/9/main" objectType="CheckBox" fmlaLink="$L$44" lockText="1" noThreeD="1"/>
</file>

<file path=xl/ctrlProps/ctrlProp206.xml><?xml version="1.0" encoding="utf-8"?>
<formControlPr xmlns="http://schemas.microsoft.com/office/spreadsheetml/2009/9/main" objectType="Drop" dropLines="9" dropStyle="combo" dx="16" fmlaLink="$L$5" fmlaRange="$N$2:$N$10" noThreeD="1" sel="1" val="0"/>
</file>

<file path=xl/ctrlProps/ctrlProp207.xml><?xml version="1.0" encoding="utf-8"?>
<formControlPr xmlns="http://schemas.microsoft.com/office/spreadsheetml/2009/9/main" objectType="CheckBox" fmlaLink="$L$50" lockText="1" noThreeD="1"/>
</file>

<file path=xl/ctrlProps/ctrlProp208.xml><?xml version="1.0" encoding="utf-8"?>
<formControlPr xmlns="http://schemas.microsoft.com/office/spreadsheetml/2009/9/main" objectType="CheckBox" fmlaLink="$L$41" lockText="1" noThreeD="1"/>
</file>

<file path=xl/ctrlProps/ctrlProp209.xml><?xml version="1.0" encoding="utf-8"?>
<formControlPr xmlns="http://schemas.microsoft.com/office/spreadsheetml/2009/9/main" objectType="CheckBox" fmlaLink="$L$42" lockText="1" noThreeD="1"/>
</file>

<file path=xl/ctrlProps/ctrlProp21.xml><?xml version="1.0" encoding="utf-8"?>
<formControlPr xmlns="http://schemas.microsoft.com/office/spreadsheetml/2009/9/main" objectType="CheckBox" fmlaLink="$L$33" lockText="1" noThreeD="1"/>
</file>

<file path=xl/ctrlProps/ctrlProp210.xml><?xml version="1.0" encoding="utf-8"?>
<formControlPr xmlns="http://schemas.microsoft.com/office/spreadsheetml/2009/9/main" objectType="CheckBox" fmlaLink="$L$61" lockText="1" noThreeD="1"/>
</file>

<file path=xl/ctrlProps/ctrlProp211.xml><?xml version="1.0" encoding="utf-8"?>
<formControlPr xmlns="http://schemas.microsoft.com/office/spreadsheetml/2009/9/main" objectType="CheckBox" fmlaLink="$L$67" lockText="1" noThreeD="1"/>
</file>

<file path=xl/ctrlProps/ctrlProp212.xml><?xml version="1.0" encoding="utf-8"?>
<formControlPr xmlns="http://schemas.microsoft.com/office/spreadsheetml/2009/9/main" objectType="CheckBox" fmlaLink="$L$68" lockText="1" noThreeD="1"/>
</file>

<file path=xl/ctrlProps/ctrlProp213.xml><?xml version="1.0" encoding="utf-8"?>
<formControlPr xmlns="http://schemas.microsoft.com/office/spreadsheetml/2009/9/main" objectType="CheckBox" fmlaLink="$L$74" lockText="1" noThreeD="1"/>
</file>

<file path=xl/ctrlProps/ctrlProp214.xml><?xml version="1.0" encoding="utf-8"?>
<formControlPr xmlns="http://schemas.microsoft.com/office/spreadsheetml/2009/9/main" objectType="CheckBox" fmlaLink="$L$78" lockText="1" noThreeD="1"/>
</file>

<file path=xl/ctrlProps/ctrlProp215.xml><?xml version="1.0" encoding="utf-8"?>
<formControlPr xmlns="http://schemas.microsoft.com/office/spreadsheetml/2009/9/main" objectType="CheckBox" fmlaLink="$L$84" lockText="1" noThreeD="1"/>
</file>

<file path=xl/ctrlProps/ctrlProp216.xml><?xml version="1.0" encoding="utf-8"?>
<formControlPr xmlns="http://schemas.microsoft.com/office/spreadsheetml/2009/9/main" objectType="CheckBox" fmlaLink="$L$92" lockText="1" noThreeD="1"/>
</file>

<file path=xl/ctrlProps/ctrlProp217.xml><?xml version="1.0" encoding="utf-8"?>
<formControlPr xmlns="http://schemas.microsoft.com/office/spreadsheetml/2009/9/main" objectType="CheckBox" fmlaLink="$L$93" lockText="1" noThreeD="1"/>
</file>

<file path=xl/ctrlProps/ctrlProp218.xml><?xml version="1.0" encoding="utf-8"?>
<formControlPr xmlns="http://schemas.microsoft.com/office/spreadsheetml/2009/9/main" objectType="CheckBox" fmlaLink="$L$96" lockText="1" noThreeD="1"/>
</file>

<file path=xl/ctrlProps/ctrlProp219.xml><?xml version="1.0" encoding="utf-8"?>
<formControlPr xmlns="http://schemas.microsoft.com/office/spreadsheetml/2009/9/main" objectType="CheckBox" fmlaLink="$L$97" lockText="1" noThreeD="1"/>
</file>

<file path=xl/ctrlProps/ctrlProp22.xml><?xml version="1.0" encoding="utf-8"?>
<formControlPr xmlns="http://schemas.microsoft.com/office/spreadsheetml/2009/9/main" objectType="CheckBox" fmlaLink="$L$35" lockText="1" noThreeD="1"/>
</file>

<file path=xl/ctrlProps/ctrlProp220.xml><?xml version="1.0" encoding="utf-8"?>
<formControlPr xmlns="http://schemas.microsoft.com/office/spreadsheetml/2009/9/main" objectType="CheckBox" fmlaLink="$L$99" lockText="1" noThreeD="1"/>
</file>

<file path=xl/ctrlProps/ctrlProp221.xml><?xml version="1.0" encoding="utf-8"?>
<formControlPr xmlns="http://schemas.microsoft.com/office/spreadsheetml/2009/9/main" objectType="CheckBox" fmlaLink="$L$105" lockText="1" noThreeD="1"/>
</file>

<file path=xl/ctrlProps/ctrlProp222.xml><?xml version="1.0" encoding="utf-8"?>
<formControlPr xmlns="http://schemas.microsoft.com/office/spreadsheetml/2009/9/main" objectType="CheckBox" fmlaLink="$L$80" lockText="1" noThreeD="1"/>
</file>

<file path=xl/ctrlProps/ctrlProp223.xml><?xml version="1.0" encoding="utf-8"?>
<formControlPr xmlns="http://schemas.microsoft.com/office/spreadsheetml/2009/9/main" objectType="CheckBox" fmlaLink="$L$82" lockText="1" noThreeD="1"/>
</file>

<file path=xl/ctrlProps/ctrlProp224.xml><?xml version="1.0" encoding="utf-8"?>
<formControlPr xmlns="http://schemas.microsoft.com/office/spreadsheetml/2009/9/main" objectType="CheckBox" fmlaLink="$L$89" lockText="1" noThreeD="1"/>
</file>

<file path=xl/ctrlProps/ctrlProp225.xml><?xml version="1.0" encoding="utf-8"?>
<formControlPr xmlns="http://schemas.microsoft.com/office/spreadsheetml/2009/9/main" objectType="CheckBox" fmlaLink="$L$94" lockText="1" noThreeD="1"/>
</file>

<file path=xl/ctrlProps/ctrlProp226.xml><?xml version="1.0" encoding="utf-8"?>
<formControlPr xmlns="http://schemas.microsoft.com/office/spreadsheetml/2009/9/main" objectType="CheckBox" fmlaLink="$L$122" lockText="1" noThreeD="1"/>
</file>

<file path=xl/ctrlProps/ctrlProp227.xml><?xml version="1.0" encoding="utf-8"?>
<formControlPr xmlns="http://schemas.microsoft.com/office/spreadsheetml/2009/9/main" objectType="CheckBox" fmlaLink="$L$123" lockText="1" noThreeD="1"/>
</file>

<file path=xl/ctrlProps/ctrlProp228.xml><?xml version="1.0" encoding="utf-8"?>
<formControlPr xmlns="http://schemas.microsoft.com/office/spreadsheetml/2009/9/main" objectType="CheckBox" fmlaLink="$L$125" lockText="1" noThreeD="1"/>
</file>

<file path=xl/ctrlProps/ctrlProp229.xml><?xml version="1.0" encoding="utf-8"?>
<formControlPr xmlns="http://schemas.microsoft.com/office/spreadsheetml/2009/9/main" objectType="CheckBox" fmlaLink="$L$127" lockText="1" noThreeD="1"/>
</file>

<file path=xl/ctrlProps/ctrlProp23.xml><?xml version="1.0" encoding="utf-8"?>
<formControlPr xmlns="http://schemas.microsoft.com/office/spreadsheetml/2009/9/main" objectType="CheckBox" fmlaLink="$L$37" lockText="1" noThreeD="1"/>
</file>

<file path=xl/ctrlProps/ctrlProp230.xml><?xml version="1.0" encoding="utf-8"?>
<formControlPr xmlns="http://schemas.microsoft.com/office/spreadsheetml/2009/9/main" objectType="CheckBox" fmlaLink="$L$129" lockText="1" noThreeD="1"/>
</file>

<file path=xl/ctrlProps/ctrlProp231.xml><?xml version="1.0" encoding="utf-8"?>
<formControlPr xmlns="http://schemas.microsoft.com/office/spreadsheetml/2009/9/main" objectType="CheckBox" fmlaLink="$L$133" lockText="1" noThreeD="1"/>
</file>

<file path=xl/ctrlProps/ctrlProp232.xml><?xml version="1.0" encoding="utf-8"?>
<formControlPr xmlns="http://schemas.microsoft.com/office/spreadsheetml/2009/9/main" objectType="CheckBox" fmlaLink="$L$135" lockText="1" noThreeD="1"/>
</file>

<file path=xl/ctrlProps/ctrlProp233.xml><?xml version="1.0" encoding="utf-8"?>
<formControlPr xmlns="http://schemas.microsoft.com/office/spreadsheetml/2009/9/main" objectType="CheckBox" fmlaLink="$L$137" lockText="1" noThreeD="1"/>
</file>

<file path=xl/ctrlProps/ctrlProp234.xml><?xml version="1.0" encoding="utf-8"?>
<formControlPr xmlns="http://schemas.microsoft.com/office/spreadsheetml/2009/9/main" objectType="CheckBox" fmlaLink="$L$149" lockText="1" noThreeD="1"/>
</file>

<file path=xl/ctrlProps/ctrlProp235.xml><?xml version="1.0" encoding="utf-8"?>
<formControlPr xmlns="http://schemas.microsoft.com/office/spreadsheetml/2009/9/main" objectType="CheckBox" fmlaLink="$L$139" lockText="1" noThreeD="1"/>
</file>

<file path=xl/ctrlProps/ctrlProp236.xml><?xml version="1.0" encoding="utf-8"?>
<formControlPr xmlns="http://schemas.microsoft.com/office/spreadsheetml/2009/9/main" objectType="CheckBox" fmlaLink="$L$144" lockText="1" noThreeD="1"/>
</file>

<file path=xl/ctrlProps/ctrlProp237.xml><?xml version="1.0" encoding="utf-8"?>
<formControlPr xmlns="http://schemas.microsoft.com/office/spreadsheetml/2009/9/main" objectType="CheckBox" fmlaLink="$L$163" lockText="1" noThreeD="1"/>
</file>

<file path=xl/ctrlProps/ctrlProp238.xml><?xml version="1.0" encoding="utf-8"?>
<formControlPr xmlns="http://schemas.microsoft.com/office/spreadsheetml/2009/9/main" objectType="CheckBox" fmlaLink="$L$147" lockText="1" noThreeD="1"/>
</file>

<file path=xl/ctrlProps/ctrlProp239.xml><?xml version="1.0" encoding="utf-8"?>
<formControlPr xmlns="http://schemas.microsoft.com/office/spreadsheetml/2009/9/main" objectType="CheckBox" fmlaLink="$L$148" lockText="1" noThreeD="1"/>
</file>

<file path=xl/ctrlProps/ctrlProp24.xml><?xml version="1.0" encoding="utf-8"?>
<formControlPr xmlns="http://schemas.microsoft.com/office/spreadsheetml/2009/9/main" objectType="CheckBox" fmlaLink="$L$39" lockText="1" noThreeD="1"/>
</file>

<file path=xl/ctrlProps/ctrlProp240.xml><?xml version="1.0" encoding="utf-8"?>
<formControlPr xmlns="http://schemas.microsoft.com/office/spreadsheetml/2009/9/main" objectType="CheckBox" fmlaLink="$L$154" lockText="1" noThreeD="1"/>
</file>

<file path=xl/ctrlProps/ctrlProp241.xml><?xml version="1.0" encoding="utf-8"?>
<formControlPr xmlns="http://schemas.microsoft.com/office/spreadsheetml/2009/9/main" objectType="CheckBox" fmlaLink="$L$160" lockText="1" noThreeD="1"/>
</file>

<file path=xl/ctrlProps/ctrlProp242.xml><?xml version="1.0" encoding="utf-8"?>
<formControlPr xmlns="http://schemas.microsoft.com/office/spreadsheetml/2009/9/main" objectType="CheckBox" fmlaLink="$L$151" lockText="1" noThreeD="1"/>
</file>

<file path=xl/ctrlProps/ctrlProp243.xml><?xml version="1.0" encoding="utf-8"?>
<formControlPr xmlns="http://schemas.microsoft.com/office/spreadsheetml/2009/9/main" objectType="CheckBox" fmlaLink="$L$152" lockText="1" noThreeD="1"/>
</file>

<file path=xl/ctrlProps/ctrlProp244.xml><?xml version="1.0" encoding="utf-8"?>
<formControlPr xmlns="http://schemas.microsoft.com/office/spreadsheetml/2009/9/main" objectType="CheckBox" fmlaLink="$L$171" lockText="1" noThreeD="1"/>
</file>

<file path=xl/ctrlProps/ctrlProp245.xml><?xml version="1.0" encoding="utf-8"?>
<formControlPr xmlns="http://schemas.microsoft.com/office/spreadsheetml/2009/9/main" objectType="CheckBox" fmlaLink="$L$12" lockText="1" noThreeD="1"/>
</file>

<file path=xl/ctrlProps/ctrlProp246.xml><?xml version="1.0" encoding="utf-8"?>
<formControlPr xmlns="http://schemas.microsoft.com/office/spreadsheetml/2009/9/main" objectType="CheckBox" fmlaLink="$L$19" lockText="1" noThreeD="1"/>
</file>

<file path=xl/ctrlProps/ctrlProp247.xml><?xml version="1.0" encoding="utf-8"?>
<formControlPr xmlns="http://schemas.microsoft.com/office/spreadsheetml/2009/9/main" objectType="CheckBox" fmlaLink="$L$29" lockText="1" noThreeD="1"/>
</file>

<file path=xl/ctrlProps/ctrlProp248.xml><?xml version="1.0" encoding="utf-8"?>
<formControlPr xmlns="http://schemas.microsoft.com/office/spreadsheetml/2009/9/main" objectType="CheckBox" fmlaLink="$L$178" lockText="1" noThreeD="1"/>
</file>

<file path=xl/ctrlProps/ctrlProp249.xml><?xml version="1.0" encoding="utf-8"?>
<formControlPr xmlns="http://schemas.microsoft.com/office/spreadsheetml/2009/9/main" objectType="CheckBox" fmlaLink="$L$182" lockText="1" noThreeD="1"/>
</file>

<file path=xl/ctrlProps/ctrlProp25.xml><?xml version="1.0" encoding="utf-8"?>
<formControlPr xmlns="http://schemas.microsoft.com/office/spreadsheetml/2009/9/main" objectType="CheckBox" fmlaLink="$L$41" lockText="1" noThreeD="1"/>
</file>

<file path=xl/ctrlProps/ctrlProp250.xml><?xml version="1.0" encoding="utf-8"?>
<formControlPr xmlns="http://schemas.microsoft.com/office/spreadsheetml/2009/9/main" objectType="CheckBox" fmlaLink="$L$184" lockText="1" noThreeD="1"/>
</file>

<file path=xl/ctrlProps/ctrlProp251.xml><?xml version="1.0" encoding="utf-8"?>
<formControlPr xmlns="http://schemas.microsoft.com/office/spreadsheetml/2009/9/main" objectType="CheckBox" fmlaLink="$L$70" lockText="1" noThreeD="1"/>
</file>

<file path=xl/ctrlProps/ctrlProp252.xml><?xml version="1.0" encoding="utf-8"?>
<formControlPr xmlns="http://schemas.microsoft.com/office/spreadsheetml/2009/9/main" objectType="CheckBox" fmlaLink="$L$72" lockText="1" noThreeD="1"/>
</file>

<file path=xl/ctrlProps/ctrlProp253.xml><?xml version="1.0" encoding="utf-8"?>
<formControlPr xmlns="http://schemas.microsoft.com/office/spreadsheetml/2009/9/main" objectType="CheckBox" fmlaLink="$L$177" lockText="1" noThreeD="1"/>
</file>

<file path=xl/ctrlProps/ctrlProp254.xml><?xml version="1.0" encoding="utf-8"?>
<formControlPr xmlns="http://schemas.microsoft.com/office/spreadsheetml/2009/9/main" objectType="CheckBox" fmlaLink="$L$180" lockText="1" noThreeD="1"/>
</file>

<file path=xl/ctrlProps/ctrlProp255.xml><?xml version="1.0" encoding="utf-8"?>
<formControlPr xmlns="http://schemas.microsoft.com/office/spreadsheetml/2009/9/main" objectType="CheckBox" fmlaLink="$L$190" lockText="1" noThreeD="1"/>
</file>

<file path=xl/ctrlProps/ctrlProp256.xml><?xml version="1.0" encoding="utf-8"?>
<formControlPr xmlns="http://schemas.microsoft.com/office/spreadsheetml/2009/9/main" objectType="CheckBox" fmlaLink="$L$194" lockText="1" noThreeD="1"/>
</file>

<file path=xl/ctrlProps/ctrlProp257.xml><?xml version="1.0" encoding="utf-8"?>
<formControlPr xmlns="http://schemas.microsoft.com/office/spreadsheetml/2009/9/main" objectType="CheckBox" fmlaLink="$L$199" lockText="1" noThreeD="1"/>
</file>

<file path=xl/ctrlProps/ctrlProp258.xml><?xml version="1.0" encoding="utf-8"?>
<formControlPr xmlns="http://schemas.microsoft.com/office/spreadsheetml/2009/9/main" objectType="CheckBox" fmlaLink="$L$202" lockText="1" noThreeD="1"/>
</file>

<file path=xl/ctrlProps/ctrlProp259.xml><?xml version="1.0" encoding="utf-8"?>
<formControlPr xmlns="http://schemas.microsoft.com/office/spreadsheetml/2009/9/main" objectType="CheckBox" fmlaLink="$L$116" lockText="1" noThreeD="1"/>
</file>

<file path=xl/ctrlProps/ctrlProp26.xml><?xml version="1.0" encoding="utf-8"?>
<formControlPr xmlns="http://schemas.microsoft.com/office/spreadsheetml/2009/9/main" objectType="CheckBox" fmlaLink="$L$44" lockText="1" noThreeD="1"/>
</file>

<file path=xl/ctrlProps/ctrlProp260.xml><?xml version="1.0" encoding="utf-8"?>
<formControlPr xmlns="http://schemas.microsoft.com/office/spreadsheetml/2009/9/main" objectType="CheckBox" fmlaLink="$L$108" lockText="1" noThreeD="1"/>
</file>

<file path=xl/ctrlProps/ctrlProp261.xml><?xml version="1.0" encoding="utf-8"?>
<formControlPr xmlns="http://schemas.microsoft.com/office/spreadsheetml/2009/9/main" objectType="CheckBox" fmlaLink="$L$188" lockText="1" noThreeD="1"/>
</file>

<file path=xl/ctrlProps/ctrlProp262.xml><?xml version="1.0" encoding="utf-8"?>
<formControlPr xmlns="http://schemas.microsoft.com/office/spreadsheetml/2009/9/main" objectType="CheckBox" fmlaLink="$L$192" lockText="1" noThreeD="1"/>
</file>

<file path=xl/ctrlProps/ctrlProp263.xml><?xml version="1.0" encoding="utf-8"?>
<formControlPr xmlns="http://schemas.microsoft.com/office/spreadsheetml/2009/9/main" objectType="CheckBox" fmlaLink="$L$203" lockText="1" noThreeD="1"/>
</file>

<file path=xl/ctrlProps/ctrlProp264.xml><?xml version="1.0" encoding="utf-8"?>
<formControlPr xmlns="http://schemas.microsoft.com/office/spreadsheetml/2009/9/main" objectType="CheckBox" fmlaLink="$L$204" lockText="1" noThreeD="1"/>
</file>

<file path=xl/ctrlProps/ctrlProp265.xml><?xml version="1.0" encoding="utf-8"?>
<formControlPr xmlns="http://schemas.microsoft.com/office/spreadsheetml/2009/9/main" objectType="CheckBox" fmlaLink="$L$206" lockText="1" noThreeD="1"/>
</file>

<file path=xl/ctrlProps/ctrlProp266.xml><?xml version="1.0" encoding="utf-8"?>
<formControlPr xmlns="http://schemas.microsoft.com/office/spreadsheetml/2009/9/main" objectType="CheckBox" fmlaLink="$L$207" lockText="1" noThreeD="1"/>
</file>

<file path=xl/ctrlProps/ctrlProp267.xml><?xml version="1.0" encoding="utf-8"?>
<formControlPr xmlns="http://schemas.microsoft.com/office/spreadsheetml/2009/9/main" objectType="CheckBox" fmlaLink="$L$209" lockText="1" noThreeD="1"/>
</file>

<file path=xl/ctrlProps/ctrlProp268.xml><?xml version="1.0" encoding="utf-8"?>
<formControlPr xmlns="http://schemas.microsoft.com/office/spreadsheetml/2009/9/main" objectType="CheckBox" fmlaLink="$L$215" lockText="1" noThreeD="1"/>
</file>

<file path=xl/ctrlProps/ctrlProp269.xml><?xml version="1.0" encoding="utf-8"?>
<formControlPr xmlns="http://schemas.microsoft.com/office/spreadsheetml/2009/9/main" objectType="CheckBox" fmlaLink="$L$226" lockText="1" noThreeD="1"/>
</file>

<file path=xl/ctrlProps/ctrlProp27.xml><?xml version="1.0" encoding="utf-8"?>
<formControlPr xmlns="http://schemas.microsoft.com/office/spreadsheetml/2009/9/main" objectType="CheckBox" fmlaLink="$L$47" lockText="1" noThreeD="1"/>
</file>

<file path=xl/ctrlProps/ctrlProp270.xml><?xml version="1.0" encoding="utf-8"?>
<formControlPr xmlns="http://schemas.microsoft.com/office/spreadsheetml/2009/9/main" objectType="CheckBox" fmlaLink="$L$218" lockText="1" noThreeD="1"/>
</file>

<file path=xl/ctrlProps/ctrlProp271.xml><?xml version="1.0" encoding="utf-8"?>
<formControlPr xmlns="http://schemas.microsoft.com/office/spreadsheetml/2009/9/main" objectType="CheckBox" fmlaLink="$L$233" lockText="1" noThreeD="1"/>
</file>

<file path=xl/ctrlProps/ctrlProp272.xml><?xml version="1.0" encoding="utf-8"?>
<formControlPr xmlns="http://schemas.microsoft.com/office/spreadsheetml/2009/9/main" objectType="CheckBox" fmlaLink="$L$237" lockText="1" noThreeD="1"/>
</file>

<file path=xl/ctrlProps/ctrlProp273.xml><?xml version="1.0" encoding="utf-8"?>
<formControlPr xmlns="http://schemas.microsoft.com/office/spreadsheetml/2009/9/main" objectType="CheckBox" fmlaLink="$L$239" lockText="1" noThreeD="1"/>
</file>

<file path=xl/ctrlProps/ctrlProp274.xml><?xml version="1.0" encoding="utf-8"?>
<formControlPr xmlns="http://schemas.microsoft.com/office/spreadsheetml/2009/9/main" objectType="CheckBox" fmlaLink="$L$232" lockText="1" noThreeD="1"/>
</file>

<file path=xl/ctrlProps/ctrlProp275.xml><?xml version="1.0" encoding="utf-8"?>
<formControlPr xmlns="http://schemas.microsoft.com/office/spreadsheetml/2009/9/main" objectType="CheckBox" fmlaLink="$L$235" lockText="1" noThreeD="1"/>
</file>

<file path=xl/ctrlProps/ctrlProp276.xml><?xml version="1.0" encoding="utf-8"?>
<formControlPr xmlns="http://schemas.microsoft.com/office/spreadsheetml/2009/9/main" objectType="CheckBox" fmlaLink="$L$245" lockText="1" noThreeD="1"/>
</file>

<file path=xl/ctrlProps/ctrlProp277.xml><?xml version="1.0" encoding="utf-8"?>
<formControlPr xmlns="http://schemas.microsoft.com/office/spreadsheetml/2009/9/main" objectType="CheckBox" fmlaLink="$L$249" lockText="1" noThreeD="1"/>
</file>

<file path=xl/ctrlProps/ctrlProp278.xml><?xml version="1.0" encoding="utf-8"?>
<formControlPr xmlns="http://schemas.microsoft.com/office/spreadsheetml/2009/9/main" objectType="CheckBox" fmlaLink="$L$254" lockText="1" noThreeD="1"/>
</file>

<file path=xl/ctrlProps/ctrlProp279.xml><?xml version="1.0" encoding="utf-8"?>
<formControlPr xmlns="http://schemas.microsoft.com/office/spreadsheetml/2009/9/main" objectType="CheckBox" fmlaLink="$L$257" lockText="1" noThreeD="1"/>
</file>

<file path=xl/ctrlProps/ctrlProp28.xml><?xml version="1.0" encoding="utf-8"?>
<formControlPr xmlns="http://schemas.microsoft.com/office/spreadsheetml/2009/9/main" objectType="CheckBox" fmlaLink="$L$50" lockText="1" noThreeD="1"/>
</file>

<file path=xl/ctrlProps/ctrlProp280.xml><?xml version="1.0" encoding="utf-8"?>
<formControlPr xmlns="http://schemas.microsoft.com/office/spreadsheetml/2009/9/main" objectType="CheckBox" fmlaLink="$L$243" lockText="1" noThreeD="1"/>
</file>

<file path=xl/ctrlProps/ctrlProp281.xml><?xml version="1.0" encoding="utf-8"?>
<formControlPr xmlns="http://schemas.microsoft.com/office/spreadsheetml/2009/9/main" objectType="CheckBox" fmlaLink="$L$247" lockText="1" noThreeD="1"/>
</file>

<file path=xl/ctrlProps/ctrlProp282.xml><?xml version="1.0" encoding="utf-8"?>
<formControlPr xmlns="http://schemas.microsoft.com/office/spreadsheetml/2009/9/main" objectType="CheckBox" fmlaLink="$L$258" lockText="1" noThreeD="1"/>
</file>

<file path=xl/ctrlProps/ctrlProp283.xml><?xml version="1.0" encoding="utf-8"?>
<formControlPr xmlns="http://schemas.microsoft.com/office/spreadsheetml/2009/9/main" objectType="CheckBox" fmlaLink="$L$259" lockText="1" noThreeD="1"/>
</file>

<file path=xl/ctrlProps/ctrlProp284.xml><?xml version="1.0" encoding="utf-8"?>
<formControlPr xmlns="http://schemas.microsoft.com/office/spreadsheetml/2009/9/main" objectType="CheckBox" fmlaLink="$L$288" lockText="1" noThreeD="1"/>
</file>

<file path=xl/ctrlProps/ctrlProp285.xml><?xml version="1.0" encoding="utf-8"?>
<formControlPr xmlns="http://schemas.microsoft.com/office/spreadsheetml/2009/9/main" objectType="CheckBox" fmlaLink="$L$292" lockText="1" noThreeD="1"/>
</file>

<file path=xl/ctrlProps/ctrlProp286.xml><?xml version="1.0" encoding="utf-8"?>
<formControlPr xmlns="http://schemas.microsoft.com/office/spreadsheetml/2009/9/main" objectType="CheckBox" fmlaLink="$L$294" lockText="1" noThreeD="1"/>
</file>

<file path=xl/ctrlProps/ctrlProp287.xml><?xml version="1.0" encoding="utf-8"?>
<formControlPr xmlns="http://schemas.microsoft.com/office/spreadsheetml/2009/9/main" objectType="CheckBox" fmlaLink="$L$287" lockText="1" noThreeD="1"/>
</file>

<file path=xl/ctrlProps/ctrlProp288.xml><?xml version="1.0" encoding="utf-8"?>
<formControlPr xmlns="http://schemas.microsoft.com/office/spreadsheetml/2009/9/main" objectType="CheckBox" fmlaLink="$L$290" lockText="1" noThreeD="1"/>
</file>

<file path=xl/ctrlProps/ctrlProp289.xml><?xml version="1.0" encoding="utf-8"?>
<formControlPr xmlns="http://schemas.microsoft.com/office/spreadsheetml/2009/9/main" objectType="CheckBox" fmlaLink="$L$300" lockText="1" noThreeD="1"/>
</file>

<file path=xl/ctrlProps/ctrlProp29.xml><?xml version="1.0" encoding="utf-8"?>
<formControlPr xmlns="http://schemas.microsoft.com/office/spreadsheetml/2009/9/main" objectType="CheckBox" fmlaLink="$L$52" lockText="1" noThreeD="1"/>
</file>

<file path=xl/ctrlProps/ctrlProp290.xml><?xml version="1.0" encoding="utf-8"?>
<formControlPr xmlns="http://schemas.microsoft.com/office/spreadsheetml/2009/9/main" objectType="CheckBox" fmlaLink="$L$304" lockText="1" noThreeD="1"/>
</file>

<file path=xl/ctrlProps/ctrlProp291.xml><?xml version="1.0" encoding="utf-8"?>
<formControlPr xmlns="http://schemas.microsoft.com/office/spreadsheetml/2009/9/main" objectType="CheckBox" fmlaLink="$L$309" lockText="1" noThreeD="1"/>
</file>

<file path=xl/ctrlProps/ctrlProp292.xml><?xml version="1.0" encoding="utf-8"?>
<formControlPr xmlns="http://schemas.microsoft.com/office/spreadsheetml/2009/9/main" objectType="CheckBox" fmlaLink="$L$312" lockText="1" noThreeD="1"/>
</file>

<file path=xl/ctrlProps/ctrlProp293.xml><?xml version="1.0" encoding="utf-8"?>
<formControlPr xmlns="http://schemas.microsoft.com/office/spreadsheetml/2009/9/main" objectType="CheckBox" fmlaLink="$L$298" lockText="1" noThreeD="1"/>
</file>

<file path=xl/ctrlProps/ctrlProp294.xml><?xml version="1.0" encoding="utf-8"?>
<formControlPr xmlns="http://schemas.microsoft.com/office/spreadsheetml/2009/9/main" objectType="CheckBox" fmlaLink="$L$302" lockText="1" noThreeD="1"/>
</file>

<file path=xl/ctrlProps/ctrlProp295.xml><?xml version="1.0" encoding="utf-8"?>
<formControlPr xmlns="http://schemas.microsoft.com/office/spreadsheetml/2009/9/main" objectType="CheckBox" fmlaLink="$L$313" lockText="1" noThreeD="1"/>
</file>

<file path=xl/ctrlProps/ctrlProp296.xml><?xml version="1.0" encoding="utf-8"?>
<formControlPr xmlns="http://schemas.microsoft.com/office/spreadsheetml/2009/9/main" objectType="CheckBox" fmlaLink="$L$314" lockText="1" noThreeD="1"/>
</file>

<file path=xl/ctrlProps/ctrlProp297.xml><?xml version="1.0" encoding="utf-8"?>
<formControlPr xmlns="http://schemas.microsoft.com/office/spreadsheetml/2009/9/main" objectType="CheckBox" fmlaLink="$L$343" lockText="1" noThreeD="1"/>
</file>

<file path=xl/ctrlProps/ctrlProp298.xml><?xml version="1.0" encoding="utf-8"?>
<formControlPr xmlns="http://schemas.microsoft.com/office/spreadsheetml/2009/9/main" objectType="CheckBox" fmlaLink="$L$347" lockText="1" noThreeD="1"/>
</file>

<file path=xl/ctrlProps/ctrlProp299.xml><?xml version="1.0" encoding="utf-8"?>
<formControlPr xmlns="http://schemas.microsoft.com/office/spreadsheetml/2009/9/main" objectType="CheckBox" fmlaLink="$L$349"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CheckBox" fmlaLink="$L$55" lockText="1" noThreeD="1"/>
</file>

<file path=xl/ctrlProps/ctrlProp300.xml><?xml version="1.0" encoding="utf-8"?>
<formControlPr xmlns="http://schemas.microsoft.com/office/spreadsheetml/2009/9/main" objectType="CheckBox" fmlaLink="$L$342" lockText="1" noThreeD="1"/>
</file>

<file path=xl/ctrlProps/ctrlProp301.xml><?xml version="1.0" encoding="utf-8"?>
<formControlPr xmlns="http://schemas.microsoft.com/office/spreadsheetml/2009/9/main" objectType="CheckBox" fmlaLink="$L$345" lockText="1" noThreeD="1"/>
</file>

<file path=xl/ctrlProps/ctrlProp302.xml><?xml version="1.0" encoding="utf-8"?>
<formControlPr xmlns="http://schemas.microsoft.com/office/spreadsheetml/2009/9/main" objectType="CheckBox" fmlaLink="$L$355" lockText="1" noThreeD="1"/>
</file>

<file path=xl/ctrlProps/ctrlProp303.xml><?xml version="1.0" encoding="utf-8"?>
<formControlPr xmlns="http://schemas.microsoft.com/office/spreadsheetml/2009/9/main" objectType="CheckBox" fmlaLink="$L$359" lockText="1" noThreeD="1"/>
</file>

<file path=xl/ctrlProps/ctrlProp304.xml><?xml version="1.0" encoding="utf-8"?>
<formControlPr xmlns="http://schemas.microsoft.com/office/spreadsheetml/2009/9/main" objectType="CheckBox" fmlaLink="$L$364" lockText="1" noThreeD="1"/>
</file>

<file path=xl/ctrlProps/ctrlProp305.xml><?xml version="1.0" encoding="utf-8"?>
<formControlPr xmlns="http://schemas.microsoft.com/office/spreadsheetml/2009/9/main" objectType="CheckBox" fmlaLink="$L$367" lockText="1" noThreeD="1"/>
</file>

<file path=xl/ctrlProps/ctrlProp306.xml><?xml version="1.0" encoding="utf-8"?>
<formControlPr xmlns="http://schemas.microsoft.com/office/spreadsheetml/2009/9/main" objectType="CheckBox" fmlaLink="$L$353" lockText="1" noThreeD="1"/>
</file>

<file path=xl/ctrlProps/ctrlProp307.xml><?xml version="1.0" encoding="utf-8"?>
<formControlPr xmlns="http://schemas.microsoft.com/office/spreadsheetml/2009/9/main" objectType="CheckBox" fmlaLink="$L$357" lockText="1" noThreeD="1"/>
</file>

<file path=xl/ctrlProps/ctrlProp308.xml><?xml version="1.0" encoding="utf-8"?>
<formControlPr xmlns="http://schemas.microsoft.com/office/spreadsheetml/2009/9/main" objectType="CheckBox" fmlaLink="$L$368" lockText="1" noThreeD="1"/>
</file>

<file path=xl/ctrlProps/ctrlProp309.xml><?xml version="1.0" encoding="utf-8"?>
<formControlPr xmlns="http://schemas.microsoft.com/office/spreadsheetml/2009/9/main" objectType="CheckBox" fmlaLink="$L$369" lockText="1" noThreeD="1"/>
</file>

<file path=xl/ctrlProps/ctrlProp31.xml><?xml version="1.0" encoding="utf-8"?>
<formControlPr xmlns="http://schemas.microsoft.com/office/spreadsheetml/2009/9/main" objectType="CheckBox" fmlaLink="L59" lockText="1" noThreeD="1"/>
</file>

<file path=xl/ctrlProps/ctrlProp310.xml><?xml version="1.0" encoding="utf-8"?>
<formControlPr xmlns="http://schemas.microsoft.com/office/spreadsheetml/2009/9/main" objectType="CheckBox" fmlaLink="$L$398" lockText="1" noThreeD="1"/>
</file>

<file path=xl/ctrlProps/ctrlProp311.xml><?xml version="1.0" encoding="utf-8"?>
<formControlPr xmlns="http://schemas.microsoft.com/office/spreadsheetml/2009/9/main" objectType="CheckBox" fmlaLink="$L$402" lockText="1" noThreeD="1"/>
</file>

<file path=xl/ctrlProps/ctrlProp312.xml><?xml version="1.0" encoding="utf-8"?>
<formControlPr xmlns="http://schemas.microsoft.com/office/spreadsheetml/2009/9/main" objectType="CheckBox" fmlaLink="$L$404" lockText="1" noThreeD="1"/>
</file>

<file path=xl/ctrlProps/ctrlProp313.xml><?xml version="1.0" encoding="utf-8"?>
<formControlPr xmlns="http://schemas.microsoft.com/office/spreadsheetml/2009/9/main" objectType="CheckBox" fmlaLink="$L$397" lockText="1" noThreeD="1"/>
</file>

<file path=xl/ctrlProps/ctrlProp314.xml><?xml version="1.0" encoding="utf-8"?>
<formControlPr xmlns="http://schemas.microsoft.com/office/spreadsheetml/2009/9/main" objectType="CheckBox" fmlaLink="$L$400" lockText="1" noThreeD="1"/>
</file>

<file path=xl/ctrlProps/ctrlProp315.xml><?xml version="1.0" encoding="utf-8"?>
<formControlPr xmlns="http://schemas.microsoft.com/office/spreadsheetml/2009/9/main" objectType="CheckBox" fmlaLink="$L$410" lockText="1" noThreeD="1"/>
</file>

<file path=xl/ctrlProps/ctrlProp316.xml><?xml version="1.0" encoding="utf-8"?>
<formControlPr xmlns="http://schemas.microsoft.com/office/spreadsheetml/2009/9/main" objectType="CheckBox" fmlaLink="$L$414" lockText="1" noThreeD="1"/>
</file>

<file path=xl/ctrlProps/ctrlProp317.xml><?xml version="1.0" encoding="utf-8"?>
<formControlPr xmlns="http://schemas.microsoft.com/office/spreadsheetml/2009/9/main" objectType="CheckBox" fmlaLink="$L$419" lockText="1" noThreeD="1"/>
</file>

<file path=xl/ctrlProps/ctrlProp318.xml><?xml version="1.0" encoding="utf-8"?>
<formControlPr xmlns="http://schemas.microsoft.com/office/spreadsheetml/2009/9/main" objectType="CheckBox" fmlaLink="$L$422" lockText="1" noThreeD="1"/>
</file>

<file path=xl/ctrlProps/ctrlProp319.xml><?xml version="1.0" encoding="utf-8"?>
<formControlPr xmlns="http://schemas.microsoft.com/office/spreadsheetml/2009/9/main" objectType="CheckBox" fmlaLink="$L$408" lockText="1" noThreeD="1"/>
</file>

<file path=xl/ctrlProps/ctrlProp32.xml><?xml version="1.0" encoding="utf-8"?>
<formControlPr xmlns="http://schemas.microsoft.com/office/spreadsheetml/2009/9/main" objectType="CheckBox" fmlaLink="$J$4" lockText="1" noThreeD="1"/>
</file>

<file path=xl/ctrlProps/ctrlProp320.xml><?xml version="1.0" encoding="utf-8"?>
<formControlPr xmlns="http://schemas.microsoft.com/office/spreadsheetml/2009/9/main" objectType="CheckBox" fmlaLink="$L$412" lockText="1" noThreeD="1"/>
</file>

<file path=xl/ctrlProps/ctrlProp321.xml><?xml version="1.0" encoding="utf-8"?>
<formControlPr xmlns="http://schemas.microsoft.com/office/spreadsheetml/2009/9/main" objectType="CheckBox" fmlaLink="$L$423" lockText="1" noThreeD="1"/>
</file>

<file path=xl/ctrlProps/ctrlProp322.xml><?xml version="1.0" encoding="utf-8"?>
<formControlPr xmlns="http://schemas.microsoft.com/office/spreadsheetml/2009/9/main" objectType="CheckBox" fmlaLink="$L$424" lockText="1" noThreeD="1"/>
</file>

<file path=xl/ctrlProps/ctrlProp323.xml><?xml version="1.0" encoding="utf-8"?>
<formControlPr xmlns="http://schemas.microsoft.com/office/spreadsheetml/2009/9/main" objectType="CheckBox" fmlaLink="$L$261" lockText="1" noThreeD="1"/>
</file>

<file path=xl/ctrlProps/ctrlProp324.xml><?xml version="1.0" encoding="utf-8"?>
<formControlPr xmlns="http://schemas.microsoft.com/office/spreadsheetml/2009/9/main" objectType="CheckBox" fmlaLink="$L$262" lockText="1" noThreeD="1"/>
</file>

<file path=xl/ctrlProps/ctrlProp325.xml><?xml version="1.0" encoding="utf-8"?>
<formControlPr xmlns="http://schemas.microsoft.com/office/spreadsheetml/2009/9/main" objectType="CheckBox" fmlaLink="$L$264" lockText="1" noThreeD="1"/>
</file>

<file path=xl/ctrlProps/ctrlProp326.xml><?xml version="1.0" encoding="utf-8"?>
<formControlPr xmlns="http://schemas.microsoft.com/office/spreadsheetml/2009/9/main" objectType="CheckBox" fmlaLink="$L$270" lockText="1" noThreeD="1"/>
</file>

<file path=xl/ctrlProps/ctrlProp327.xml><?xml version="1.0" encoding="utf-8"?>
<formControlPr xmlns="http://schemas.microsoft.com/office/spreadsheetml/2009/9/main" objectType="CheckBox" fmlaLink="$L$281" lockText="1" noThreeD="1"/>
</file>

<file path=xl/ctrlProps/ctrlProp328.xml><?xml version="1.0" encoding="utf-8"?>
<formControlPr xmlns="http://schemas.microsoft.com/office/spreadsheetml/2009/9/main" objectType="CheckBox" fmlaLink="$L$273" lockText="1" noThreeD="1"/>
</file>

<file path=xl/ctrlProps/ctrlProp329.xml><?xml version="1.0" encoding="utf-8"?>
<formControlPr xmlns="http://schemas.microsoft.com/office/spreadsheetml/2009/9/main" objectType="CheckBox" fmlaLink="$L$316" lockText="1" noThreeD="1"/>
</file>

<file path=xl/ctrlProps/ctrlProp33.xml><?xml version="1.0" encoding="utf-8"?>
<formControlPr xmlns="http://schemas.microsoft.com/office/spreadsheetml/2009/9/main" objectType="CheckBox" fmlaLink="$J$61" lockText="1" noThreeD="1"/>
</file>

<file path=xl/ctrlProps/ctrlProp330.xml><?xml version="1.0" encoding="utf-8"?>
<formControlPr xmlns="http://schemas.microsoft.com/office/spreadsheetml/2009/9/main" objectType="CheckBox" fmlaLink="$L$317" lockText="1" noThreeD="1"/>
</file>

<file path=xl/ctrlProps/ctrlProp331.xml><?xml version="1.0" encoding="utf-8"?>
<formControlPr xmlns="http://schemas.microsoft.com/office/spreadsheetml/2009/9/main" objectType="CheckBox" fmlaLink="$L$319" lockText="1" noThreeD="1"/>
</file>

<file path=xl/ctrlProps/ctrlProp332.xml><?xml version="1.0" encoding="utf-8"?>
<formControlPr xmlns="http://schemas.microsoft.com/office/spreadsheetml/2009/9/main" objectType="CheckBox" fmlaLink="$L$325" lockText="1" noThreeD="1"/>
</file>

<file path=xl/ctrlProps/ctrlProp333.xml><?xml version="1.0" encoding="utf-8"?>
<formControlPr xmlns="http://schemas.microsoft.com/office/spreadsheetml/2009/9/main" objectType="CheckBox" fmlaLink="$L$336" lockText="1" noThreeD="1"/>
</file>

<file path=xl/ctrlProps/ctrlProp334.xml><?xml version="1.0" encoding="utf-8"?>
<formControlPr xmlns="http://schemas.microsoft.com/office/spreadsheetml/2009/9/main" objectType="CheckBox" fmlaLink="$L$328" lockText="1" noThreeD="1"/>
</file>

<file path=xl/ctrlProps/ctrlProp335.xml><?xml version="1.0" encoding="utf-8"?>
<formControlPr xmlns="http://schemas.microsoft.com/office/spreadsheetml/2009/9/main" objectType="CheckBox" fmlaLink="$L$371" lockText="1" noThreeD="1"/>
</file>

<file path=xl/ctrlProps/ctrlProp336.xml><?xml version="1.0" encoding="utf-8"?>
<formControlPr xmlns="http://schemas.microsoft.com/office/spreadsheetml/2009/9/main" objectType="CheckBox" fmlaLink="$L$372" lockText="1" noThreeD="1"/>
</file>

<file path=xl/ctrlProps/ctrlProp337.xml><?xml version="1.0" encoding="utf-8"?>
<formControlPr xmlns="http://schemas.microsoft.com/office/spreadsheetml/2009/9/main" objectType="CheckBox" fmlaLink="$L$374" lockText="1" noThreeD="1"/>
</file>

<file path=xl/ctrlProps/ctrlProp338.xml><?xml version="1.0" encoding="utf-8"?>
<formControlPr xmlns="http://schemas.microsoft.com/office/spreadsheetml/2009/9/main" objectType="CheckBox" fmlaLink="$L$215" lockText="1" noThreeD="1"/>
</file>

<file path=xl/ctrlProps/ctrlProp339.xml><?xml version="1.0" encoding="utf-8"?>
<formControlPr xmlns="http://schemas.microsoft.com/office/spreadsheetml/2009/9/main" objectType="CheckBox" fmlaLink="$L$391" lockText="1" noThreeD="1"/>
</file>

<file path=xl/ctrlProps/ctrlProp34.xml><?xml version="1.0" encoding="utf-8"?>
<formControlPr xmlns="http://schemas.microsoft.com/office/spreadsheetml/2009/9/main" objectType="CheckBox" fmlaLink="$J$64" lockText="1" noThreeD="1"/>
</file>

<file path=xl/ctrlProps/ctrlProp340.xml><?xml version="1.0" encoding="utf-8"?>
<formControlPr xmlns="http://schemas.microsoft.com/office/spreadsheetml/2009/9/main" objectType="CheckBox" fmlaLink="$L$383" lockText="1" noThreeD="1"/>
</file>

<file path=xl/ctrlProps/ctrlProp341.xml><?xml version="1.0" encoding="utf-8"?>
<formControlPr xmlns="http://schemas.microsoft.com/office/spreadsheetml/2009/9/main" objectType="CheckBox" fmlaLink="$L$426" lockText="1" noThreeD="1"/>
</file>

<file path=xl/ctrlProps/ctrlProp342.xml><?xml version="1.0" encoding="utf-8"?>
<formControlPr xmlns="http://schemas.microsoft.com/office/spreadsheetml/2009/9/main" objectType="CheckBox" fmlaLink="$L$427" lockText="1" noThreeD="1"/>
</file>

<file path=xl/ctrlProps/ctrlProp343.xml><?xml version="1.0" encoding="utf-8"?>
<formControlPr xmlns="http://schemas.microsoft.com/office/spreadsheetml/2009/9/main" objectType="CheckBox" fmlaLink="$L$429" lockText="1" noThreeD="1"/>
</file>

<file path=xl/ctrlProps/ctrlProp344.xml><?xml version="1.0" encoding="utf-8"?>
<formControlPr xmlns="http://schemas.microsoft.com/office/spreadsheetml/2009/9/main" objectType="CheckBox" fmlaLink="$L$435" lockText="1" noThreeD="1"/>
</file>

<file path=xl/ctrlProps/ctrlProp345.xml><?xml version="1.0" encoding="utf-8"?>
<formControlPr xmlns="http://schemas.microsoft.com/office/spreadsheetml/2009/9/main" objectType="CheckBox" fmlaLink="$L$446" lockText="1" noThreeD="1"/>
</file>

<file path=xl/ctrlProps/ctrlProp346.xml><?xml version="1.0" encoding="utf-8"?>
<formControlPr xmlns="http://schemas.microsoft.com/office/spreadsheetml/2009/9/main" objectType="CheckBox" fmlaLink="$L$438" lockText="1" noThreeD="1"/>
</file>

<file path=xl/ctrlProps/ctrlProp347.xml><?xml version="1.0" encoding="utf-8"?>
<formControlPr xmlns="http://schemas.microsoft.com/office/spreadsheetml/2009/9/main" objectType="CheckBox" fmlaLink="$L$450" lockText="1" noThreeD="1"/>
</file>

<file path=xl/ctrlProps/ctrlProp348.xml><?xml version="1.0" encoding="utf-8"?>
<formControlPr xmlns="http://schemas.microsoft.com/office/spreadsheetml/2009/9/main" objectType="CheckBox" fmlaLink="$L$462" lockText="1" noThreeD="1"/>
</file>

<file path=xl/ctrlProps/ctrlProp349.xml><?xml version="1.0" encoding="utf-8"?>
<formControlPr xmlns="http://schemas.microsoft.com/office/spreadsheetml/2009/9/main" objectType="CheckBox" fmlaLink="$L$464" lockText="1" noThreeD="1"/>
</file>

<file path=xl/ctrlProps/ctrlProp35.xml><?xml version="1.0" encoding="utf-8"?>
<formControlPr xmlns="http://schemas.microsoft.com/office/spreadsheetml/2009/9/main" objectType="CheckBox" fmlaLink="$L$9" lockText="1" noThreeD="1"/>
</file>

<file path=xl/ctrlProps/ctrlProp350.xml><?xml version="1.0" encoding="utf-8"?>
<formControlPr xmlns="http://schemas.microsoft.com/office/spreadsheetml/2009/9/main" objectType="CheckBox" fmlaLink="$L$469" lockText="1" noThreeD="1"/>
</file>

<file path=xl/ctrlProps/ctrlProp351.xml><?xml version="1.0" encoding="utf-8"?>
<formControlPr xmlns="http://schemas.microsoft.com/office/spreadsheetml/2009/9/main" objectType="CheckBox" fmlaLink="$L$474" lockText="1" noThreeD="1"/>
</file>

<file path=xl/ctrlProps/ctrlProp352.xml><?xml version="1.0" encoding="utf-8"?>
<formControlPr xmlns="http://schemas.microsoft.com/office/spreadsheetml/2009/9/main" objectType="CheckBox" fmlaLink="$L$476" lockText="1" noThreeD="1"/>
</file>

<file path=xl/ctrlProps/ctrlProp353.xml><?xml version="1.0" encoding="utf-8"?>
<formControlPr xmlns="http://schemas.microsoft.com/office/spreadsheetml/2009/9/main" objectType="CheckBox" fmlaLink="$L$480" lockText="1" noThreeD="1"/>
</file>

<file path=xl/ctrlProps/ctrlProp354.xml><?xml version="1.0" encoding="utf-8"?>
<formControlPr xmlns="http://schemas.microsoft.com/office/spreadsheetml/2009/9/main" objectType="CheckBox" fmlaLink="$L$478" lockText="1" noThreeD="1"/>
</file>

<file path=xl/ctrlProps/ctrlProp355.xml><?xml version="1.0" encoding="utf-8"?>
<formControlPr xmlns="http://schemas.microsoft.com/office/spreadsheetml/2009/9/main" objectType="CheckBox" fmlaLink="$L$482" lockText="1" noThreeD="1"/>
</file>

<file path=xl/ctrlProps/ctrlProp356.xml><?xml version="1.0" encoding="utf-8"?>
<formControlPr xmlns="http://schemas.microsoft.com/office/spreadsheetml/2009/9/main" objectType="CheckBox" fmlaLink="$L$492" lockText="1" noThreeD="1"/>
</file>

<file path=xl/ctrlProps/ctrlProp357.xml><?xml version="1.0" encoding="utf-8"?>
<formControlPr xmlns="http://schemas.microsoft.com/office/spreadsheetml/2009/9/main" objectType="CheckBox" fmlaLink="$L$496" lockText="1" noThreeD="1"/>
</file>

<file path=xl/ctrlProps/ctrlProp358.xml><?xml version="1.0" encoding="utf-8"?>
<formControlPr xmlns="http://schemas.microsoft.com/office/spreadsheetml/2009/9/main" objectType="CheckBox" fmlaLink="$L$503" lockText="1" noThreeD="1"/>
</file>

<file path=xl/ctrlProps/ctrlProp359.xml><?xml version="1.0" encoding="utf-8"?>
<formControlPr xmlns="http://schemas.microsoft.com/office/spreadsheetml/2009/9/main" objectType="CheckBox" fmlaLink="$L$505" lockText="1" noThreeD="1"/>
</file>

<file path=xl/ctrlProps/ctrlProp36.xml><?xml version="1.0" encoding="utf-8"?>
<formControlPr xmlns="http://schemas.microsoft.com/office/spreadsheetml/2009/9/main" objectType="CheckBox" fmlaLink="$L$12" lockText="1" noThreeD="1"/>
</file>

<file path=xl/ctrlProps/ctrlProp360.xml><?xml version="1.0" encoding="utf-8"?>
<formControlPr xmlns="http://schemas.microsoft.com/office/spreadsheetml/2009/9/main" objectType="CheckBox" fmlaLink="$L$507" lockText="1" noThreeD="1"/>
</file>

<file path=xl/ctrlProps/ctrlProp361.xml><?xml version="1.0" encoding="utf-8"?>
<formControlPr xmlns="http://schemas.microsoft.com/office/spreadsheetml/2009/9/main" objectType="CheckBox" fmlaLink="L512" lockText="1" noThreeD="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CheckBox" fmlaLink="$L$487" lockText="1" noThreeD="1"/>
</file>

<file path=xl/ctrlProps/ctrlProp364.xml><?xml version="1.0" encoding="utf-8"?>
<formControlPr xmlns="http://schemas.microsoft.com/office/spreadsheetml/2009/9/main" objectType="CheckBox" fmlaLink="$L$489" lockText="1" noThreeD="1"/>
</file>

<file path=xl/ctrlProps/ctrlProp365.xml><?xml version="1.0" encoding="utf-8"?>
<formControlPr xmlns="http://schemas.microsoft.com/office/spreadsheetml/2009/9/main" objectType="CheckBox" fmlaLink="$L$499" lockText="1" noThreeD="1"/>
</file>

<file path=xl/ctrlProps/ctrlProp366.xml><?xml version="1.0" encoding="utf-8"?>
<formControlPr xmlns="http://schemas.microsoft.com/office/spreadsheetml/2009/9/main" objectType="CheckBox" fmlaLink="$L$454" lockText="1" noThreeD="1"/>
</file>

<file path=xl/ctrlProps/ctrlProp367.xml><?xml version="1.0" encoding="utf-8"?>
<formControlPr xmlns="http://schemas.microsoft.com/office/spreadsheetml/2009/9/main" objectType="CheckBox" fmlaLink="$L$456" lockText="1" noThreeD="1"/>
</file>

<file path=xl/ctrlProps/ctrlProp368.xml><?xml version="1.0" encoding="utf-8"?>
<formControlPr xmlns="http://schemas.microsoft.com/office/spreadsheetml/2009/9/main" objectType="CheckBox" fmlaLink="$L$460" lockText="1" noThreeD="1"/>
</file>

<file path=xl/ctrlProps/ctrlProp369.xml><?xml version="1.0" encoding="utf-8"?>
<formControlPr xmlns="http://schemas.microsoft.com/office/spreadsheetml/2009/9/main" objectType="CheckBox" fmlaLink="$L$484" lockText="1" noThreeD="1"/>
</file>

<file path=xl/ctrlProps/ctrlProp37.xml><?xml version="1.0" encoding="utf-8"?>
<formControlPr xmlns="http://schemas.microsoft.com/office/spreadsheetml/2009/9/main" objectType="CheckBox" fmlaLink="$L$15" lockText="1" noThreeD="1"/>
</file>

<file path=xl/ctrlProps/ctrlProp38.xml><?xml version="1.0" encoding="utf-8"?>
<formControlPr xmlns="http://schemas.microsoft.com/office/spreadsheetml/2009/9/main" objectType="CheckBox" fmlaLink="$L$18" lockText="1" noThreeD="1"/>
</file>

<file path=xl/ctrlProps/ctrlProp39.xml><?xml version="1.0" encoding="utf-8"?>
<formControlPr xmlns="http://schemas.microsoft.com/office/spreadsheetml/2009/9/main" objectType="CheckBox" fmlaLink="$L$21" lockText="1" noThreeD="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CheckBox" fmlaLink="$L$34" lockText="1" noThreeD="1"/>
</file>

<file path=xl/ctrlProps/ctrlProp41.xml><?xml version="1.0" encoding="utf-8"?>
<formControlPr xmlns="http://schemas.microsoft.com/office/spreadsheetml/2009/9/main" objectType="CheckBox" fmlaLink="$L$24" lockText="1" noThreeD="1"/>
</file>

<file path=xl/ctrlProps/ctrlProp42.xml><?xml version="1.0" encoding="utf-8"?>
<formControlPr xmlns="http://schemas.microsoft.com/office/spreadsheetml/2009/9/main" objectType="CheckBox" fmlaLink="$L$27" lockText="1" noThreeD="1"/>
</file>

<file path=xl/ctrlProps/ctrlProp43.xml><?xml version="1.0" encoding="utf-8"?>
<formControlPr xmlns="http://schemas.microsoft.com/office/spreadsheetml/2009/9/main" objectType="CheckBox" fmlaLink="$L$30" lockText="1" noThreeD="1"/>
</file>

<file path=xl/ctrlProps/ctrlProp44.xml><?xml version="1.0" encoding="utf-8"?>
<formControlPr xmlns="http://schemas.microsoft.com/office/spreadsheetml/2009/9/main" objectType="CheckBox" fmlaLink="$L$5" lockText="1" noThreeD="1"/>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22" lockText="1" noThreeD="1"/>
</file>

<file path=xl/ctrlProps/ctrlProp47.xml><?xml version="1.0" encoding="utf-8"?>
<formControlPr xmlns="http://schemas.microsoft.com/office/spreadsheetml/2009/9/main" objectType="CheckBox" fmlaLink="$L$41" lockText="1" noThreeD="1"/>
</file>

<file path=xl/ctrlProps/ctrlProp48.xml><?xml version="1.0" encoding="utf-8"?>
<formControlPr xmlns="http://schemas.microsoft.com/office/spreadsheetml/2009/9/main" objectType="CheckBox" fmlaLink="$L$48" lockText="1" noThreeD="1"/>
</file>

<file path=xl/ctrlProps/ctrlProp49.xml><?xml version="1.0" encoding="utf-8"?>
<formControlPr xmlns="http://schemas.microsoft.com/office/spreadsheetml/2009/9/main" objectType="CheckBox" fmlaLink="$L$24" lockText="1" noThreeD="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CheckBox" fmlaLink="$L$50" lockText="1" noThreeD="1"/>
</file>

<file path=xl/ctrlProps/ctrlProp51.xml><?xml version="1.0" encoding="utf-8"?>
<formControlPr xmlns="http://schemas.microsoft.com/office/spreadsheetml/2009/9/main" objectType="CheckBox" fmlaLink="$L$55" lockText="1" noThreeD="1"/>
</file>

<file path=xl/ctrlProps/ctrlProp52.xml><?xml version="1.0" encoding="utf-8"?>
<formControlPr xmlns="http://schemas.microsoft.com/office/spreadsheetml/2009/9/main" objectType="CheckBox" fmlaLink="$L$57" lockText="1" noThreeD="1"/>
</file>

<file path=xl/ctrlProps/ctrlProp53.xml><?xml version="1.0" encoding="utf-8"?>
<formControlPr xmlns="http://schemas.microsoft.com/office/spreadsheetml/2009/9/main" objectType="CheckBox" fmlaLink="$L$72" lockText="1" noThreeD="1"/>
</file>

<file path=xl/ctrlProps/ctrlProp54.xml><?xml version="1.0" encoding="utf-8"?>
<formControlPr xmlns="http://schemas.microsoft.com/office/spreadsheetml/2009/9/main" objectType="CheckBox" fmlaLink="$L$76" lockText="1" noThreeD="1"/>
</file>

<file path=xl/ctrlProps/ctrlProp55.xml><?xml version="1.0" encoding="utf-8"?>
<formControlPr xmlns="http://schemas.microsoft.com/office/spreadsheetml/2009/9/main" objectType="CheckBox" fmlaLink="$L$89" lockText="1" noThreeD="1"/>
</file>

<file path=xl/ctrlProps/ctrlProp56.xml><?xml version="1.0" encoding="utf-8"?>
<formControlPr xmlns="http://schemas.microsoft.com/office/spreadsheetml/2009/9/main" objectType="CheckBox" fmlaLink="$L$93" lockText="1" noThreeD="1"/>
</file>

<file path=xl/ctrlProps/ctrlProp57.xml><?xml version="1.0" encoding="utf-8"?>
<formControlPr xmlns="http://schemas.microsoft.com/office/spreadsheetml/2009/9/main" objectType="CheckBox" fmlaLink="$L$95" lockText="1" noThreeD="1"/>
</file>

<file path=xl/ctrlProps/ctrlProp58.xml><?xml version="1.0" encoding="utf-8"?>
<formControlPr xmlns="http://schemas.microsoft.com/office/spreadsheetml/2009/9/main" objectType="CheckBox" fmlaLink="$L$113" lockText="1" noThreeD="1"/>
</file>

<file path=xl/ctrlProps/ctrlProp59.xml><?xml version="1.0" encoding="utf-8"?>
<formControlPr xmlns="http://schemas.microsoft.com/office/spreadsheetml/2009/9/main" objectType="CheckBox" fmlaLink="$L$117" lockText="1" noThreeD="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CheckBox" fmlaLink="$L$119" lockText="1" noThreeD="1"/>
</file>

<file path=xl/ctrlProps/ctrlProp61.xml><?xml version="1.0" encoding="utf-8"?>
<formControlPr xmlns="http://schemas.microsoft.com/office/spreadsheetml/2009/9/main" objectType="CheckBox" fmlaLink="$L$121" lockText="1" noThreeD="1"/>
</file>

<file path=xl/ctrlProps/ctrlProp62.xml><?xml version="1.0" encoding="utf-8"?>
<formControlPr xmlns="http://schemas.microsoft.com/office/spreadsheetml/2009/9/main" objectType="CheckBox" fmlaLink="$L$123" lockText="1" noThreeD="1"/>
</file>

<file path=xl/ctrlProps/ctrlProp63.xml><?xml version="1.0" encoding="utf-8"?>
<formControlPr xmlns="http://schemas.microsoft.com/office/spreadsheetml/2009/9/main" objectType="CheckBox" fmlaLink="$L$133" lockText="1" noThreeD="1"/>
</file>

<file path=xl/ctrlProps/ctrlProp64.xml><?xml version="1.0" encoding="utf-8"?>
<formControlPr xmlns="http://schemas.microsoft.com/office/spreadsheetml/2009/9/main" objectType="CheckBox" fmlaLink="$L$135" lockText="1" noThreeD="1"/>
</file>

<file path=xl/ctrlProps/ctrlProp65.xml><?xml version="1.0" encoding="utf-8"?>
<formControlPr xmlns="http://schemas.microsoft.com/office/spreadsheetml/2009/9/main" objectType="CheckBox" fmlaLink="$L$133" lockText="1" noThreeD="1"/>
</file>

<file path=xl/ctrlProps/ctrlProp66.xml><?xml version="1.0" encoding="utf-8"?>
<formControlPr xmlns="http://schemas.microsoft.com/office/spreadsheetml/2009/9/main" objectType="CheckBox" fmlaLink="$L$153" lockText="1" noThreeD="1"/>
</file>

<file path=xl/ctrlProps/ctrlProp67.xml><?xml version="1.0" encoding="utf-8"?>
<formControlPr xmlns="http://schemas.microsoft.com/office/spreadsheetml/2009/9/main" objectType="CheckBox" fmlaLink="$L$133" lockText="1" noThreeD="1"/>
</file>

<file path=xl/ctrlProps/ctrlProp68.xml><?xml version="1.0" encoding="utf-8"?>
<formControlPr xmlns="http://schemas.microsoft.com/office/spreadsheetml/2009/9/main" objectType="CheckBox" fmlaLink="$L$180" lockText="1" noThreeD="1"/>
</file>

<file path=xl/ctrlProps/ctrlProp69.xml><?xml version="1.0" encoding="utf-8"?>
<formControlPr xmlns="http://schemas.microsoft.com/office/spreadsheetml/2009/9/main" objectType="CheckBox" fmlaLink="$L$187" lockText="1" noThreeD="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CheckBox" fmlaLink="$L$189" lockText="1" noThreeD="1"/>
</file>

<file path=xl/ctrlProps/ctrlProp71.xml><?xml version="1.0" encoding="utf-8"?>
<formControlPr xmlns="http://schemas.microsoft.com/office/spreadsheetml/2009/9/main" objectType="CheckBox" fmlaLink="$L$201" lockText="1" noThreeD="1"/>
</file>

<file path=xl/ctrlProps/ctrlProp72.xml><?xml version="1.0" encoding="utf-8"?>
<formControlPr xmlns="http://schemas.microsoft.com/office/spreadsheetml/2009/9/main" objectType="CheckBox" fmlaLink="$L$203" lockText="1" noThreeD="1"/>
</file>

<file path=xl/ctrlProps/ctrlProp73.xml><?xml version="1.0" encoding="utf-8"?>
<formControlPr xmlns="http://schemas.microsoft.com/office/spreadsheetml/2009/9/main" objectType="CheckBox" fmlaLink="$L$219" lockText="1" noThreeD="1"/>
</file>

<file path=xl/ctrlProps/ctrlProp74.xml><?xml version="1.0" encoding="utf-8"?>
<formControlPr xmlns="http://schemas.microsoft.com/office/spreadsheetml/2009/9/main" objectType="CheckBox" fmlaLink="$L$225" lockText="1" noThreeD="1"/>
</file>

<file path=xl/ctrlProps/ctrlProp75.xml><?xml version="1.0" encoding="utf-8"?>
<formControlPr xmlns="http://schemas.microsoft.com/office/spreadsheetml/2009/9/main" objectType="CheckBox" fmlaLink="$L$266" lockText="1" noThreeD="1"/>
</file>

<file path=xl/ctrlProps/ctrlProp76.xml><?xml version="1.0" encoding="utf-8"?>
<formControlPr xmlns="http://schemas.microsoft.com/office/spreadsheetml/2009/9/main" objectType="CheckBox" fmlaLink="$L$207" lockText="1" noThreeD="1"/>
</file>

<file path=xl/ctrlProps/ctrlProp77.xml><?xml version="1.0" encoding="utf-8"?>
<formControlPr xmlns="http://schemas.microsoft.com/office/spreadsheetml/2009/9/main" objectType="CheckBox" fmlaLink="$L$263" lockText="1" noThreeD="1"/>
</file>

<file path=xl/ctrlProps/ctrlProp78.xml><?xml version="1.0" encoding="utf-8"?>
<formControlPr xmlns="http://schemas.microsoft.com/office/spreadsheetml/2009/9/main" objectType="CheckBox" fmlaLink="$L$268" lockText="1" noThreeD="1"/>
</file>

<file path=xl/ctrlProps/ctrlProp79.xml><?xml version="1.0" encoding="utf-8"?>
<formControlPr xmlns="http://schemas.microsoft.com/office/spreadsheetml/2009/9/main" objectType="CheckBox" fmlaLink="$L$271" lockText="1" noThreeD="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CheckBox" fmlaLink="$L$296" lockText="1" noThreeD="1"/>
</file>

<file path=xl/ctrlProps/ctrlProp81.xml><?xml version="1.0" encoding="utf-8"?>
<formControlPr xmlns="http://schemas.microsoft.com/office/spreadsheetml/2009/9/main" objectType="CheckBox" fmlaLink="$L$299" lockText="1" noThreeD="1"/>
</file>

<file path=xl/ctrlProps/ctrlProp82.xml><?xml version="1.0" encoding="utf-8"?>
<formControlPr xmlns="http://schemas.microsoft.com/office/spreadsheetml/2009/9/main" objectType="CheckBox" fmlaLink="$L$301" lockText="1" noThreeD="1"/>
</file>

<file path=xl/ctrlProps/ctrlProp83.xml><?xml version="1.0" encoding="utf-8"?>
<formControlPr xmlns="http://schemas.microsoft.com/office/spreadsheetml/2009/9/main" objectType="CheckBox" fmlaLink="$L$305" lockText="1" noThreeD="1"/>
</file>

<file path=xl/ctrlProps/ctrlProp84.xml><?xml version="1.0" encoding="utf-8"?>
<formControlPr xmlns="http://schemas.microsoft.com/office/spreadsheetml/2009/9/main" objectType="CheckBox" fmlaLink="$L$307" lockText="1" noThreeD="1"/>
</file>

<file path=xl/ctrlProps/ctrlProp85.xml><?xml version="1.0" encoding="utf-8"?>
<formControlPr xmlns="http://schemas.microsoft.com/office/spreadsheetml/2009/9/main" objectType="CheckBox" fmlaLink="$L$309" lockText="1" noThreeD="1"/>
</file>

<file path=xl/ctrlProps/ctrlProp86.xml><?xml version="1.0" encoding="utf-8"?>
<formControlPr xmlns="http://schemas.microsoft.com/office/spreadsheetml/2009/9/main" objectType="CheckBox" fmlaLink="$L$315" lockText="1" noThreeD="1"/>
</file>

<file path=xl/ctrlProps/ctrlProp87.xml><?xml version="1.0" encoding="utf-8"?>
<formControlPr xmlns="http://schemas.microsoft.com/office/spreadsheetml/2009/9/main" objectType="CheckBox" fmlaLink="$L$317" lockText="1" noThreeD="1"/>
</file>

<file path=xl/ctrlProps/ctrlProp88.xml><?xml version="1.0" encoding="utf-8"?>
<formControlPr xmlns="http://schemas.microsoft.com/office/spreadsheetml/2009/9/main" objectType="CheckBox" fmlaLink="$L$313" lockText="1" noThreeD="1"/>
</file>

<file path=xl/ctrlProps/ctrlProp89.xml><?xml version="1.0" encoding="utf-8"?>
<formControlPr xmlns="http://schemas.microsoft.com/office/spreadsheetml/2009/9/main" objectType="CheckBox" fmlaLink="$L$322" lockText="1" noThreeD="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CheckBox" fmlaLink="$L$351" lockText="1" noThreeD="1"/>
</file>

<file path=xl/ctrlProps/ctrlProp91.xml><?xml version="1.0" encoding="utf-8"?>
<formControlPr xmlns="http://schemas.microsoft.com/office/spreadsheetml/2009/9/main" objectType="CheckBox" fmlaLink="$L$326" lockText="1" noThreeD="1"/>
</file>

<file path=xl/ctrlProps/ctrlProp92.xml><?xml version="1.0" encoding="utf-8"?>
<formControlPr xmlns="http://schemas.microsoft.com/office/spreadsheetml/2009/9/main" objectType="CheckBox" fmlaLink="$L$328" lockText="1" noThreeD="1"/>
</file>

<file path=xl/ctrlProps/ctrlProp93.xml><?xml version="1.0" encoding="utf-8"?>
<formControlPr xmlns="http://schemas.microsoft.com/office/spreadsheetml/2009/9/main" objectType="CheckBox" fmlaLink="$L$330" lockText="1" noThreeD="1"/>
</file>

<file path=xl/ctrlProps/ctrlProp94.xml><?xml version="1.0" encoding="utf-8"?>
<formControlPr xmlns="http://schemas.microsoft.com/office/spreadsheetml/2009/9/main" objectType="CheckBox" fmlaLink="$L$336" lockText="1" noThreeD="1"/>
</file>

<file path=xl/ctrlProps/ctrlProp95.xml><?xml version="1.0" encoding="utf-8"?>
<formControlPr xmlns="http://schemas.microsoft.com/office/spreadsheetml/2009/9/main" objectType="CheckBox" fmlaLink="$L$338" lockText="1" noThreeD="1"/>
</file>

<file path=xl/ctrlProps/ctrlProp96.xml><?xml version="1.0" encoding="utf-8"?>
<formControlPr xmlns="http://schemas.microsoft.com/office/spreadsheetml/2009/9/main" objectType="CheckBox" fmlaLink="$L$334" lockText="1" noThreeD="1"/>
</file>

<file path=xl/ctrlProps/ctrlProp97.xml><?xml version="1.0" encoding="utf-8"?>
<formControlPr xmlns="http://schemas.microsoft.com/office/spreadsheetml/2009/9/main" objectType="CheckBox" fmlaLink="$L$345" lockText="1" noThreeD="1"/>
</file>

<file path=xl/ctrlProps/ctrlProp98.xml><?xml version="1.0" encoding="utf-8"?>
<formControlPr xmlns="http://schemas.microsoft.com/office/spreadsheetml/2009/9/main" objectType="CheckBox" fmlaLink="$L$347" lockText="1" noThreeD="1"/>
</file>

<file path=xl/ctrlProps/ctrlProp99.xml><?xml version="1.0" encoding="utf-8"?>
<formControlPr xmlns="http://schemas.microsoft.com/office/spreadsheetml/2009/9/main" objectType="CheckBox" fmlaLink="$L$349"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0</xdr:col>
      <xdr:colOff>857250</xdr:colOff>
      <xdr:row>0</xdr:row>
      <xdr:rowOff>828675</xdr:rowOff>
    </xdr:to>
    <xdr:pic>
      <xdr:nvPicPr>
        <xdr:cNvPr id="2" name="Kép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2875" y="114300"/>
          <a:ext cx="714375" cy="71437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161925</xdr:colOff>
      <xdr:row>0</xdr:row>
      <xdr:rowOff>133350</xdr:rowOff>
    </xdr:from>
    <xdr:to>
      <xdr:col>1</xdr:col>
      <xdr:colOff>161925</xdr:colOff>
      <xdr:row>0</xdr:row>
      <xdr:rowOff>857250</xdr:rowOff>
    </xdr:to>
    <xdr:cxnSp macro="">
      <xdr:nvCxnSpPr>
        <xdr:cNvPr id="4" name="Egyenes összekötő 3"/>
        <xdr:cNvCxnSpPr/>
      </xdr:nvCxnSpPr>
      <xdr:spPr>
        <a:xfrm>
          <a:off x="1219200" y="133350"/>
          <a:ext cx="0" cy="723900"/>
        </a:xfrm>
        <a:prstGeom prst="line">
          <a:avLst/>
        </a:prstGeom>
        <a:ln w="571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78</xdr:row>
      <xdr:rowOff>142875</xdr:rowOff>
    </xdr:from>
    <xdr:to>
      <xdr:col>5</xdr:col>
      <xdr:colOff>95250</xdr:colOff>
      <xdr:row>81</xdr:row>
      <xdr:rowOff>314325</xdr:rowOff>
    </xdr:to>
    <xdr:sp macro="" textlink="">
      <xdr:nvSpPr>
        <xdr:cNvPr id="5" name="Téglalap 4"/>
        <xdr:cNvSpPr/>
      </xdr:nvSpPr>
      <xdr:spPr>
        <a:xfrm>
          <a:off x="3867150" y="17411700"/>
          <a:ext cx="2066925" cy="695325"/>
        </a:xfrm>
        <a:prstGeom prst="rect">
          <a:avLst/>
        </a:prstGeom>
        <a:solidFill>
          <a:srgbClr val="EBF1DE"/>
        </a:solidFill>
        <a:ln w="3175">
          <a:solidFill>
            <a:schemeClr val="bg1">
              <a:lumMod val="6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hu-HU" sz="1100"/>
        </a:p>
      </xdr:txBody>
    </xdr:sp>
    <xdr:clientData/>
  </xdr:twoCellAnchor>
  <xdr:twoCellAnchor>
    <xdr:from>
      <xdr:col>6</xdr:col>
      <xdr:colOff>600075</xdr:colOff>
      <xdr:row>0</xdr:row>
      <xdr:rowOff>581025</xdr:rowOff>
    </xdr:from>
    <xdr:to>
      <xdr:col>14</xdr:col>
      <xdr:colOff>0</xdr:colOff>
      <xdr:row>2</xdr:row>
      <xdr:rowOff>0</xdr:rowOff>
    </xdr:to>
    <xdr:sp macro="" textlink="">
      <xdr:nvSpPr>
        <xdr:cNvPr id="3" name="Szövegdoboz 2"/>
        <xdr:cNvSpPr txBox="1"/>
      </xdr:nvSpPr>
      <xdr:spPr>
        <a:xfrm>
          <a:off x="7048500" y="581025"/>
          <a:ext cx="1838325" cy="533400"/>
        </a:xfrm>
        <a:prstGeom prst="rect">
          <a:avLst/>
        </a:prstGeom>
        <a:solidFill>
          <a:srgbClr val="F7964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hu-HU" sz="1100" b="1"/>
            <a:t>Válasszon nyelvet! /</a:t>
          </a:r>
        </a:p>
        <a:p>
          <a:pPr algn="ctr"/>
          <a:r>
            <a:rPr lang="hu-HU" sz="1100" b="1"/>
            <a:t>Choose</a:t>
          </a:r>
          <a:r>
            <a:rPr lang="hu-HU" sz="1100" b="1" baseline="0"/>
            <a:t> your language!</a:t>
          </a:r>
          <a:endParaRPr lang="hu-HU" sz="1100" b="1"/>
        </a:p>
      </xdr:txBody>
    </xdr:sp>
    <xdr:clientData/>
  </xdr:twoCellAnchor>
  <xdr:oneCellAnchor>
    <xdr:from>
      <xdr:col>12</xdr:col>
      <xdr:colOff>0</xdr:colOff>
      <xdr:row>13</xdr:row>
      <xdr:rowOff>0</xdr:rowOff>
    </xdr:from>
    <xdr:ext cx="180975" cy="266700"/>
    <xdr:sp macro="" textlink="">
      <xdr:nvSpPr>
        <xdr:cNvPr id="6" name="Szövegdoboz 5"/>
        <xdr:cNvSpPr txBox="1"/>
      </xdr:nvSpPr>
      <xdr:spPr>
        <a:xfrm>
          <a:off x="8886825" y="3276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hu-HU" sz="1100"/>
        </a:p>
      </xdr:txBody>
    </xdr:sp>
    <xdr:clientData/>
  </xdr:oneCellAnchor>
  <xdr:twoCellAnchor>
    <xdr:from>
      <xdr:col>6</xdr:col>
      <xdr:colOff>600075</xdr:colOff>
      <xdr:row>3</xdr:row>
      <xdr:rowOff>104775</xdr:rowOff>
    </xdr:from>
    <xdr:to>
      <xdr:col>14</xdr:col>
      <xdr:colOff>0</xdr:colOff>
      <xdr:row>5</xdr:row>
      <xdr:rowOff>114300</xdr:rowOff>
    </xdr:to>
    <xdr:sp macro="" textlink="">
      <xdr:nvSpPr>
        <xdr:cNvPr id="7" name="Szövegdoboz 6"/>
        <xdr:cNvSpPr txBox="1"/>
      </xdr:nvSpPr>
      <xdr:spPr>
        <a:xfrm>
          <a:off x="7048500" y="1476375"/>
          <a:ext cx="1838325" cy="523875"/>
        </a:xfrm>
        <a:prstGeom prst="rect">
          <a:avLst/>
        </a:prstGeom>
        <a:solidFill>
          <a:srgbClr val="F7964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hu-HU" sz="1100" b="1"/>
            <a:t>Válassza ki a termékcsoportot!</a:t>
          </a:r>
        </a:p>
        <a:p>
          <a:pPr algn="ctr"/>
          <a:r>
            <a:rPr lang="hu-HU" sz="1100" b="1"/>
            <a:t>Choose</a:t>
          </a:r>
          <a:r>
            <a:rPr lang="hu-HU" sz="1100" b="1" baseline="0"/>
            <a:t> your product group!</a:t>
          </a:r>
          <a:endParaRPr lang="hu-HU" sz="1100" b="1"/>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0</xdr:colOff>
          <xdr:row>5</xdr:row>
          <xdr:rowOff>127000</xdr:rowOff>
        </xdr:from>
        <xdr:to>
          <xdr:col>9</xdr:col>
          <xdr:colOff>584200</xdr:colOff>
          <xdr:row>6</xdr:row>
          <xdr:rowOff>184150</xdr:rowOff>
        </xdr:to>
        <xdr:sp macro="" textlink="">
          <xdr:nvSpPr>
            <xdr:cNvPr id="1030" name="Drop Down 6" hidden="1">
              <a:extLst xmlns:a="http://schemas.openxmlformats.org/drawingml/2006/main">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104775</xdr:colOff>
      <xdr:row>0</xdr:row>
      <xdr:rowOff>828675</xdr:rowOff>
    </xdr:to>
    <xdr:pic>
      <xdr:nvPicPr>
        <xdr:cNvPr id="2" name="Kép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114300"/>
          <a:ext cx="714375" cy="71437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361950</xdr:colOff>
      <xdr:row>0</xdr:row>
      <xdr:rowOff>114300</xdr:rowOff>
    </xdr:from>
    <xdr:to>
      <xdr:col>1</xdr:col>
      <xdr:colOff>361950</xdr:colOff>
      <xdr:row>0</xdr:row>
      <xdr:rowOff>838200</xdr:rowOff>
    </xdr:to>
    <xdr:cxnSp macro="">
      <xdr:nvCxnSpPr>
        <xdr:cNvPr id="3" name="Egyenes összekötő 2"/>
        <xdr:cNvCxnSpPr/>
      </xdr:nvCxnSpPr>
      <xdr:spPr>
        <a:xfrm>
          <a:off x="971550" y="114300"/>
          <a:ext cx="0" cy="723900"/>
        </a:xfrm>
        <a:prstGeom prst="line">
          <a:avLst/>
        </a:prstGeom>
        <a:ln w="571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114300</xdr:rowOff>
    </xdr:from>
    <xdr:to>
      <xdr:col>1</xdr:col>
      <xdr:colOff>104775</xdr:colOff>
      <xdr:row>0</xdr:row>
      <xdr:rowOff>828675</xdr:rowOff>
    </xdr:to>
    <xdr:pic>
      <xdr:nvPicPr>
        <xdr:cNvPr id="95" name="Kép 9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114300"/>
          <a:ext cx="714375" cy="71437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361950</xdr:colOff>
      <xdr:row>0</xdr:row>
      <xdr:rowOff>114300</xdr:rowOff>
    </xdr:from>
    <xdr:to>
      <xdr:col>1</xdr:col>
      <xdr:colOff>361950</xdr:colOff>
      <xdr:row>0</xdr:row>
      <xdr:rowOff>838200</xdr:rowOff>
    </xdr:to>
    <xdr:cxnSp macro="">
      <xdr:nvCxnSpPr>
        <xdr:cNvPr id="96" name="Egyenes összekötő 95"/>
        <xdr:cNvCxnSpPr/>
      </xdr:nvCxnSpPr>
      <xdr:spPr>
        <a:xfrm>
          <a:off x="971550" y="114300"/>
          <a:ext cx="0" cy="723900"/>
        </a:xfrm>
        <a:prstGeom prst="line">
          <a:avLst/>
        </a:prstGeom>
        <a:ln w="571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4</xdr:row>
          <xdr:rowOff>0</xdr:rowOff>
        </xdr:from>
        <xdr:to>
          <xdr:col>0</xdr:col>
          <xdr:colOff>438150</xdr:colOff>
          <xdr:row>4</xdr:row>
          <xdr:rowOff>222250</xdr:rowOff>
        </xdr:to>
        <xdr:sp macro="" textlink="">
          <xdr:nvSpPr>
            <xdr:cNvPr id="18433" name="Check Box 1" hidden="1">
              <a:extLst xmlns:a="http://schemas.openxmlformats.org/drawingml/2006/main">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21</xdr:row>
          <xdr:rowOff>0</xdr:rowOff>
        </xdr:from>
        <xdr:to>
          <xdr:col>0</xdr:col>
          <xdr:colOff>438150</xdr:colOff>
          <xdr:row>21</xdr:row>
          <xdr:rowOff>222250</xdr:rowOff>
        </xdr:to>
        <xdr:sp macro="" textlink="">
          <xdr:nvSpPr>
            <xdr:cNvPr id="18435" name="Check Box 3" hidden="1">
              <a:extLst xmlns:a="http://schemas.openxmlformats.org/drawingml/2006/main">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23</xdr:row>
          <xdr:rowOff>19050</xdr:rowOff>
        </xdr:from>
        <xdr:to>
          <xdr:col>0</xdr:col>
          <xdr:colOff>438150</xdr:colOff>
          <xdr:row>23</xdr:row>
          <xdr:rowOff>241300</xdr:rowOff>
        </xdr:to>
        <xdr:sp macro="" textlink="">
          <xdr:nvSpPr>
            <xdr:cNvPr id="18438" name="Check Box 6" hidden="1">
              <a:extLst xmlns:a="http://schemas.openxmlformats.org/drawingml/2006/main">
                <a:ext uri="{63B3BB69-23CF-44E3-9099-C40C66FF867C}">
                  <a14:compatExt spid="_x0000_s18438"/>
                </a:ext>
                <a:ext uri="{FF2B5EF4-FFF2-40B4-BE49-F238E27FC236}">
                  <a16:creationId xmlns:a16="http://schemas.microsoft.com/office/drawing/2014/main" id="{00000000-0008-0000-0D00-000006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54</xdr:row>
          <xdr:rowOff>0</xdr:rowOff>
        </xdr:from>
        <xdr:to>
          <xdr:col>0</xdr:col>
          <xdr:colOff>438150</xdr:colOff>
          <xdr:row>54</xdr:row>
          <xdr:rowOff>222250</xdr:rowOff>
        </xdr:to>
        <xdr:sp macro="" textlink="">
          <xdr:nvSpPr>
            <xdr:cNvPr id="18441" name="Check Box 9" hidden="1">
              <a:extLst xmlns:a="http://schemas.openxmlformats.org/drawingml/2006/main">
                <a:ext uri="{63B3BB69-23CF-44E3-9099-C40C66FF867C}">
                  <a14:compatExt spid="_x0000_s18441"/>
                </a:ext>
                <a:ext uri="{FF2B5EF4-FFF2-40B4-BE49-F238E27FC236}">
                  <a16:creationId xmlns:a16="http://schemas.microsoft.com/office/drawing/2014/main" id="{00000000-0008-0000-0D00-000009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56</xdr:row>
          <xdr:rowOff>0</xdr:rowOff>
        </xdr:from>
        <xdr:to>
          <xdr:col>0</xdr:col>
          <xdr:colOff>438150</xdr:colOff>
          <xdr:row>56</xdr:row>
          <xdr:rowOff>222250</xdr:rowOff>
        </xdr:to>
        <xdr:sp macro="" textlink="">
          <xdr:nvSpPr>
            <xdr:cNvPr id="18442" name="Check Box 10" hidden="1">
              <a:extLst xmlns:a="http://schemas.openxmlformats.org/drawingml/2006/main">
                <a:ext uri="{63B3BB69-23CF-44E3-9099-C40C66FF867C}">
                  <a14:compatExt spid="_x0000_s18442"/>
                </a:ext>
                <a:ext uri="{FF2B5EF4-FFF2-40B4-BE49-F238E27FC236}">
                  <a16:creationId xmlns:a16="http://schemas.microsoft.com/office/drawing/2014/main" id="{00000000-0008-0000-0D00-00000A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92</xdr:row>
          <xdr:rowOff>0</xdr:rowOff>
        </xdr:from>
        <xdr:to>
          <xdr:col>0</xdr:col>
          <xdr:colOff>438150</xdr:colOff>
          <xdr:row>92</xdr:row>
          <xdr:rowOff>222250</xdr:rowOff>
        </xdr:to>
        <xdr:sp macro="" textlink="">
          <xdr:nvSpPr>
            <xdr:cNvPr id="18447" name="Check Box 15" hidden="1">
              <a:extLst xmlns:a="http://schemas.openxmlformats.org/drawingml/2006/main">
                <a:ext uri="{63B3BB69-23CF-44E3-9099-C40C66FF867C}">
                  <a14:compatExt spid="_x0000_s18447"/>
                </a:ext>
                <a:ext uri="{FF2B5EF4-FFF2-40B4-BE49-F238E27FC236}">
                  <a16:creationId xmlns:a16="http://schemas.microsoft.com/office/drawing/2014/main" id="{00000000-0008-0000-0D00-00000F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94</xdr:row>
          <xdr:rowOff>0</xdr:rowOff>
        </xdr:from>
        <xdr:to>
          <xdr:col>0</xdr:col>
          <xdr:colOff>438150</xdr:colOff>
          <xdr:row>94</xdr:row>
          <xdr:rowOff>222250</xdr:rowOff>
        </xdr:to>
        <xdr:sp macro="" textlink="">
          <xdr:nvSpPr>
            <xdr:cNvPr id="18448" name="Check Box 16" hidden="1">
              <a:extLst xmlns:a="http://schemas.openxmlformats.org/drawingml/2006/main">
                <a:ext uri="{63B3BB69-23CF-44E3-9099-C40C66FF867C}">
                  <a14:compatExt spid="_x0000_s18448"/>
                </a:ext>
                <a:ext uri="{FF2B5EF4-FFF2-40B4-BE49-F238E27FC236}">
                  <a16:creationId xmlns:a16="http://schemas.microsoft.com/office/drawing/2014/main" id="{00000000-0008-0000-0D00-000010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133350</xdr:colOff>
          <xdr:row>122</xdr:row>
          <xdr:rowOff>0</xdr:rowOff>
        </xdr:from>
        <xdr:to>
          <xdr:col>1</xdr:col>
          <xdr:colOff>438150</xdr:colOff>
          <xdr:row>122</xdr:row>
          <xdr:rowOff>222250</xdr:rowOff>
        </xdr:to>
        <xdr:sp macro="" textlink="">
          <xdr:nvSpPr>
            <xdr:cNvPr id="18453" name="Check Box 21" hidden="1">
              <a:extLst xmlns:a="http://schemas.openxmlformats.org/drawingml/2006/main">
                <a:ext uri="{63B3BB69-23CF-44E3-9099-C40C66FF867C}">
                  <a14:compatExt spid="_x0000_s18453"/>
                </a:ext>
                <a:ext uri="{FF2B5EF4-FFF2-40B4-BE49-F238E27FC236}">
                  <a16:creationId xmlns:a16="http://schemas.microsoft.com/office/drawing/2014/main" id="{00000000-0008-0000-0D00-000015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134</xdr:row>
          <xdr:rowOff>0</xdr:rowOff>
        </xdr:from>
        <xdr:to>
          <xdr:col>0</xdr:col>
          <xdr:colOff>438150</xdr:colOff>
          <xdr:row>134</xdr:row>
          <xdr:rowOff>222250</xdr:rowOff>
        </xdr:to>
        <xdr:sp macro="" textlink="">
          <xdr:nvSpPr>
            <xdr:cNvPr id="18455" name="Check Box 23" hidden="1">
              <a:extLst xmlns:a="http://schemas.openxmlformats.org/drawingml/2006/main">
                <a:ext uri="{63B3BB69-23CF-44E3-9099-C40C66FF867C}">
                  <a14:compatExt spid="_x0000_s18455"/>
                </a:ext>
                <a:ext uri="{FF2B5EF4-FFF2-40B4-BE49-F238E27FC236}">
                  <a16:creationId xmlns:a16="http://schemas.microsoft.com/office/drawing/2014/main" id="{00000000-0008-0000-0D00-000017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267</xdr:row>
          <xdr:rowOff>0</xdr:rowOff>
        </xdr:from>
        <xdr:to>
          <xdr:col>0</xdr:col>
          <xdr:colOff>438150</xdr:colOff>
          <xdr:row>267</xdr:row>
          <xdr:rowOff>222250</xdr:rowOff>
        </xdr:to>
        <xdr:sp macro="" textlink="">
          <xdr:nvSpPr>
            <xdr:cNvPr id="18473" name="Check Box 41" hidden="1">
              <a:extLst xmlns:a="http://schemas.openxmlformats.org/drawingml/2006/main">
                <a:ext uri="{63B3BB69-23CF-44E3-9099-C40C66FF867C}">
                  <a14:compatExt spid="_x0000_s18473"/>
                </a:ext>
                <a:ext uri="{FF2B5EF4-FFF2-40B4-BE49-F238E27FC236}">
                  <a16:creationId xmlns:a16="http://schemas.microsoft.com/office/drawing/2014/main" id="{00000000-0008-0000-0D00-000029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270</xdr:row>
          <xdr:rowOff>0</xdr:rowOff>
        </xdr:from>
        <xdr:to>
          <xdr:col>0</xdr:col>
          <xdr:colOff>438150</xdr:colOff>
          <xdr:row>270</xdr:row>
          <xdr:rowOff>222250</xdr:rowOff>
        </xdr:to>
        <xdr:sp macro="" textlink="">
          <xdr:nvSpPr>
            <xdr:cNvPr id="18474" name="Check Box 42" hidden="1">
              <a:extLst xmlns:a="http://schemas.openxmlformats.org/drawingml/2006/main">
                <a:ext uri="{63B3BB69-23CF-44E3-9099-C40C66FF867C}">
                  <a14:compatExt spid="_x0000_s18474"/>
                </a:ext>
                <a:ext uri="{FF2B5EF4-FFF2-40B4-BE49-F238E27FC236}">
                  <a16:creationId xmlns:a16="http://schemas.microsoft.com/office/drawing/2014/main" id="{00000000-0008-0000-0D00-00002A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304</xdr:row>
          <xdr:rowOff>0</xdr:rowOff>
        </xdr:from>
        <xdr:to>
          <xdr:col>0</xdr:col>
          <xdr:colOff>438150</xdr:colOff>
          <xdr:row>304</xdr:row>
          <xdr:rowOff>222250</xdr:rowOff>
        </xdr:to>
        <xdr:sp macro="" textlink="">
          <xdr:nvSpPr>
            <xdr:cNvPr id="18479" name="Check Box 47" hidden="1">
              <a:extLst xmlns:a="http://schemas.openxmlformats.org/drawingml/2006/main">
                <a:ext uri="{63B3BB69-23CF-44E3-9099-C40C66FF867C}">
                  <a14:compatExt spid="_x0000_s18479"/>
                </a:ext>
                <a:ext uri="{FF2B5EF4-FFF2-40B4-BE49-F238E27FC236}">
                  <a16:creationId xmlns:a16="http://schemas.microsoft.com/office/drawing/2014/main" id="{00000000-0008-0000-0D00-00002F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306</xdr:row>
          <xdr:rowOff>0</xdr:rowOff>
        </xdr:from>
        <xdr:to>
          <xdr:col>0</xdr:col>
          <xdr:colOff>438150</xdr:colOff>
          <xdr:row>306</xdr:row>
          <xdr:rowOff>222250</xdr:rowOff>
        </xdr:to>
        <xdr:sp macro="" textlink="">
          <xdr:nvSpPr>
            <xdr:cNvPr id="18480" name="Check Box 48" hidden="1">
              <a:extLst xmlns:a="http://schemas.openxmlformats.org/drawingml/2006/main">
                <a:ext uri="{63B3BB69-23CF-44E3-9099-C40C66FF867C}">
                  <a14:compatExt spid="_x0000_s18480"/>
                </a:ext>
                <a:ext uri="{FF2B5EF4-FFF2-40B4-BE49-F238E27FC236}">
                  <a16:creationId xmlns:a16="http://schemas.microsoft.com/office/drawing/2014/main" id="{00000000-0008-0000-0D00-000030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314</xdr:row>
          <xdr:rowOff>0</xdr:rowOff>
        </xdr:from>
        <xdr:to>
          <xdr:col>0</xdr:col>
          <xdr:colOff>438150</xdr:colOff>
          <xdr:row>314</xdr:row>
          <xdr:rowOff>222250</xdr:rowOff>
        </xdr:to>
        <xdr:sp macro="" textlink="">
          <xdr:nvSpPr>
            <xdr:cNvPr id="18482" name="Check Box 50" hidden="1">
              <a:extLst xmlns:a="http://schemas.openxmlformats.org/drawingml/2006/main">
                <a:ext uri="{63B3BB69-23CF-44E3-9099-C40C66FF867C}">
                  <a14:compatExt spid="_x0000_s18482"/>
                </a:ext>
                <a:ext uri="{FF2B5EF4-FFF2-40B4-BE49-F238E27FC236}">
                  <a16:creationId xmlns:a16="http://schemas.microsoft.com/office/drawing/2014/main" id="{00000000-0008-0000-0D00-000032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312</xdr:row>
          <xdr:rowOff>0</xdr:rowOff>
        </xdr:from>
        <xdr:to>
          <xdr:col>0</xdr:col>
          <xdr:colOff>438150</xdr:colOff>
          <xdr:row>312</xdr:row>
          <xdr:rowOff>222250</xdr:rowOff>
        </xdr:to>
        <xdr:sp macro="" textlink="">
          <xdr:nvSpPr>
            <xdr:cNvPr id="18484" name="Check Box 52" hidden="1">
              <a:extLst xmlns:a="http://schemas.openxmlformats.org/drawingml/2006/main">
                <a:ext uri="{63B3BB69-23CF-44E3-9099-C40C66FF867C}">
                  <a14:compatExt spid="_x0000_s18484"/>
                </a:ext>
                <a:ext uri="{FF2B5EF4-FFF2-40B4-BE49-F238E27FC236}">
                  <a16:creationId xmlns:a16="http://schemas.microsoft.com/office/drawing/2014/main" id="{00000000-0008-0000-0D00-000034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350</xdr:row>
          <xdr:rowOff>0</xdr:rowOff>
        </xdr:from>
        <xdr:to>
          <xdr:col>0</xdr:col>
          <xdr:colOff>438150</xdr:colOff>
          <xdr:row>350</xdr:row>
          <xdr:rowOff>222250</xdr:rowOff>
        </xdr:to>
        <xdr:sp macro="" textlink="">
          <xdr:nvSpPr>
            <xdr:cNvPr id="18486" name="Check Box 54" hidden="1">
              <a:extLst xmlns:a="http://schemas.openxmlformats.org/drawingml/2006/main">
                <a:ext uri="{63B3BB69-23CF-44E3-9099-C40C66FF867C}">
                  <a14:compatExt spid="_x0000_s18486"/>
                </a:ext>
                <a:ext uri="{FF2B5EF4-FFF2-40B4-BE49-F238E27FC236}">
                  <a16:creationId xmlns:a16="http://schemas.microsoft.com/office/drawing/2014/main" id="{00000000-0008-0000-0D00-000036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335</xdr:row>
          <xdr:rowOff>12700</xdr:rowOff>
        </xdr:from>
        <xdr:to>
          <xdr:col>0</xdr:col>
          <xdr:colOff>438150</xdr:colOff>
          <xdr:row>335</xdr:row>
          <xdr:rowOff>228600</xdr:rowOff>
        </xdr:to>
        <xdr:sp macro="" textlink="">
          <xdr:nvSpPr>
            <xdr:cNvPr id="18490" name="Check Box 58" hidden="1">
              <a:extLst xmlns:a="http://schemas.openxmlformats.org/drawingml/2006/main">
                <a:ext uri="{63B3BB69-23CF-44E3-9099-C40C66FF867C}">
                  <a14:compatExt spid="_x0000_s18490"/>
                </a:ext>
                <a:ext uri="{FF2B5EF4-FFF2-40B4-BE49-F238E27FC236}">
                  <a16:creationId xmlns:a16="http://schemas.microsoft.com/office/drawing/2014/main" id="{00000000-0008-0000-0D00-00003A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333</xdr:row>
          <xdr:rowOff>0</xdr:rowOff>
        </xdr:from>
        <xdr:to>
          <xdr:col>0</xdr:col>
          <xdr:colOff>438150</xdr:colOff>
          <xdr:row>333</xdr:row>
          <xdr:rowOff>222250</xdr:rowOff>
        </xdr:to>
        <xdr:sp macro="" textlink="">
          <xdr:nvSpPr>
            <xdr:cNvPr id="18492" name="Check Box 60" hidden="1">
              <a:extLst xmlns:a="http://schemas.openxmlformats.org/drawingml/2006/main">
                <a:ext uri="{63B3BB69-23CF-44E3-9099-C40C66FF867C}">
                  <a14:compatExt spid="_x0000_s18492"/>
                </a:ext>
                <a:ext uri="{FF2B5EF4-FFF2-40B4-BE49-F238E27FC236}">
                  <a16:creationId xmlns:a16="http://schemas.microsoft.com/office/drawing/2014/main" id="{00000000-0008-0000-0D00-00003C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355</xdr:row>
          <xdr:rowOff>0</xdr:rowOff>
        </xdr:from>
        <xdr:to>
          <xdr:col>0</xdr:col>
          <xdr:colOff>438150</xdr:colOff>
          <xdr:row>355</xdr:row>
          <xdr:rowOff>222250</xdr:rowOff>
        </xdr:to>
        <xdr:sp macro="" textlink="">
          <xdr:nvSpPr>
            <xdr:cNvPr id="18498" name="Check Box 66" hidden="1">
              <a:extLst xmlns:a="http://schemas.openxmlformats.org/drawingml/2006/main">
                <a:ext uri="{63B3BB69-23CF-44E3-9099-C40C66FF867C}">
                  <a14:compatExt spid="_x0000_s18498"/>
                </a:ext>
                <a:ext uri="{FF2B5EF4-FFF2-40B4-BE49-F238E27FC236}">
                  <a16:creationId xmlns:a16="http://schemas.microsoft.com/office/drawing/2014/main" id="{00000000-0008-0000-0D00-000042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365</xdr:row>
          <xdr:rowOff>0</xdr:rowOff>
        </xdr:from>
        <xdr:to>
          <xdr:col>0</xdr:col>
          <xdr:colOff>438150</xdr:colOff>
          <xdr:row>365</xdr:row>
          <xdr:rowOff>222250</xdr:rowOff>
        </xdr:to>
        <xdr:sp macro="" textlink="">
          <xdr:nvSpPr>
            <xdr:cNvPr id="18499" name="Check Box 67" hidden="1">
              <a:extLst xmlns:a="http://schemas.openxmlformats.org/drawingml/2006/main">
                <a:ext uri="{63B3BB69-23CF-44E3-9099-C40C66FF867C}">
                  <a14:compatExt spid="_x0000_s18499"/>
                </a:ext>
                <a:ext uri="{FF2B5EF4-FFF2-40B4-BE49-F238E27FC236}">
                  <a16:creationId xmlns:a16="http://schemas.microsoft.com/office/drawing/2014/main" id="{00000000-0008-0000-0D00-000043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368</xdr:row>
          <xdr:rowOff>133350</xdr:rowOff>
        </xdr:from>
        <xdr:to>
          <xdr:col>0</xdr:col>
          <xdr:colOff>438150</xdr:colOff>
          <xdr:row>467</xdr:row>
          <xdr:rowOff>57150</xdr:rowOff>
        </xdr:to>
        <xdr:sp macro="" textlink="">
          <xdr:nvSpPr>
            <xdr:cNvPr id="18503" name="Check Box 71" hidden="1">
              <a:extLst xmlns:a="http://schemas.openxmlformats.org/drawingml/2006/main">
                <a:ext uri="{63B3BB69-23CF-44E3-9099-C40C66FF867C}">
                  <a14:compatExt spid="_x0000_s18503"/>
                </a:ext>
                <a:ext uri="{FF2B5EF4-FFF2-40B4-BE49-F238E27FC236}">
                  <a16:creationId xmlns:a16="http://schemas.microsoft.com/office/drawing/2014/main" id="{00000000-0008-0000-0D00-000047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371</xdr:row>
          <xdr:rowOff>0</xdr:rowOff>
        </xdr:from>
        <xdr:to>
          <xdr:col>0</xdr:col>
          <xdr:colOff>438150</xdr:colOff>
          <xdr:row>467</xdr:row>
          <xdr:rowOff>57150</xdr:rowOff>
        </xdr:to>
        <xdr:sp macro="" textlink="">
          <xdr:nvSpPr>
            <xdr:cNvPr id="18504" name="Check Box 72" hidden="1">
              <a:extLst xmlns:a="http://schemas.openxmlformats.org/drawingml/2006/main">
                <a:ext uri="{63B3BB69-23CF-44E3-9099-C40C66FF867C}">
                  <a14:compatExt spid="_x0000_s18504"/>
                </a:ext>
                <a:ext uri="{FF2B5EF4-FFF2-40B4-BE49-F238E27FC236}">
                  <a16:creationId xmlns:a16="http://schemas.microsoft.com/office/drawing/2014/main" id="{00000000-0008-0000-0D00-000048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21</xdr:row>
          <xdr:rowOff>0</xdr:rowOff>
        </xdr:from>
        <xdr:to>
          <xdr:col>0</xdr:col>
          <xdr:colOff>438150</xdr:colOff>
          <xdr:row>21</xdr:row>
          <xdr:rowOff>222250</xdr:rowOff>
        </xdr:to>
        <xdr:sp macro="" textlink="">
          <xdr:nvSpPr>
            <xdr:cNvPr id="18531" name="Check Box 99" hidden="1">
              <a:extLst xmlns:a="http://schemas.openxmlformats.org/drawingml/2006/main">
                <a:ext uri="{63B3BB69-23CF-44E3-9099-C40C66FF867C}">
                  <a14:compatExt spid="_x0000_s18531"/>
                </a:ext>
                <a:ext uri="{FF2B5EF4-FFF2-40B4-BE49-F238E27FC236}">
                  <a16:creationId xmlns:a16="http://schemas.microsoft.com/office/drawing/2014/main" id="{00000000-0008-0000-0D00-000063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23</xdr:row>
          <xdr:rowOff>19050</xdr:rowOff>
        </xdr:from>
        <xdr:to>
          <xdr:col>0</xdr:col>
          <xdr:colOff>438150</xdr:colOff>
          <xdr:row>23</xdr:row>
          <xdr:rowOff>241300</xdr:rowOff>
        </xdr:to>
        <xdr:sp macro="" textlink="">
          <xdr:nvSpPr>
            <xdr:cNvPr id="18534" name="Check Box 102" hidden="1">
              <a:extLst xmlns:a="http://schemas.openxmlformats.org/drawingml/2006/main">
                <a:ext uri="{63B3BB69-23CF-44E3-9099-C40C66FF867C}">
                  <a14:compatExt spid="_x0000_s18534"/>
                </a:ext>
                <a:ext uri="{FF2B5EF4-FFF2-40B4-BE49-F238E27FC236}">
                  <a16:creationId xmlns:a16="http://schemas.microsoft.com/office/drawing/2014/main" id="{00000000-0008-0000-0D00-000066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54</xdr:row>
          <xdr:rowOff>0</xdr:rowOff>
        </xdr:from>
        <xdr:to>
          <xdr:col>0</xdr:col>
          <xdr:colOff>438150</xdr:colOff>
          <xdr:row>54</xdr:row>
          <xdr:rowOff>222250</xdr:rowOff>
        </xdr:to>
        <xdr:sp macro="" textlink="">
          <xdr:nvSpPr>
            <xdr:cNvPr id="18536" name="Check Box 104" hidden="1">
              <a:extLst xmlns:a="http://schemas.openxmlformats.org/drawingml/2006/main">
                <a:ext uri="{63B3BB69-23CF-44E3-9099-C40C66FF867C}">
                  <a14:compatExt spid="_x0000_s18536"/>
                </a:ext>
                <a:ext uri="{FF2B5EF4-FFF2-40B4-BE49-F238E27FC236}">
                  <a16:creationId xmlns:a16="http://schemas.microsoft.com/office/drawing/2014/main" id="{00000000-0008-0000-0D00-000068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56</xdr:row>
          <xdr:rowOff>0</xdr:rowOff>
        </xdr:from>
        <xdr:to>
          <xdr:col>0</xdr:col>
          <xdr:colOff>438150</xdr:colOff>
          <xdr:row>56</xdr:row>
          <xdr:rowOff>222250</xdr:rowOff>
        </xdr:to>
        <xdr:sp macro="" textlink="">
          <xdr:nvSpPr>
            <xdr:cNvPr id="18537" name="Check Box 105" hidden="1">
              <a:extLst xmlns:a="http://schemas.openxmlformats.org/drawingml/2006/main">
                <a:ext uri="{63B3BB69-23CF-44E3-9099-C40C66FF867C}">
                  <a14:compatExt spid="_x0000_s18537"/>
                </a:ext>
                <a:ext uri="{FF2B5EF4-FFF2-40B4-BE49-F238E27FC236}">
                  <a16:creationId xmlns:a16="http://schemas.microsoft.com/office/drawing/2014/main" id="{00000000-0008-0000-0D00-000069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75</xdr:row>
          <xdr:rowOff>0</xdr:rowOff>
        </xdr:from>
        <xdr:to>
          <xdr:col>0</xdr:col>
          <xdr:colOff>438150</xdr:colOff>
          <xdr:row>75</xdr:row>
          <xdr:rowOff>222250</xdr:rowOff>
        </xdr:to>
        <xdr:sp macro="" textlink="">
          <xdr:nvSpPr>
            <xdr:cNvPr id="18539" name="Check Box 107" hidden="1">
              <a:extLst xmlns:a="http://schemas.openxmlformats.org/drawingml/2006/main">
                <a:ext uri="{63B3BB69-23CF-44E3-9099-C40C66FF867C}">
                  <a14:compatExt spid="_x0000_s18539"/>
                </a:ext>
                <a:ext uri="{FF2B5EF4-FFF2-40B4-BE49-F238E27FC236}">
                  <a16:creationId xmlns:a16="http://schemas.microsoft.com/office/drawing/2014/main" id="{00000000-0008-0000-0D00-00006B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92</xdr:row>
          <xdr:rowOff>0</xdr:rowOff>
        </xdr:from>
        <xdr:to>
          <xdr:col>0</xdr:col>
          <xdr:colOff>438150</xdr:colOff>
          <xdr:row>92</xdr:row>
          <xdr:rowOff>222250</xdr:rowOff>
        </xdr:to>
        <xdr:sp macro="" textlink="">
          <xdr:nvSpPr>
            <xdr:cNvPr id="18541" name="Check Box 109" hidden="1">
              <a:extLst xmlns:a="http://schemas.openxmlformats.org/drawingml/2006/main">
                <a:ext uri="{63B3BB69-23CF-44E3-9099-C40C66FF867C}">
                  <a14:compatExt spid="_x0000_s18541"/>
                </a:ext>
                <a:ext uri="{FF2B5EF4-FFF2-40B4-BE49-F238E27FC236}">
                  <a16:creationId xmlns:a16="http://schemas.microsoft.com/office/drawing/2014/main" id="{00000000-0008-0000-0D00-00006D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94</xdr:row>
          <xdr:rowOff>0</xdr:rowOff>
        </xdr:from>
        <xdr:to>
          <xdr:col>0</xdr:col>
          <xdr:colOff>438150</xdr:colOff>
          <xdr:row>94</xdr:row>
          <xdr:rowOff>222250</xdr:rowOff>
        </xdr:to>
        <xdr:sp macro="" textlink="">
          <xdr:nvSpPr>
            <xdr:cNvPr id="18542" name="Check Box 110" hidden="1">
              <a:extLst xmlns:a="http://schemas.openxmlformats.org/drawingml/2006/main">
                <a:ext uri="{63B3BB69-23CF-44E3-9099-C40C66FF867C}">
                  <a14:compatExt spid="_x0000_s18542"/>
                </a:ext>
                <a:ext uri="{FF2B5EF4-FFF2-40B4-BE49-F238E27FC236}">
                  <a16:creationId xmlns:a16="http://schemas.microsoft.com/office/drawing/2014/main" id="{00000000-0008-0000-0D00-00006E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116</xdr:row>
          <xdr:rowOff>0</xdr:rowOff>
        </xdr:from>
        <xdr:to>
          <xdr:col>0</xdr:col>
          <xdr:colOff>438150</xdr:colOff>
          <xdr:row>116</xdr:row>
          <xdr:rowOff>222250</xdr:rowOff>
        </xdr:to>
        <xdr:sp macro="" textlink="">
          <xdr:nvSpPr>
            <xdr:cNvPr id="18544" name="Check Box 112" hidden="1">
              <a:extLst xmlns:a="http://schemas.openxmlformats.org/drawingml/2006/main">
                <a:ext uri="{63B3BB69-23CF-44E3-9099-C40C66FF867C}">
                  <a14:compatExt spid="_x0000_s18544"/>
                </a:ext>
                <a:ext uri="{FF2B5EF4-FFF2-40B4-BE49-F238E27FC236}">
                  <a16:creationId xmlns:a16="http://schemas.microsoft.com/office/drawing/2014/main" id="{00000000-0008-0000-0D00-000070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118</xdr:row>
          <xdr:rowOff>0</xdr:rowOff>
        </xdr:from>
        <xdr:to>
          <xdr:col>0</xdr:col>
          <xdr:colOff>438150</xdr:colOff>
          <xdr:row>118</xdr:row>
          <xdr:rowOff>222250</xdr:rowOff>
        </xdr:to>
        <xdr:sp macro="" textlink="">
          <xdr:nvSpPr>
            <xdr:cNvPr id="18545" name="Check Box 113" hidden="1">
              <a:extLst xmlns:a="http://schemas.openxmlformats.org/drawingml/2006/main">
                <a:ext uri="{63B3BB69-23CF-44E3-9099-C40C66FF867C}">
                  <a14:compatExt spid="_x0000_s18545"/>
                </a:ext>
                <a:ext uri="{FF2B5EF4-FFF2-40B4-BE49-F238E27FC236}">
                  <a16:creationId xmlns:a16="http://schemas.microsoft.com/office/drawing/2014/main" id="{00000000-0008-0000-0D00-000071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133350</xdr:colOff>
          <xdr:row>120</xdr:row>
          <xdr:rowOff>0</xdr:rowOff>
        </xdr:from>
        <xdr:to>
          <xdr:col>1</xdr:col>
          <xdr:colOff>438150</xdr:colOff>
          <xdr:row>120</xdr:row>
          <xdr:rowOff>222250</xdr:rowOff>
        </xdr:to>
        <xdr:sp macro="" textlink="">
          <xdr:nvSpPr>
            <xdr:cNvPr id="18546" name="Check Box 114" hidden="1">
              <a:extLst xmlns:a="http://schemas.openxmlformats.org/drawingml/2006/main">
                <a:ext uri="{63B3BB69-23CF-44E3-9099-C40C66FF867C}">
                  <a14:compatExt spid="_x0000_s18546"/>
                </a:ext>
                <a:ext uri="{FF2B5EF4-FFF2-40B4-BE49-F238E27FC236}">
                  <a16:creationId xmlns:a16="http://schemas.microsoft.com/office/drawing/2014/main" id="{00000000-0008-0000-0D00-000072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134</xdr:row>
          <xdr:rowOff>0</xdr:rowOff>
        </xdr:from>
        <xdr:to>
          <xdr:col>0</xdr:col>
          <xdr:colOff>438150</xdr:colOff>
          <xdr:row>134</xdr:row>
          <xdr:rowOff>222250</xdr:rowOff>
        </xdr:to>
        <xdr:sp macro="" textlink="">
          <xdr:nvSpPr>
            <xdr:cNvPr id="18549" name="Check Box 117" hidden="1">
              <a:extLst xmlns:a="http://schemas.openxmlformats.org/drawingml/2006/main">
                <a:ext uri="{63B3BB69-23CF-44E3-9099-C40C66FF867C}">
                  <a14:compatExt spid="_x0000_s18549"/>
                </a:ext>
                <a:ext uri="{FF2B5EF4-FFF2-40B4-BE49-F238E27FC236}">
                  <a16:creationId xmlns:a16="http://schemas.microsoft.com/office/drawing/2014/main" id="{00000000-0008-0000-0D00-000075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270</xdr:row>
          <xdr:rowOff>0</xdr:rowOff>
        </xdr:from>
        <xdr:to>
          <xdr:col>0</xdr:col>
          <xdr:colOff>438150</xdr:colOff>
          <xdr:row>270</xdr:row>
          <xdr:rowOff>222250</xdr:rowOff>
        </xdr:to>
        <xdr:sp macro="" textlink="">
          <xdr:nvSpPr>
            <xdr:cNvPr id="18566" name="Check Box 134" hidden="1">
              <a:extLst xmlns:a="http://schemas.openxmlformats.org/drawingml/2006/main">
                <a:ext uri="{63B3BB69-23CF-44E3-9099-C40C66FF867C}">
                  <a14:compatExt spid="_x0000_s18566"/>
                </a:ext>
                <a:ext uri="{FF2B5EF4-FFF2-40B4-BE49-F238E27FC236}">
                  <a16:creationId xmlns:a16="http://schemas.microsoft.com/office/drawing/2014/main" id="{00000000-0008-0000-0D00-000086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304</xdr:row>
          <xdr:rowOff>0</xdr:rowOff>
        </xdr:from>
        <xdr:to>
          <xdr:col>0</xdr:col>
          <xdr:colOff>438150</xdr:colOff>
          <xdr:row>304</xdr:row>
          <xdr:rowOff>222250</xdr:rowOff>
        </xdr:to>
        <xdr:sp macro="" textlink="">
          <xdr:nvSpPr>
            <xdr:cNvPr id="18571" name="Check Box 139" hidden="1">
              <a:extLst xmlns:a="http://schemas.openxmlformats.org/drawingml/2006/main">
                <a:ext uri="{63B3BB69-23CF-44E3-9099-C40C66FF867C}">
                  <a14:compatExt spid="_x0000_s18571"/>
                </a:ext>
                <a:ext uri="{FF2B5EF4-FFF2-40B4-BE49-F238E27FC236}">
                  <a16:creationId xmlns:a16="http://schemas.microsoft.com/office/drawing/2014/main" id="{00000000-0008-0000-0D00-00008B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306</xdr:row>
          <xdr:rowOff>0</xdr:rowOff>
        </xdr:from>
        <xdr:to>
          <xdr:col>0</xdr:col>
          <xdr:colOff>438150</xdr:colOff>
          <xdr:row>306</xdr:row>
          <xdr:rowOff>222250</xdr:rowOff>
        </xdr:to>
        <xdr:sp macro="" textlink="">
          <xdr:nvSpPr>
            <xdr:cNvPr id="18572" name="Check Box 140" hidden="1">
              <a:extLst xmlns:a="http://schemas.openxmlformats.org/drawingml/2006/main">
                <a:ext uri="{63B3BB69-23CF-44E3-9099-C40C66FF867C}">
                  <a14:compatExt spid="_x0000_s18572"/>
                </a:ext>
                <a:ext uri="{FF2B5EF4-FFF2-40B4-BE49-F238E27FC236}">
                  <a16:creationId xmlns:a16="http://schemas.microsoft.com/office/drawing/2014/main" id="{00000000-0008-0000-0D00-00008C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350</xdr:row>
          <xdr:rowOff>0</xdr:rowOff>
        </xdr:from>
        <xdr:to>
          <xdr:col>0</xdr:col>
          <xdr:colOff>438150</xdr:colOff>
          <xdr:row>350</xdr:row>
          <xdr:rowOff>222250</xdr:rowOff>
        </xdr:to>
        <xdr:sp macro="" textlink="">
          <xdr:nvSpPr>
            <xdr:cNvPr id="18578" name="Check Box 146" hidden="1">
              <a:extLst xmlns:a="http://schemas.openxmlformats.org/drawingml/2006/main">
                <a:ext uri="{63B3BB69-23CF-44E3-9099-C40C66FF867C}">
                  <a14:compatExt spid="_x0000_s18578"/>
                </a:ext>
                <a:ext uri="{FF2B5EF4-FFF2-40B4-BE49-F238E27FC236}">
                  <a16:creationId xmlns:a16="http://schemas.microsoft.com/office/drawing/2014/main" id="{00000000-0008-0000-0D00-000092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335</xdr:row>
          <xdr:rowOff>12700</xdr:rowOff>
        </xdr:from>
        <xdr:to>
          <xdr:col>0</xdr:col>
          <xdr:colOff>438150</xdr:colOff>
          <xdr:row>335</xdr:row>
          <xdr:rowOff>228600</xdr:rowOff>
        </xdr:to>
        <xdr:sp macro="" textlink="">
          <xdr:nvSpPr>
            <xdr:cNvPr id="18582" name="Check Box 150" hidden="1">
              <a:extLst xmlns:a="http://schemas.openxmlformats.org/drawingml/2006/main">
                <a:ext uri="{63B3BB69-23CF-44E3-9099-C40C66FF867C}">
                  <a14:compatExt spid="_x0000_s18582"/>
                </a:ext>
                <a:ext uri="{FF2B5EF4-FFF2-40B4-BE49-F238E27FC236}">
                  <a16:creationId xmlns:a16="http://schemas.microsoft.com/office/drawing/2014/main" id="{00000000-0008-0000-0D00-000096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333</xdr:row>
          <xdr:rowOff>0</xdr:rowOff>
        </xdr:from>
        <xdr:to>
          <xdr:col>0</xdr:col>
          <xdr:colOff>438150</xdr:colOff>
          <xdr:row>333</xdr:row>
          <xdr:rowOff>222250</xdr:rowOff>
        </xdr:to>
        <xdr:sp macro="" textlink="">
          <xdr:nvSpPr>
            <xdr:cNvPr id="18584" name="Check Box 152" hidden="1">
              <a:extLst xmlns:a="http://schemas.openxmlformats.org/drawingml/2006/main">
                <a:ext uri="{63B3BB69-23CF-44E3-9099-C40C66FF867C}">
                  <a14:compatExt spid="_x0000_s18584"/>
                </a:ext>
                <a:ext uri="{FF2B5EF4-FFF2-40B4-BE49-F238E27FC236}">
                  <a16:creationId xmlns:a16="http://schemas.microsoft.com/office/drawing/2014/main" id="{00000000-0008-0000-0D00-000098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355</xdr:row>
          <xdr:rowOff>0</xdr:rowOff>
        </xdr:from>
        <xdr:to>
          <xdr:col>0</xdr:col>
          <xdr:colOff>438150</xdr:colOff>
          <xdr:row>355</xdr:row>
          <xdr:rowOff>222250</xdr:rowOff>
        </xdr:to>
        <xdr:sp macro="" textlink="">
          <xdr:nvSpPr>
            <xdr:cNvPr id="18589" name="Check Box 157" hidden="1">
              <a:extLst xmlns:a="http://schemas.openxmlformats.org/drawingml/2006/main">
                <a:ext uri="{63B3BB69-23CF-44E3-9099-C40C66FF867C}">
                  <a14:compatExt spid="_x0000_s18589"/>
                </a:ext>
                <a:ext uri="{FF2B5EF4-FFF2-40B4-BE49-F238E27FC236}">
                  <a16:creationId xmlns:a16="http://schemas.microsoft.com/office/drawing/2014/main" id="{00000000-0008-0000-0D00-00009D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365</xdr:row>
          <xdr:rowOff>0</xdr:rowOff>
        </xdr:from>
        <xdr:to>
          <xdr:col>0</xdr:col>
          <xdr:colOff>438150</xdr:colOff>
          <xdr:row>365</xdr:row>
          <xdr:rowOff>222250</xdr:rowOff>
        </xdr:to>
        <xdr:sp macro="" textlink="">
          <xdr:nvSpPr>
            <xdr:cNvPr id="18590" name="Check Box 158" hidden="1">
              <a:extLst xmlns:a="http://schemas.openxmlformats.org/drawingml/2006/main">
                <a:ext uri="{63B3BB69-23CF-44E3-9099-C40C66FF867C}">
                  <a14:compatExt spid="_x0000_s18590"/>
                </a:ext>
                <a:ext uri="{FF2B5EF4-FFF2-40B4-BE49-F238E27FC236}">
                  <a16:creationId xmlns:a16="http://schemas.microsoft.com/office/drawing/2014/main" id="{00000000-0008-0000-0D00-00009E4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104775</xdr:colOff>
      <xdr:row>0</xdr:row>
      <xdr:rowOff>828675</xdr:rowOff>
    </xdr:to>
    <xdr:pic>
      <xdr:nvPicPr>
        <xdr:cNvPr id="2" name="Kép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114300"/>
          <a:ext cx="714375" cy="71437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361950</xdr:colOff>
      <xdr:row>0</xdr:row>
      <xdr:rowOff>114300</xdr:rowOff>
    </xdr:from>
    <xdr:to>
      <xdr:col>1</xdr:col>
      <xdr:colOff>361950</xdr:colOff>
      <xdr:row>0</xdr:row>
      <xdr:rowOff>838200</xdr:rowOff>
    </xdr:to>
    <xdr:cxnSp macro="">
      <xdr:nvCxnSpPr>
        <xdr:cNvPr id="3" name="Egyenes összekötő 2"/>
        <xdr:cNvCxnSpPr/>
      </xdr:nvCxnSpPr>
      <xdr:spPr>
        <a:xfrm>
          <a:off x="971550" y="114300"/>
          <a:ext cx="0" cy="723900"/>
        </a:xfrm>
        <a:prstGeom prst="line">
          <a:avLst/>
        </a:prstGeom>
        <a:ln w="571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22</xdr:row>
          <xdr:rowOff>0</xdr:rowOff>
        </xdr:from>
        <xdr:to>
          <xdr:col>0</xdr:col>
          <xdr:colOff>438150</xdr:colOff>
          <xdr:row>32</xdr:row>
          <xdr:rowOff>57150</xdr:rowOff>
        </xdr:to>
        <xdr:sp macro="" textlink="">
          <xdr:nvSpPr>
            <xdr:cNvPr id="33798" name="Check Box 6" descr=" Checkbox 6" hidden="1">
              <a:extLst xmlns:a="http://schemas.openxmlformats.org/drawingml/2006/main">
                <a:ext uri="{63B3BB69-23CF-44E3-9099-C40C66FF867C}">
                  <a14:compatExt spid="_x0000_s33798"/>
                </a:ext>
                <a:ext uri="{FF2B5EF4-FFF2-40B4-BE49-F238E27FC236}">
                  <a16:creationId xmlns:a16="http://schemas.microsoft.com/office/drawing/2014/main" id="{00000000-0008-0000-0E00-000006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38</xdr:row>
          <xdr:rowOff>0</xdr:rowOff>
        </xdr:from>
        <xdr:to>
          <xdr:col>0</xdr:col>
          <xdr:colOff>438150</xdr:colOff>
          <xdr:row>38</xdr:row>
          <xdr:rowOff>222250</xdr:rowOff>
        </xdr:to>
        <xdr:sp macro="" textlink="">
          <xdr:nvSpPr>
            <xdr:cNvPr id="33801" name="Check Box 9" hidden="1">
              <a:extLst xmlns:a="http://schemas.openxmlformats.org/drawingml/2006/main">
                <a:ext uri="{63B3BB69-23CF-44E3-9099-C40C66FF867C}">
                  <a14:compatExt spid="_x0000_s33801"/>
                </a:ext>
                <a:ext uri="{FF2B5EF4-FFF2-40B4-BE49-F238E27FC236}">
                  <a16:creationId xmlns:a16="http://schemas.microsoft.com/office/drawing/2014/main" id="{00000000-0008-0000-0E00-000009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33</xdr:row>
          <xdr:rowOff>0</xdr:rowOff>
        </xdr:from>
        <xdr:to>
          <xdr:col>0</xdr:col>
          <xdr:colOff>438150</xdr:colOff>
          <xdr:row>33</xdr:row>
          <xdr:rowOff>222250</xdr:rowOff>
        </xdr:to>
        <xdr:sp macro="" textlink="">
          <xdr:nvSpPr>
            <xdr:cNvPr id="33803" name="Check Box 11" hidden="1">
              <a:extLst xmlns:a="http://schemas.openxmlformats.org/drawingml/2006/main">
                <a:ext uri="{63B3BB69-23CF-44E3-9099-C40C66FF867C}">
                  <a14:compatExt spid="_x0000_s33803"/>
                </a:ext>
                <a:ext uri="{FF2B5EF4-FFF2-40B4-BE49-F238E27FC236}">
                  <a16:creationId xmlns:a16="http://schemas.microsoft.com/office/drawing/2014/main" id="{00000000-0008-0000-0E00-00000B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133350</xdr:colOff>
          <xdr:row>42</xdr:row>
          <xdr:rowOff>133350</xdr:rowOff>
        </xdr:from>
        <xdr:to>
          <xdr:col>1</xdr:col>
          <xdr:colOff>438150</xdr:colOff>
          <xdr:row>43</xdr:row>
          <xdr:rowOff>190500</xdr:rowOff>
        </xdr:to>
        <xdr:sp macro="" textlink="">
          <xdr:nvSpPr>
            <xdr:cNvPr id="33808" name="Check Box 16" hidden="1">
              <a:extLst xmlns:a="http://schemas.openxmlformats.org/drawingml/2006/main">
                <a:ext uri="{63B3BB69-23CF-44E3-9099-C40C66FF867C}">
                  <a14:compatExt spid="_x0000_s33808"/>
                </a:ext>
                <a:ext uri="{FF2B5EF4-FFF2-40B4-BE49-F238E27FC236}">
                  <a16:creationId xmlns:a16="http://schemas.microsoft.com/office/drawing/2014/main" id="{00000000-0008-0000-0E00-000010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133350</xdr:colOff>
          <xdr:row>4</xdr:row>
          <xdr:rowOff>57150</xdr:rowOff>
        </xdr:from>
        <xdr:to>
          <xdr:col>8</xdr:col>
          <xdr:colOff>527050</xdr:colOff>
          <xdr:row>4</xdr:row>
          <xdr:rowOff>247650</xdr:rowOff>
        </xdr:to>
        <xdr:sp macro="" textlink="">
          <xdr:nvSpPr>
            <xdr:cNvPr id="33810" name="Drop Down 18" hidden="1">
              <a:extLst xmlns:a="http://schemas.openxmlformats.org/drawingml/2006/main">
                <a:ext uri="{63B3BB69-23CF-44E3-9099-C40C66FF867C}">
                  <a14:compatExt spid="_x0000_s33810"/>
                </a:ext>
                <a:ext uri="{FF2B5EF4-FFF2-40B4-BE49-F238E27FC236}">
                  <a16:creationId xmlns:a16="http://schemas.microsoft.com/office/drawing/2014/main" id="{00000000-0008-0000-0E00-000012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66</xdr:row>
          <xdr:rowOff>0</xdr:rowOff>
        </xdr:from>
        <xdr:to>
          <xdr:col>0</xdr:col>
          <xdr:colOff>438150</xdr:colOff>
          <xdr:row>87</xdr:row>
          <xdr:rowOff>57150</xdr:rowOff>
        </xdr:to>
        <xdr:sp macro="" textlink="">
          <xdr:nvSpPr>
            <xdr:cNvPr id="33817" name="Check Box 25" hidden="1">
              <a:extLst xmlns:a="http://schemas.openxmlformats.org/drawingml/2006/main">
                <a:ext uri="{63B3BB69-23CF-44E3-9099-C40C66FF867C}">
                  <a14:compatExt spid="_x0000_s33817"/>
                </a:ext>
                <a:ext uri="{FF2B5EF4-FFF2-40B4-BE49-F238E27FC236}">
                  <a16:creationId xmlns:a16="http://schemas.microsoft.com/office/drawing/2014/main" id="{00000000-0008-0000-0E00-000019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73</xdr:row>
          <xdr:rowOff>0</xdr:rowOff>
        </xdr:from>
        <xdr:to>
          <xdr:col>0</xdr:col>
          <xdr:colOff>438150</xdr:colOff>
          <xdr:row>87</xdr:row>
          <xdr:rowOff>57150</xdr:rowOff>
        </xdr:to>
        <xdr:sp macro="" textlink="">
          <xdr:nvSpPr>
            <xdr:cNvPr id="33821" name="Check Box 29" hidden="1">
              <a:extLst xmlns:a="http://schemas.openxmlformats.org/drawingml/2006/main">
                <a:ext uri="{63B3BB69-23CF-44E3-9099-C40C66FF867C}">
                  <a14:compatExt spid="_x0000_s33821"/>
                </a:ext>
                <a:ext uri="{FF2B5EF4-FFF2-40B4-BE49-F238E27FC236}">
                  <a16:creationId xmlns:a16="http://schemas.microsoft.com/office/drawing/2014/main" id="{00000000-0008-0000-0E00-00001D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77</xdr:row>
          <xdr:rowOff>0</xdr:rowOff>
        </xdr:from>
        <xdr:to>
          <xdr:col>0</xdr:col>
          <xdr:colOff>438150</xdr:colOff>
          <xdr:row>87</xdr:row>
          <xdr:rowOff>57150</xdr:rowOff>
        </xdr:to>
        <xdr:sp macro="" textlink="">
          <xdr:nvSpPr>
            <xdr:cNvPr id="33822" name="Check Box 30" hidden="1">
              <a:extLst xmlns:a="http://schemas.openxmlformats.org/drawingml/2006/main">
                <a:ext uri="{63B3BB69-23CF-44E3-9099-C40C66FF867C}">
                  <a14:compatExt spid="_x0000_s33822"/>
                </a:ext>
                <a:ext uri="{FF2B5EF4-FFF2-40B4-BE49-F238E27FC236}">
                  <a16:creationId xmlns:a16="http://schemas.microsoft.com/office/drawing/2014/main" id="{00000000-0008-0000-0E00-00001E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83</xdr:row>
          <xdr:rowOff>0</xdr:rowOff>
        </xdr:from>
        <xdr:to>
          <xdr:col>0</xdr:col>
          <xdr:colOff>438150</xdr:colOff>
          <xdr:row>87</xdr:row>
          <xdr:rowOff>57150</xdr:rowOff>
        </xdr:to>
        <xdr:sp macro="" textlink="">
          <xdr:nvSpPr>
            <xdr:cNvPr id="33823" name="Check Box 31" hidden="1">
              <a:extLst xmlns:a="http://schemas.openxmlformats.org/drawingml/2006/main">
                <a:ext uri="{63B3BB69-23CF-44E3-9099-C40C66FF867C}">
                  <a14:compatExt spid="_x0000_s33823"/>
                </a:ext>
                <a:ext uri="{FF2B5EF4-FFF2-40B4-BE49-F238E27FC236}">
                  <a16:creationId xmlns:a16="http://schemas.microsoft.com/office/drawing/2014/main" id="{00000000-0008-0000-0E00-00001F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88</xdr:row>
          <xdr:rowOff>0</xdr:rowOff>
        </xdr:from>
        <xdr:to>
          <xdr:col>0</xdr:col>
          <xdr:colOff>438150</xdr:colOff>
          <xdr:row>88</xdr:row>
          <xdr:rowOff>222250</xdr:rowOff>
        </xdr:to>
        <xdr:sp macro="" textlink="">
          <xdr:nvSpPr>
            <xdr:cNvPr id="33834" name="Check Box 42" hidden="1">
              <a:extLst xmlns:a="http://schemas.openxmlformats.org/drawingml/2006/main">
                <a:ext uri="{63B3BB69-23CF-44E3-9099-C40C66FF867C}">
                  <a14:compatExt spid="_x0000_s33834"/>
                </a:ext>
                <a:ext uri="{FF2B5EF4-FFF2-40B4-BE49-F238E27FC236}">
                  <a16:creationId xmlns:a16="http://schemas.microsoft.com/office/drawing/2014/main" id="{00000000-0008-0000-0E00-00002A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93</xdr:row>
          <xdr:rowOff>0</xdr:rowOff>
        </xdr:from>
        <xdr:to>
          <xdr:col>0</xdr:col>
          <xdr:colOff>438150</xdr:colOff>
          <xdr:row>93</xdr:row>
          <xdr:rowOff>222250</xdr:rowOff>
        </xdr:to>
        <xdr:sp macro="" textlink="">
          <xdr:nvSpPr>
            <xdr:cNvPr id="33836" name="Check Box 44" hidden="1">
              <a:extLst xmlns:a="http://schemas.openxmlformats.org/drawingml/2006/main">
                <a:ext uri="{63B3BB69-23CF-44E3-9099-C40C66FF867C}">
                  <a14:compatExt spid="_x0000_s33836"/>
                </a:ext>
                <a:ext uri="{FF2B5EF4-FFF2-40B4-BE49-F238E27FC236}">
                  <a16:creationId xmlns:a16="http://schemas.microsoft.com/office/drawing/2014/main" id="{00000000-0008-0000-0E00-00002C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120</xdr:row>
          <xdr:rowOff>146050</xdr:rowOff>
        </xdr:from>
        <xdr:to>
          <xdr:col>0</xdr:col>
          <xdr:colOff>438150</xdr:colOff>
          <xdr:row>142</xdr:row>
          <xdr:rowOff>57150</xdr:rowOff>
        </xdr:to>
        <xdr:sp macro="" textlink="">
          <xdr:nvSpPr>
            <xdr:cNvPr id="33839" name="Check Box 47" hidden="1">
              <a:extLst xmlns:a="http://schemas.openxmlformats.org/drawingml/2006/main">
                <a:ext uri="{63B3BB69-23CF-44E3-9099-C40C66FF867C}">
                  <a14:compatExt spid="_x0000_s33839"/>
                </a:ext>
                <a:ext uri="{FF2B5EF4-FFF2-40B4-BE49-F238E27FC236}">
                  <a16:creationId xmlns:a16="http://schemas.microsoft.com/office/drawing/2014/main" id="{00000000-0008-0000-0E00-00002F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127</xdr:row>
          <xdr:rowOff>146050</xdr:rowOff>
        </xdr:from>
        <xdr:to>
          <xdr:col>0</xdr:col>
          <xdr:colOff>438150</xdr:colOff>
          <xdr:row>142</xdr:row>
          <xdr:rowOff>57150</xdr:rowOff>
        </xdr:to>
        <xdr:sp macro="" textlink="">
          <xdr:nvSpPr>
            <xdr:cNvPr id="33843" name="Check Box 51" hidden="1">
              <a:extLst xmlns:a="http://schemas.openxmlformats.org/drawingml/2006/main">
                <a:ext uri="{63B3BB69-23CF-44E3-9099-C40C66FF867C}">
                  <a14:compatExt spid="_x0000_s33843"/>
                </a:ext>
                <a:ext uri="{FF2B5EF4-FFF2-40B4-BE49-F238E27FC236}">
                  <a16:creationId xmlns:a16="http://schemas.microsoft.com/office/drawing/2014/main" id="{00000000-0008-0000-0E00-000033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132</xdr:row>
          <xdr:rowOff>0</xdr:rowOff>
        </xdr:from>
        <xdr:to>
          <xdr:col>0</xdr:col>
          <xdr:colOff>438150</xdr:colOff>
          <xdr:row>142</xdr:row>
          <xdr:rowOff>57150</xdr:rowOff>
        </xdr:to>
        <xdr:sp macro="" textlink="">
          <xdr:nvSpPr>
            <xdr:cNvPr id="33844" name="Check Box 52" hidden="1">
              <a:extLst xmlns:a="http://schemas.openxmlformats.org/drawingml/2006/main">
                <a:ext uri="{63B3BB69-23CF-44E3-9099-C40C66FF867C}">
                  <a14:compatExt spid="_x0000_s33844"/>
                </a:ext>
                <a:ext uri="{FF2B5EF4-FFF2-40B4-BE49-F238E27FC236}">
                  <a16:creationId xmlns:a16="http://schemas.microsoft.com/office/drawing/2014/main" id="{00000000-0008-0000-0E00-000034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148</xdr:row>
          <xdr:rowOff>0</xdr:rowOff>
        </xdr:from>
        <xdr:to>
          <xdr:col>0</xdr:col>
          <xdr:colOff>438150</xdr:colOff>
          <xdr:row>148</xdr:row>
          <xdr:rowOff>222250</xdr:rowOff>
        </xdr:to>
        <xdr:sp macro="" textlink="">
          <xdr:nvSpPr>
            <xdr:cNvPr id="33847" name="Check Box 55" hidden="1">
              <a:extLst xmlns:a="http://schemas.openxmlformats.org/drawingml/2006/main">
                <a:ext uri="{63B3BB69-23CF-44E3-9099-C40C66FF867C}">
                  <a14:compatExt spid="_x0000_s33847"/>
                </a:ext>
                <a:ext uri="{FF2B5EF4-FFF2-40B4-BE49-F238E27FC236}">
                  <a16:creationId xmlns:a16="http://schemas.microsoft.com/office/drawing/2014/main" id="{00000000-0008-0000-0E00-000037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138</xdr:row>
          <xdr:rowOff>0</xdr:rowOff>
        </xdr:from>
        <xdr:to>
          <xdr:col>0</xdr:col>
          <xdr:colOff>438150</xdr:colOff>
          <xdr:row>142</xdr:row>
          <xdr:rowOff>57150</xdr:rowOff>
        </xdr:to>
        <xdr:sp macro="" textlink="">
          <xdr:nvSpPr>
            <xdr:cNvPr id="33848" name="Check Box 56" hidden="1">
              <a:extLst xmlns:a="http://schemas.openxmlformats.org/drawingml/2006/main">
                <a:ext uri="{63B3BB69-23CF-44E3-9099-C40C66FF867C}">
                  <a14:compatExt spid="_x0000_s33848"/>
                </a:ext>
                <a:ext uri="{FF2B5EF4-FFF2-40B4-BE49-F238E27FC236}">
                  <a16:creationId xmlns:a16="http://schemas.microsoft.com/office/drawing/2014/main" id="{00000000-0008-0000-0E00-000038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143</xdr:row>
          <xdr:rowOff>0</xdr:rowOff>
        </xdr:from>
        <xdr:to>
          <xdr:col>0</xdr:col>
          <xdr:colOff>438150</xdr:colOff>
          <xdr:row>143</xdr:row>
          <xdr:rowOff>222250</xdr:rowOff>
        </xdr:to>
        <xdr:sp macro="" textlink="">
          <xdr:nvSpPr>
            <xdr:cNvPr id="33849" name="Check Box 57" hidden="1">
              <a:extLst xmlns:a="http://schemas.openxmlformats.org/drawingml/2006/main">
                <a:ext uri="{63B3BB69-23CF-44E3-9099-C40C66FF867C}">
                  <a14:compatExt spid="_x0000_s33849"/>
                </a:ext>
                <a:ext uri="{FF2B5EF4-FFF2-40B4-BE49-F238E27FC236}">
                  <a16:creationId xmlns:a16="http://schemas.microsoft.com/office/drawing/2014/main" id="{00000000-0008-0000-0E00-000039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133350</xdr:colOff>
          <xdr:row>152</xdr:row>
          <xdr:rowOff>133350</xdr:rowOff>
        </xdr:from>
        <xdr:to>
          <xdr:col>1</xdr:col>
          <xdr:colOff>438150</xdr:colOff>
          <xdr:row>153</xdr:row>
          <xdr:rowOff>190500</xdr:rowOff>
        </xdr:to>
        <xdr:sp macro="" textlink="">
          <xdr:nvSpPr>
            <xdr:cNvPr id="33853" name="Check Box 61" hidden="1">
              <a:extLst xmlns:a="http://schemas.openxmlformats.org/drawingml/2006/main">
                <a:ext uri="{63B3BB69-23CF-44E3-9099-C40C66FF867C}">
                  <a14:compatExt spid="_x0000_s33853"/>
                </a:ext>
                <a:ext uri="{FF2B5EF4-FFF2-40B4-BE49-F238E27FC236}">
                  <a16:creationId xmlns:a16="http://schemas.microsoft.com/office/drawing/2014/main" id="{00000000-0008-0000-0E00-00003D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10</xdr:row>
          <xdr:rowOff>133350</xdr:rowOff>
        </xdr:from>
        <xdr:to>
          <xdr:col>0</xdr:col>
          <xdr:colOff>438150</xdr:colOff>
          <xdr:row>32</xdr:row>
          <xdr:rowOff>57150</xdr:rowOff>
        </xdr:to>
        <xdr:sp macro="" textlink="">
          <xdr:nvSpPr>
            <xdr:cNvPr id="33859" name="Check Box 67" descr="Checkbox 67" hidden="1">
              <a:extLst xmlns:a="http://schemas.openxmlformats.org/drawingml/2006/main">
                <a:ext uri="{63B3BB69-23CF-44E3-9099-C40C66FF867C}">
                  <a14:compatExt spid="_x0000_s33859"/>
                </a:ext>
                <a:ext uri="{FF2B5EF4-FFF2-40B4-BE49-F238E27FC236}">
                  <a16:creationId xmlns:a16="http://schemas.microsoft.com/office/drawing/2014/main" id="{00000000-0008-0000-0E00-000043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17</xdr:row>
          <xdr:rowOff>133350</xdr:rowOff>
        </xdr:from>
        <xdr:to>
          <xdr:col>0</xdr:col>
          <xdr:colOff>438150</xdr:colOff>
          <xdr:row>32</xdr:row>
          <xdr:rowOff>57150</xdr:rowOff>
        </xdr:to>
        <xdr:sp macro="" textlink="">
          <xdr:nvSpPr>
            <xdr:cNvPr id="33860" name="Check Box 68" descr="Checkbox 68" hidden="1">
              <a:extLst xmlns:a="http://schemas.openxmlformats.org/drawingml/2006/main">
                <a:ext uri="{63B3BB69-23CF-44E3-9099-C40C66FF867C}">
                  <a14:compatExt spid="_x0000_s33860"/>
                </a:ext>
                <a:ext uri="{FF2B5EF4-FFF2-40B4-BE49-F238E27FC236}">
                  <a16:creationId xmlns:a16="http://schemas.microsoft.com/office/drawing/2014/main" id="{00000000-0008-0000-0E00-000044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27</xdr:row>
          <xdr:rowOff>88900</xdr:rowOff>
        </xdr:from>
        <xdr:to>
          <xdr:col>0</xdr:col>
          <xdr:colOff>438150</xdr:colOff>
          <xdr:row>32</xdr:row>
          <xdr:rowOff>57150</xdr:rowOff>
        </xdr:to>
        <xdr:sp macro="" textlink="">
          <xdr:nvSpPr>
            <xdr:cNvPr id="33861" name="Check Box 69" hidden="1">
              <a:extLst xmlns:a="http://schemas.openxmlformats.org/drawingml/2006/main">
                <a:ext uri="{63B3BB69-23CF-44E3-9099-C40C66FF867C}">
                  <a14:compatExt spid="_x0000_s33861"/>
                </a:ext>
                <a:ext uri="{FF2B5EF4-FFF2-40B4-BE49-F238E27FC236}">
                  <a16:creationId xmlns:a16="http://schemas.microsoft.com/office/drawing/2014/main" id="{00000000-0008-0000-0E00-000045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182</xdr:row>
          <xdr:rowOff>152400</xdr:rowOff>
        </xdr:from>
        <xdr:to>
          <xdr:col>0</xdr:col>
          <xdr:colOff>438150</xdr:colOff>
          <xdr:row>197</xdr:row>
          <xdr:rowOff>50800</xdr:rowOff>
        </xdr:to>
        <xdr:sp macro="" textlink="">
          <xdr:nvSpPr>
            <xdr:cNvPr id="33864" name="Check Box 72" descr="Checkbox 72" hidden="1">
              <a:extLst xmlns:a="http://schemas.openxmlformats.org/drawingml/2006/main">
                <a:ext uri="{63B3BB69-23CF-44E3-9099-C40C66FF867C}">
                  <a14:compatExt spid="_x0000_s33864"/>
                </a:ext>
                <a:ext uri="{FF2B5EF4-FFF2-40B4-BE49-F238E27FC236}">
                  <a16:creationId xmlns:a16="http://schemas.microsoft.com/office/drawing/2014/main" id="{00000000-0008-0000-0E00-000048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176</xdr:row>
          <xdr:rowOff>0</xdr:rowOff>
        </xdr:from>
        <xdr:to>
          <xdr:col>0</xdr:col>
          <xdr:colOff>438150</xdr:colOff>
          <xdr:row>197</xdr:row>
          <xdr:rowOff>57150</xdr:rowOff>
        </xdr:to>
        <xdr:sp macro="" textlink="">
          <xdr:nvSpPr>
            <xdr:cNvPr id="33867" name="Check Box 75" hidden="1">
              <a:extLst xmlns:a="http://schemas.openxmlformats.org/drawingml/2006/main">
                <a:ext uri="{63B3BB69-23CF-44E3-9099-C40C66FF867C}">
                  <a14:compatExt spid="_x0000_s33867"/>
                </a:ext>
                <a:ext uri="{FF2B5EF4-FFF2-40B4-BE49-F238E27FC236}">
                  <a16:creationId xmlns:a16="http://schemas.microsoft.com/office/drawing/2014/main" id="{00000000-0008-0000-0E00-00004B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193</xdr:row>
          <xdr:rowOff>0</xdr:rowOff>
        </xdr:from>
        <xdr:to>
          <xdr:col>0</xdr:col>
          <xdr:colOff>438150</xdr:colOff>
          <xdr:row>197</xdr:row>
          <xdr:rowOff>57150</xdr:rowOff>
        </xdr:to>
        <xdr:sp macro="" textlink="">
          <xdr:nvSpPr>
            <xdr:cNvPr id="33870" name="Check Box 78" hidden="1">
              <a:extLst xmlns:a="http://schemas.openxmlformats.org/drawingml/2006/main">
                <a:ext uri="{63B3BB69-23CF-44E3-9099-C40C66FF867C}">
                  <a14:compatExt spid="_x0000_s33870"/>
                </a:ext>
                <a:ext uri="{FF2B5EF4-FFF2-40B4-BE49-F238E27FC236}">
                  <a16:creationId xmlns:a16="http://schemas.microsoft.com/office/drawing/2014/main" id="{00000000-0008-0000-0E00-00004E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198</xdr:row>
          <xdr:rowOff>0</xdr:rowOff>
        </xdr:from>
        <xdr:to>
          <xdr:col>0</xdr:col>
          <xdr:colOff>438150</xdr:colOff>
          <xdr:row>198</xdr:row>
          <xdr:rowOff>222250</xdr:rowOff>
        </xdr:to>
        <xdr:sp macro="" textlink="">
          <xdr:nvSpPr>
            <xdr:cNvPr id="33871" name="Check Box 79" hidden="1">
              <a:extLst xmlns:a="http://schemas.openxmlformats.org/drawingml/2006/main">
                <a:ext uri="{63B3BB69-23CF-44E3-9099-C40C66FF867C}">
                  <a14:compatExt spid="_x0000_s33871"/>
                </a:ext>
                <a:ext uri="{FF2B5EF4-FFF2-40B4-BE49-F238E27FC236}">
                  <a16:creationId xmlns:a16="http://schemas.microsoft.com/office/drawing/2014/main" id="{00000000-0008-0000-0E00-00004F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146050</xdr:colOff>
          <xdr:row>186</xdr:row>
          <xdr:rowOff>127000</xdr:rowOff>
        </xdr:from>
        <xdr:to>
          <xdr:col>0</xdr:col>
          <xdr:colOff>450850</xdr:colOff>
          <xdr:row>197</xdr:row>
          <xdr:rowOff>57150</xdr:rowOff>
        </xdr:to>
        <xdr:sp macro="" textlink="">
          <xdr:nvSpPr>
            <xdr:cNvPr id="33875" name="Check Box 83" hidden="1">
              <a:extLst xmlns:a="http://schemas.openxmlformats.org/drawingml/2006/main">
                <a:ext uri="{63B3BB69-23CF-44E3-9099-C40C66FF867C}">
                  <a14:compatExt spid="_x0000_s33875"/>
                </a:ext>
                <a:ext uri="{FF2B5EF4-FFF2-40B4-BE49-F238E27FC236}">
                  <a16:creationId xmlns:a16="http://schemas.microsoft.com/office/drawing/2014/main" id="{00000000-0008-0000-0E00-000053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203</xdr:row>
          <xdr:rowOff>0</xdr:rowOff>
        </xdr:from>
        <xdr:to>
          <xdr:col>0</xdr:col>
          <xdr:colOff>438150</xdr:colOff>
          <xdr:row>203</xdr:row>
          <xdr:rowOff>222250</xdr:rowOff>
        </xdr:to>
        <xdr:sp macro="" textlink="">
          <xdr:nvSpPr>
            <xdr:cNvPr id="33878" name="Check Box 86" hidden="1">
              <a:extLst xmlns:a="http://schemas.openxmlformats.org/drawingml/2006/main">
                <a:ext uri="{63B3BB69-23CF-44E3-9099-C40C66FF867C}">
                  <a14:compatExt spid="_x0000_s33878"/>
                </a:ext>
                <a:ext uri="{FF2B5EF4-FFF2-40B4-BE49-F238E27FC236}">
                  <a16:creationId xmlns:a16="http://schemas.microsoft.com/office/drawing/2014/main" id="{00000000-0008-0000-0E00-000056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237</xdr:row>
          <xdr:rowOff>152400</xdr:rowOff>
        </xdr:from>
        <xdr:to>
          <xdr:col>0</xdr:col>
          <xdr:colOff>438150</xdr:colOff>
          <xdr:row>252</xdr:row>
          <xdr:rowOff>50800</xdr:rowOff>
        </xdr:to>
        <xdr:sp macro="" textlink="">
          <xdr:nvSpPr>
            <xdr:cNvPr id="33887" name="Check Box 95" descr="Checkbox 72" hidden="1">
              <a:extLst xmlns:a="http://schemas.openxmlformats.org/drawingml/2006/main">
                <a:ext uri="{63B3BB69-23CF-44E3-9099-C40C66FF867C}">
                  <a14:compatExt spid="_x0000_s33887"/>
                </a:ext>
                <a:ext uri="{FF2B5EF4-FFF2-40B4-BE49-F238E27FC236}">
                  <a16:creationId xmlns:a16="http://schemas.microsoft.com/office/drawing/2014/main" id="{00000000-0008-0000-0E00-00005F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231</xdr:row>
          <xdr:rowOff>0</xdr:rowOff>
        </xdr:from>
        <xdr:to>
          <xdr:col>0</xdr:col>
          <xdr:colOff>438150</xdr:colOff>
          <xdr:row>252</xdr:row>
          <xdr:rowOff>57150</xdr:rowOff>
        </xdr:to>
        <xdr:sp macro="" textlink="">
          <xdr:nvSpPr>
            <xdr:cNvPr id="33888" name="Check Box 96" hidden="1">
              <a:extLst xmlns:a="http://schemas.openxmlformats.org/drawingml/2006/main">
                <a:ext uri="{63B3BB69-23CF-44E3-9099-C40C66FF867C}">
                  <a14:compatExt spid="_x0000_s33888"/>
                </a:ext>
                <a:ext uri="{FF2B5EF4-FFF2-40B4-BE49-F238E27FC236}">
                  <a16:creationId xmlns:a16="http://schemas.microsoft.com/office/drawing/2014/main" id="{00000000-0008-0000-0E00-000060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248</xdr:row>
          <xdr:rowOff>0</xdr:rowOff>
        </xdr:from>
        <xdr:to>
          <xdr:col>0</xdr:col>
          <xdr:colOff>438150</xdr:colOff>
          <xdr:row>252</xdr:row>
          <xdr:rowOff>57150</xdr:rowOff>
        </xdr:to>
        <xdr:sp macro="" textlink="">
          <xdr:nvSpPr>
            <xdr:cNvPr id="33891" name="Check Box 99" hidden="1">
              <a:extLst xmlns:a="http://schemas.openxmlformats.org/drawingml/2006/main">
                <a:ext uri="{63B3BB69-23CF-44E3-9099-C40C66FF867C}">
                  <a14:compatExt spid="_x0000_s33891"/>
                </a:ext>
                <a:ext uri="{FF2B5EF4-FFF2-40B4-BE49-F238E27FC236}">
                  <a16:creationId xmlns:a16="http://schemas.microsoft.com/office/drawing/2014/main" id="{00000000-0008-0000-0E00-000063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253</xdr:row>
          <xdr:rowOff>0</xdr:rowOff>
        </xdr:from>
        <xdr:to>
          <xdr:col>0</xdr:col>
          <xdr:colOff>438150</xdr:colOff>
          <xdr:row>253</xdr:row>
          <xdr:rowOff>222250</xdr:rowOff>
        </xdr:to>
        <xdr:sp macro="" textlink="">
          <xdr:nvSpPr>
            <xdr:cNvPr id="33892" name="Check Box 100" hidden="1">
              <a:extLst xmlns:a="http://schemas.openxmlformats.org/drawingml/2006/main">
                <a:ext uri="{63B3BB69-23CF-44E3-9099-C40C66FF867C}">
                  <a14:compatExt spid="_x0000_s33892"/>
                </a:ext>
                <a:ext uri="{FF2B5EF4-FFF2-40B4-BE49-F238E27FC236}">
                  <a16:creationId xmlns:a16="http://schemas.microsoft.com/office/drawing/2014/main" id="{00000000-0008-0000-0E00-000064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146050</xdr:colOff>
          <xdr:row>241</xdr:row>
          <xdr:rowOff>127000</xdr:rowOff>
        </xdr:from>
        <xdr:to>
          <xdr:col>0</xdr:col>
          <xdr:colOff>450850</xdr:colOff>
          <xdr:row>252</xdr:row>
          <xdr:rowOff>57150</xdr:rowOff>
        </xdr:to>
        <xdr:sp macro="" textlink="">
          <xdr:nvSpPr>
            <xdr:cNvPr id="33894" name="Check Box 102" hidden="1">
              <a:extLst xmlns:a="http://schemas.openxmlformats.org/drawingml/2006/main">
                <a:ext uri="{63B3BB69-23CF-44E3-9099-C40C66FF867C}">
                  <a14:compatExt spid="_x0000_s33894"/>
                </a:ext>
                <a:ext uri="{FF2B5EF4-FFF2-40B4-BE49-F238E27FC236}">
                  <a16:creationId xmlns:a16="http://schemas.microsoft.com/office/drawing/2014/main" id="{00000000-0008-0000-0E00-000066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258</xdr:row>
          <xdr:rowOff>0</xdr:rowOff>
        </xdr:from>
        <xdr:to>
          <xdr:col>0</xdr:col>
          <xdr:colOff>438150</xdr:colOff>
          <xdr:row>258</xdr:row>
          <xdr:rowOff>222250</xdr:rowOff>
        </xdr:to>
        <xdr:sp macro="" textlink="">
          <xdr:nvSpPr>
            <xdr:cNvPr id="33897" name="Check Box 105" hidden="1">
              <a:extLst xmlns:a="http://schemas.openxmlformats.org/drawingml/2006/main">
                <a:ext uri="{63B3BB69-23CF-44E3-9099-C40C66FF867C}">
                  <a14:compatExt spid="_x0000_s33897"/>
                </a:ext>
                <a:ext uri="{FF2B5EF4-FFF2-40B4-BE49-F238E27FC236}">
                  <a16:creationId xmlns:a16="http://schemas.microsoft.com/office/drawing/2014/main" id="{00000000-0008-0000-0E00-000069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292</xdr:row>
          <xdr:rowOff>152400</xdr:rowOff>
        </xdr:from>
        <xdr:to>
          <xdr:col>0</xdr:col>
          <xdr:colOff>438150</xdr:colOff>
          <xdr:row>307</xdr:row>
          <xdr:rowOff>50800</xdr:rowOff>
        </xdr:to>
        <xdr:sp macro="" textlink="">
          <xdr:nvSpPr>
            <xdr:cNvPr id="33900" name="Check Box 108" descr="Checkbox 72" hidden="1">
              <a:extLst xmlns:a="http://schemas.openxmlformats.org/drawingml/2006/main">
                <a:ext uri="{63B3BB69-23CF-44E3-9099-C40C66FF867C}">
                  <a14:compatExt spid="_x0000_s33900"/>
                </a:ext>
                <a:ext uri="{FF2B5EF4-FFF2-40B4-BE49-F238E27FC236}">
                  <a16:creationId xmlns:a16="http://schemas.microsoft.com/office/drawing/2014/main" id="{00000000-0008-0000-0E00-00006C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286</xdr:row>
          <xdr:rowOff>0</xdr:rowOff>
        </xdr:from>
        <xdr:to>
          <xdr:col>0</xdr:col>
          <xdr:colOff>438150</xdr:colOff>
          <xdr:row>307</xdr:row>
          <xdr:rowOff>57150</xdr:rowOff>
        </xdr:to>
        <xdr:sp macro="" textlink="">
          <xdr:nvSpPr>
            <xdr:cNvPr id="33901" name="Check Box 109" hidden="1">
              <a:extLst xmlns:a="http://schemas.openxmlformats.org/drawingml/2006/main">
                <a:ext uri="{63B3BB69-23CF-44E3-9099-C40C66FF867C}">
                  <a14:compatExt spid="_x0000_s33901"/>
                </a:ext>
                <a:ext uri="{FF2B5EF4-FFF2-40B4-BE49-F238E27FC236}">
                  <a16:creationId xmlns:a16="http://schemas.microsoft.com/office/drawing/2014/main" id="{00000000-0008-0000-0E00-00006D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303</xdr:row>
          <xdr:rowOff>0</xdr:rowOff>
        </xdr:from>
        <xdr:to>
          <xdr:col>0</xdr:col>
          <xdr:colOff>438150</xdr:colOff>
          <xdr:row>307</xdr:row>
          <xdr:rowOff>57150</xdr:rowOff>
        </xdr:to>
        <xdr:sp macro="" textlink="">
          <xdr:nvSpPr>
            <xdr:cNvPr id="33904" name="Check Box 112" hidden="1">
              <a:extLst xmlns:a="http://schemas.openxmlformats.org/drawingml/2006/main">
                <a:ext uri="{63B3BB69-23CF-44E3-9099-C40C66FF867C}">
                  <a14:compatExt spid="_x0000_s33904"/>
                </a:ext>
                <a:ext uri="{FF2B5EF4-FFF2-40B4-BE49-F238E27FC236}">
                  <a16:creationId xmlns:a16="http://schemas.microsoft.com/office/drawing/2014/main" id="{00000000-0008-0000-0E00-000070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308</xdr:row>
          <xdr:rowOff>0</xdr:rowOff>
        </xdr:from>
        <xdr:to>
          <xdr:col>0</xdr:col>
          <xdr:colOff>438150</xdr:colOff>
          <xdr:row>308</xdr:row>
          <xdr:rowOff>222250</xdr:rowOff>
        </xdr:to>
        <xdr:sp macro="" textlink="">
          <xdr:nvSpPr>
            <xdr:cNvPr id="33905" name="Check Box 113" hidden="1">
              <a:extLst xmlns:a="http://schemas.openxmlformats.org/drawingml/2006/main">
                <a:ext uri="{63B3BB69-23CF-44E3-9099-C40C66FF867C}">
                  <a14:compatExt spid="_x0000_s33905"/>
                </a:ext>
                <a:ext uri="{FF2B5EF4-FFF2-40B4-BE49-F238E27FC236}">
                  <a16:creationId xmlns:a16="http://schemas.microsoft.com/office/drawing/2014/main" id="{00000000-0008-0000-0E00-000071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146050</xdr:colOff>
          <xdr:row>296</xdr:row>
          <xdr:rowOff>152400</xdr:rowOff>
        </xdr:from>
        <xdr:to>
          <xdr:col>0</xdr:col>
          <xdr:colOff>450850</xdr:colOff>
          <xdr:row>307</xdr:row>
          <xdr:rowOff>50800</xdr:rowOff>
        </xdr:to>
        <xdr:sp macro="" textlink="">
          <xdr:nvSpPr>
            <xdr:cNvPr id="33907" name="Check Box 115" hidden="1">
              <a:extLst xmlns:a="http://schemas.openxmlformats.org/drawingml/2006/main">
                <a:ext uri="{63B3BB69-23CF-44E3-9099-C40C66FF867C}">
                  <a14:compatExt spid="_x0000_s33907"/>
                </a:ext>
                <a:ext uri="{FF2B5EF4-FFF2-40B4-BE49-F238E27FC236}">
                  <a16:creationId xmlns:a16="http://schemas.microsoft.com/office/drawing/2014/main" id="{00000000-0008-0000-0E00-000073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313</xdr:row>
          <xdr:rowOff>0</xdr:rowOff>
        </xdr:from>
        <xdr:to>
          <xdr:col>0</xdr:col>
          <xdr:colOff>438150</xdr:colOff>
          <xdr:row>313</xdr:row>
          <xdr:rowOff>222250</xdr:rowOff>
        </xdr:to>
        <xdr:sp macro="" textlink="">
          <xdr:nvSpPr>
            <xdr:cNvPr id="33910" name="Check Box 118" hidden="1">
              <a:extLst xmlns:a="http://schemas.openxmlformats.org/drawingml/2006/main">
                <a:ext uri="{63B3BB69-23CF-44E3-9099-C40C66FF867C}">
                  <a14:compatExt spid="_x0000_s33910"/>
                </a:ext>
                <a:ext uri="{FF2B5EF4-FFF2-40B4-BE49-F238E27FC236}">
                  <a16:creationId xmlns:a16="http://schemas.microsoft.com/office/drawing/2014/main" id="{00000000-0008-0000-0E00-000076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347</xdr:row>
          <xdr:rowOff>152400</xdr:rowOff>
        </xdr:from>
        <xdr:to>
          <xdr:col>0</xdr:col>
          <xdr:colOff>438150</xdr:colOff>
          <xdr:row>362</xdr:row>
          <xdr:rowOff>50800</xdr:rowOff>
        </xdr:to>
        <xdr:sp macro="" textlink="">
          <xdr:nvSpPr>
            <xdr:cNvPr id="33913" name="Check Box 121" descr="Checkbox 72" hidden="1">
              <a:extLst xmlns:a="http://schemas.openxmlformats.org/drawingml/2006/main">
                <a:ext uri="{63B3BB69-23CF-44E3-9099-C40C66FF867C}">
                  <a14:compatExt spid="_x0000_s33913"/>
                </a:ext>
                <a:ext uri="{FF2B5EF4-FFF2-40B4-BE49-F238E27FC236}">
                  <a16:creationId xmlns:a16="http://schemas.microsoft.com/office/drawing/2014/main" id="{00000000-0008-0000-0E00-000079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341</xdr:row>
          <xdr:rowOff>0</xdr:rowOff>
        </xdr:from>
        <xdr:to>
          <xdr:col>0</xdr:col>
          <xdr:colOff>438150</xdr:colOff>
          <xdr:row>362</xdr:row>
          <xdr:rowOff>57150</xdr:rowOff>
        </xdr:to>
        <xdr:sp macro="" textlink="">
          <xdr:nvSpPr>
            <xdr:cNvPr id="33914" name="Check Box 122" hidden="1">
              <a:extLst xmlns:a="http://schemas.openxmlformats.org/drawingml/2006/main">
                <a:ext uri="{63B3BB69-23CF-44E3-9099-C40C66FF867C}">
                  <a14:compatExt spid="_x0000_s33914"/>
                </a:ext>
                <a:ext uri="{FF2B5EF4-FFF2-40B4-BE49-F238E27FC236}">
                  <a16:creationId xmlns:a16="http://schemas.microsoft.com/office/drawing/2014/main" id="{00000000-0008-0000-0E00-00007A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358</xdr:row>
          <xdr:rowOff>0</xdr:rowOff>
        </xdr:from>
        <xdr:to>
          <xdr:col>0</xdr:col>
          <xdr:colOff>438150</xdr:colOff>
          <xdr:row>362</xdr:row>
          <xdr:rowOff>57150</xdr:rowOff>
        </xdr:to>
        <xdr:sp macro="" textlink="">
          <xdr:nvSpPr>
            <xdr:cNvPr id="33917" name="Check Box 125" hidden="1">
              <a:extLst xmlns:a="http://schemas.openxmlformats.org/drawingml/2006/main">
                <a:ext uri="{63B3BB69-23CF-44E3-9099-C40C66FF867C}">
                  <a14:compatExt spid="_x0000_s33917"/>
                </a:ext>
                <a:ext uri="{FF2B5EF4-FFF2-40B4-BE49-F238E27FC236}">
                  <a16:creationId xmlns:a16="http://schemas.microsoft.com/office/drawing/2014/main" id="{00000000-0008-0000-0E00-00007D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363</xdr:row>
          <xdr:rowOff>0</xdr:rowOff>
        </xdr:from>
        <xdr:to>
          <xdr:col>0</xdr:col>
          <xdr:colOff>438150</xdr:colOff>
          <xdr:row>363</xdr:row>
          <xdr:rowOff>222250</xdr:rowOff>
        </xdr:to>
        <xdr:sp macro="" textlink="">
          <xdr:nvSpPr>
            <xdr:cNvPr id="33918" name="Check Box 126" hidden="1">
              <a:extLst xmlns:a="http://schemas.openxmlformats.org/drawingml/2006/main">
                <a:ext uri="{63B3BB69-23CF-44E3-9099-C40C66FF867C}">
                  <a14:compatExt spid="_x0000_s33918"/>
                </a:ext>
                <a:ext uri="{FF2B5EF4-FFF2-40B4-BE49-F238E27FC236}">
                  <a16:creationId xmlns:a16="http://schemas.microsoft.com/office/drawing/2014/main" id="{00000000-0008-0000-0E00-00007E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146050</xdr:colOff>
          <xdr:row>351</xdr:row>
          <xdr:rowOff>127000</xdr:rowOff>
        </xdr:from>
        <xdr:to>
          <xdr:col>0</xdr:col>
          <xdr:colOff>450850</xdr:colOff>
          <xdr:row>362</xdr:row>
          <xdr:rowOff>57150</xdr:rowOff>
        </xdr:to>
        <xdr:sp macro="" textlink="">
          <xdr:nvSpPr>
            <xdr:cNvPr id="33920" name="Check Box 128" hidden="1">
              <a:extLst xmlns:a="http://schemas.openxmlformats.org/drawingml/2006/main">
                <a:ext uri="{63B3BB69-23CF-44E3-9099-C40C66FF867C}">
                  <a14:compatExt spid="_x0000_s33920"/>
                </a:ext>
                <a:ext uri="{FF2B5EF4-FFF2-40B4-BE49-F238E27FC236}">
                  <a16:creationId xmlns:a16="http://schemas.microsoft.com/office/drawing/2014/main" id="{00000000-0008-0000-0E00-000080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368</xdr:row>
          <xdr:rowOff>0</xdr:rowOff>
        </xdr:from>
        <xdr:to>
          <xdr:col>0</xdr:col>
          <xdr:colOff>438150</xdr:colOff>
          <xdr:row>368</xdr:row>
          <xdr:rowOff>222250</xdr:rowOff>
        </xdr:to>
        <xdr:sp macro="" textlink="">
          <xdr:nvSpPr>
            <xdr:cNvPr id="33923" name="Check Box 131" hidden="1">
              <a:extLst xmlns:a="http://schemas.openxmlformats.org/drawingml/2006/main">
                <a:ext uri="{63B3BB69-23CF-44E3-9099-C40C66FF867C}">
                  <a14:compatExt spid="_x0000_s33923"/>
                </a:ext>
                <a:ext uri="{FF2B5EF4-FFF2-40B4-BE49-F238E27FC236}">
                  <a16:creationId xmlns:a16="http://schemas.microsoft.com/office/drawing/2014/main" id="{00000000-0008-0000-0E00-000083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403</xdr:row>
          <xdr:rowOff>0</xdr:rowOff>
        </xdr:from>
        <xdr:to>
          <xdr:col>0</xdr:col>
          <xdr:colOff>438150</xdr:colOff>
          <xdr:row>417</xdr:row>
          <xdr:rowOff>57150</xdr:rowOff>
        </xdr:to>
        <xdr:sp macro="" textlink="">
          <xdr:nvSpPr>
            <xdr:cNvPr id="33926" name="Check Box 134" descr="Checkbox 72" hidden="1">
              <a:extLst xmlns:a="http://schemas.openxmlformats.org/drawingml/2006/main">
                <a:ext uri="{63B3BB69-23CF-44E3-9099-C40C66FF867C}">
                  <a14:compatExt spid="_x0000_s33926"/>
                </a:ext>
                <a:ext uri="{FF2B5EF4-FFF2-40B4-BE49-F238E27FC236}">
                  <a16:creationId xmlns:a16="http://schemas.microsoft.com/office/drawing/2014/main" id="{00000000-0008-0000-0E00-000086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396</xdr:row>
          <xdr:rowOff>0</xdr:rowOff>
        </xdr:from>
        <xdr:to>
          <xdr:col>0</xdr:col>
          <xdr:colOff>438150</xdr:colOff>
          <xdr:row>417</xdr:row>
          <xdr:rowOff>57150</xdr:rowOff>
        </xdr:to>
        <xdr:sp macro="" textlink="">
          <xdr:nvSpPr>
            <xdr:cNvPr id="33927" name="Check Box 135" hidden="1">
              <a:extLst xmlns:a="http://schemas.openxmlformats.org/drawingml/2006/main">
                <a:ext uri="{63B3BB69-23CF-44E3-9099-C40C66FF867C}">
                  <a14:compatExt spid="_x0000_s33927"/>
                </a:ext>
                <a:ext uri="{FF2B5EF4-FFF2-40B4-BE49-F238E27FC236}">
                  <a16:creationId xmlns:a16="http://schemas.microsoft.com/office/drawing/2014/main" id="{00000000-0008-0000-0E00-000087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413</xdr:row>
          <xdr:rowOff>0</xdr:rowOff>
        </xdr:from>
        <xdr:to>
          <xdr:col>0</xdr:col>
          <xdr:colOff>438150</xdr:colOff>
          <xdr:row>417</xdr:row>
          <xdr:rowOff>57150</xdr:rowOff>
        </xdr:to>
        <xdr:sp macro="" textlink="">
          <xdr:nvSpPr>
            <xdr:cNvPr id="33930" name="Check Box 138" hidden="1">
              <a:extLst xmlns:a="http://schemas.openxmlformats.org/drawingml/2006/main">
                <a:ext uri="{63B3BB69-23CF-44E3-9099-C40C66FF867C}">
                  <a14:compatExt spid="_x0000_s33930"/>
                </a:ext>
                <a:ext uri="{FF2B5EF4-FFF2-40B4-BE49-F238E27FC236}">
                  <a16:creationId xmlns:a16="http://schemas.microsoft.com/office/drawing/2014/main" id="{00000000-0008-0000-0E00-00008A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418</xdr:row>
          <xdr:rowOff>0</xdr:rowOff>
        </xdr:from>
        <xdr:to>
          <xdr:col>0</xdr:col>
          <xdr:colOff>438150</xdr:colOff>
          <xdr:row>418</xdr:row>
          <xdr:rowOff>222250</xdr:rowOff>
        </xdr:to>
        <xdr:sp macro="" textlink="">
          <xdr:nvSpPr>
            <xdr:cNvPr id="33931" name="Check Box 139" hidden="1">
              <a:extLst xmlns:a="http://schemas.openxmlformats.org/drawingml/2006/main">
                <a:ext uri="{63B3BB69-23CF-44E3-9099-C40C66FF867C}">
                  <a14:compatExt spid="_x0000_s33931"/>
                </a:ext>
                <a:ext uri="{FF2B5EF4-FFF2-40B4-BE49-F238E27FC236}">
                  <a16:creationId xmlns:a16="http://schemas.microsoft.com/office/drawing/2014/main" id="{00000000-0008-0000-0E00-00008B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146050</xdr:colOff>
          <xdr:row>406</xdr:row>
          <xdr:rowOff>127000</xdr:rowOff>
        </xdr:from>
        <xdr:to>
          <xdr:col>0</xdr:col>
          <xdr:colOff>450850</xdr:colOff>
          <xdr:row>417</xdr:row>
          <xdr:rowOff>57150</xdr:rowOff>
        </xdr:to>
        <xdr:sp macro="" textlink="">
          <xdr:nvSpPr>
            <xdr:cNvPr id="33933" name="Check Box 141" hidden="1">
              <a:extLst xmlns:a="http://schemas.openxmlformats.org/drawingml/2006/main">
                <a:ext uri="{63B3BB69-23CF-44E3-9099-C40C66FF867C}">
                  <a14:compatExt spid="_x0000_s33933"/>
                </a:ext>
                <a:ext uri="{FF2B5EF4-FFF2-40B4-BE49-F238E27FC236}">
                  <a16:creationId xmlns:a16="http://schemas.microsoft.com/office/drawing/2014/main" id="{00000000-0008-0000-0E00-00008D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423</xdr:row>
          <xdr:rowOff>0</xdr:rowOff>
        </xdr:from>
        <xdr:to>
          <xdr:col>0</xdr:col>
          <xdr:colOff>438150</xdr:colOff>
          <xdr:row>423</xdr:row>
          <xdr:rowOff>222250</xdr:rowOff>
        </xdr:to>
        <xdr:sp macro="" textlink="">
          <xdr:nvSpPr>
            <xdr:cNvPr id="33936" name="Check Box 144" hidden="1">
              <a:extLst xmlns:a="http://schemas.openxmlformats.org/drawingml/2006/main">
                <a:ext uri="{63B3BB69-23CF-44E3-9099-C40C66FF867C}">
                  <a14:compatExt spid="_x0000_s33936"/>
                </a:ext>
                <a:ext uri="{FF2B5EF4-FFF2-40B4-BE49-F238E27FC236}">
                  <a16:creationId xmlns:a16="http://schemas.microsoft.com/office/drawing/2014/main" id="{00000000-0008-0000-0E00-000090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260350</xdr:colOff>
          <xdr:row>529</xdr:row>
          <xdr:rowOff>12700</xdr:rowOff>
        </xdr:from>
        <xdr:to>
          <xdr:col>4</xdr:col>
          <xdr:colOff>552450</xdr:colOff>
          <xdr:row>531</xdr:row>
          <xdr:rowOff>31750</xdr:rowOff>
        </xdr:to>
        <xdr:sp macro="" textlink="">
          <xdr:nvSpPr>
            <xdr:cNvPr id="33978" name="Button 186" hidden="1">
              <a:extLst xmlns:a="http://schemas.openxmlformats.org/drawingml/2006/main">
                <a:ext uri="{63B3BB69-23CF-44E3-9099-C40C66FF867C}">
                  <a14:compatExt spid="_x0000_s33978"/>
                </a:ext>
                <a:ext uri="{FF2B5EF4-FFF2-40B4-BE49-F238E27FC236}">
                  <a16:creationId xmlns:a16="http://schemas.microsoft.com/office/drawing/2014/main" id="{00000000-0008-0000-0E00-0000BA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hu-HU" sz="1000" b="0" i="0" u="none" strike="noStrike" baseline="0">
                  <a:solidFill>
                    <a:srgbClr val="000000"/>
                  </a:solidFill>
                  <a:latin typeface="Arial"/>
                  <a:cs typeface="Arial"/>
                </a:rPr>
                <a:t>Nyomtatás / 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133350</xdr:colOff>
          <xdr:row>485</xdr:row>
          <xdr:rowOff>336550</xdr:rowOff>
        </xdr:from>
        <xdr:to>
          <xdr:col>1</xdr:col>
          <xdr:colOff>438150</xdr:colOff>
          <xdr:row>489</xdr:row>
          <xdr:rowOff>222250</xdr:rowOff>
        </xdr:to>
        <xdr:sp macro="" textlink="">
          <xdr:nvSpPr>
            <xdr:cNvPr id="33979" name="Check Box 187" hidden="1">
              <a:extLst xmlns:a="http://schemas.openxmlformats.org/drawingml/2006/main">
                <a:ext uri="{63B3BB69-23CF-44E3-9099-C40C66FF867C}">
                  <a14:compatExt spid="_x0000_s3397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133350</xdr:colOff>
          <xdr:row>488</xdr:row>
          <xdr:rowOff>0</xdr:rowOff>
        </xdr:from>
        <xdr:to>
          <xdr:col>1</xdr:col>
          <xdr:colOff>438150</xdr:colOff>
          <xdr:row>489</xdr:row>
          <xdr:rowOff>222250</xdr:rowOff>
        </xdr:to>
        <xdr:sp macro="" textlink="">
          <xdr:nvSpPr>
            <xdr:cNvPr id="33980" name="Check Box 188" hidden="1">
              <a:extLst xmlns:a="http://schemas.openxmlformats.org/drawingml/2006/main">
                <a:ext uri="{63B3BB69-23CF-44E3-9099-C40C66FF867C}">
                  <a14:compatExt spid="_x0000_s3398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123</xdr:row>
      <xdr:rowOff>0</xdr:rowOff>
    </xdr:from>
    <xdr:to>
      <xdr:col>3</xdr:col>
      <xdr:colOff>66675</xdr:colOff>
      <xdr:row>123</xdr:row>
      <xdr:rowOff>66675</xdr:rowOff>
    </xdr:to>
    <xdr:pic>
      <xdr:nvPicPr>
        <xdr:cNvPr id="2" name="Bilde 1" descr="Ye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96150" y="21212175"/>
          <a:ext cx="66675" cy="66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121</xdr:row>
      <xdr:rowOff>0</xdr:rowOff>
    </xdr:from>
    <xdr:to>
      <xdr:col>3</xdr:col>
      <xdr:colOff>66675</xdr:colOff>
      <xdr:row>121</xdr:row>
      <xdr:rowOff>66675</xdr:rowOff>
    </xdr:to>
    <xdr:pic>
      <xdr:nvPicPr>
        <xdr:cNvPr id="3" name="Bilde 1" descr="Ye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96150" y="20888325"/>
          <a:ext cx="66675" cy="66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1593850</xdr:colOff>
          <xdr:row>68</xdr:row>
          <xdr:rowOff>146050</xdr:rowOff>
        </xdr:from>
        <xdr:to>
          <xdr:col>5</xdr:col>
          <xdr:colOff>342900</xdr:colOff>
          <xdr:row>70</xdr:row>
          <xdr:rowOff>76200</xdr:rowOff>
        </xdr:to>
        <xdr:sp macro="" textlink="">
          <xdr:nvSpPr>
            <xdr:cNvPr id="37890" name="Button 2" descr="Gomb 2" hidden="1">
              <a:extLst xmlns:a="http://schemas.openxmlformats.org/drawingml/2006/main">
                <a:ext uri="{63B3BB69-23CF-44E3-9099-C40C66FF867C}">
                  <a14:compatExt spid="_x0000_s37890"/>
                </a:ext>
                <a:ext uri="{FF2B5EF4-FFF2-40B4-BE49-F238E27FC236}">
                  <a16:creationId xmlns:a16="http://schemas.microsoft.com/office/drawing/2014/main" id="{00000000-0008-0000-0300-0000029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hu-HU" sz="1000" b="0" i="0" u="none" strike="noStrike" baseline="0">
                  <a:solidFill>
                    <a:srgbClr val="000000"/>
                  </a:solidFill>
                  <a:latin typeface="Arial"/>
                  <a:cs typeface="Arial"/>
                </a:rPr>
                <a:t>Felesleges sorok elrejtése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762000</xdr:colOff>
          <xdr:row>68</xdr:row>
          <xdr:rowOff>133350</xdr:rowOff>
        </xdr:from>
        <xdr:to>
          <xdr:col>7</xdr:col>
          <xdr:colOff>774700</xdr:colOff>
          <xdr:row>70</xdr:row>
          <xdr:rowOff>69850</xdr:rowOff>
        </xdr:to>
        <xdr:sp macro="" textlink="">
          <xdr:nvSpPr>
            <xdr:cNvPr id="37891" name="Button 3" hidden="1">
              <a:extLst xmlns:a="http://schemas.openxmlformats.org/drawingml/2006/main">
                <a:ext uri="{63B3BB69-23CF-44E3-9099-C40C66FF867C}">
                  <a14:compatExt spid="_x0000_s37891"/>
                </a:ext>
                <a:ext uri="{FF2B5EF4-FFF2-40B4-BE49-F238E27FC236}">
                  <a16:creationId xmlns:a16="http://schemas.microsoft.com/office/drawing/2014/main" id="{00000000-0008-0000-0300-0000039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hu-HU" sz="1000" b="0" i="0" u="none" strike="noStrike" baseline="0">
                  <a:solidFill>
                    <a:srgbClr val="000000"/>
                  </a:solidFill>
                  <a:latin typeface="Arial"/>
                  <a:cs typeface="Arial"/>
                </a:rPr>
                <a:t>Sorok beszúrása</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7</xdr:col>
          <xdr:colOff>1028700</xdr:colOff>
          <xdr:row>70</xdr:row>
          <xdr:rowOff>114300</xdr:rowOff>
        </xdr:from>
        <xdr:to>
          <xdr:col>9</xdr:col>
          <xdr:colOff>317500</xdr:colOff>
          <xdr:row>72</xdr:row>
          <xdr:rowOff>50800</xdr:rowOff>
        </xdr:to>
        <xdr:sp macro="" textlink="">
          <xdr:nvSpPr>
            <xdr:cNvPr id="38913" name="Button 1" descr="Gomb 2" hidden="1">
              <a:extLst xmlns:a="http://schemas.openxmlformats.org/drawingml/2006/main">
                <a:ext uri="{63B3BB69-23CF-44E3-9099-C40C66FF867C}">
                  <a14:compatExt spid="_x0000_s38913"/>
                </a:ext>
                <a:ext uri="{FF2B5EF4-FFF2-40B4-BE49-F238E27FC236}">
                  <a16:creationId xmlns:a16="http://schemas.microsoft.com/office/drawing/2014/main" id="{00000000-0008-0000-0400-0000019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hu-HU" sz="1000" b="0" i="0" u="none" strike="noStrike" baseline="0">
                  <a:solidFill>
                    <a:srgbClr val="000000"/>
                  </a:solidFill>
                  <a:latin typeface="Arial"/>
                  <a:cs typeface="Arial"/>
                </a:rPr>
                <a:t>Felesleges sorok elrejtése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736600</xdr:colOff>
          <xdr:row>70</xdr:row>
          <xdr:rowOff>107950</xdr:rowOff>
        </xdr:from>
        <xdr:to>
          <xdr:col>11</xdr:col>
          <xdr:colOff>50800</xdr:colOff>
          <xdr:row>72</xdr:row>
          <xdr:rowOff>38100</xdr:rowOff>
        </xdr:to>
        <xdr:sp macro="" textlink="">
          <xdr:nvSpPr>
            <xdr:cNvPr id="38914" name="Button 2" hidden="1">
              <a:extLst xmlns:a="http://schemas.openxmlformats.org/drawingml/2006/main">
                <a:ext uri="{63B3BB69-23CF-44E3-9099-C40C66FF867C}">
                  <a14:compatExt spid="_x0000_s38914"/>
                </a:ext>
                <a:ext uri="{FF2B5EF4-FFF2-40B4-BE49-F238E27FC236}">
                  <a16:creationId xmlns:a16="http://schemas.microsoft.com/office/drawing/2014/main" id="{00000000-0008-0000-0400-0000029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hu-HU" sz="1000" b="0" i="0" u="none" strike="noStrike" baseline="0">
                  <a:solidFill>
                    <a:srgbClr val="000000"/>
                  </a:solidFill>
                  <a:latin typeface="Arial"/>
                  <a:cs typeface="Arial"/>
                </a:rPr>
                <a:t>Sorok beszúrása</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5</xdr:col>
          <xdr:colOff>1098550</xdr:colOff>
          <xdr:row>87</xdr:row>
          <xdr:rowOff>69850</xdr:rowOff>
        </xdr:from>
        <xdr:to>
          <xdr:col>7</xdr:col>
          <xdr:colOff>127000</xdr:colOff>
          <xdr:row>89</xdr:row>
          <xdr:rowOff>76200</xdr:rowOff>
        </xdr:to>
        <xdr:sp macro="" textlink="">
          <xdr:nvSpPr>
            <xdr:cNvPr id="39940" name="Button 4" descr="Gomb 2" hidden="1">
              <a:extLst xmlns:a="http://schemas.openxmlformats.org/drawingml/2006/main">
                <a:ext uri="{63B3BB69-23CF-44E3-9099-C40C66FF867C}">
                  <a14:compatExt spid="_x0000_s39940"/>
                </a:ext>
                <a:ext uri="{FF2B5EF4-FFF2-40B4-BE49-F238E27FC236}">
                  <a16:creationId xmlns:a16="http://schemas.microsoft.com/office/drawing/2014/main" id="{00000000-0008-0000-0500-0000049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hu-HU" sz="1000" b="0" i="0" u="none" strike="noStrike" baseline="0">
                  <a:solidFill>
                    <a:srgbClr val="000000"/>
                  </a:solidFill>
                  <a:latin typeface="Arial"/>
                  <a:cs typeface="Arial"/>
                </a:rPr>
                <a:t>Felesleges sorok elrejtése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546100</xdr:colOff>
          <xdr:row>87</xdr:row>
          <xdr:rowOff>57150</xdr:rowOff>
        </xdr:from>
        <xdr:to>
          <xdr:col>10</xdr:col>
          <xdr:colOff>317500</xdr:colOff>
          <xdr:row>89</xdr:row>
          <xdr:rowOff>69850</xdr:rowOff>
        </xdr:to>
        <xdr:sp macro="" textlink="">
          <xdr:nvSpPr>
            <xdr:cNvPr id="39941" name="Button 5" hidden="1">
              <a:extLst xmlns:a="http://schemas.openxmlformats.org/drawingml/2006/main">
                <a:ext uri="{63B3BB69-23CF-44E3-9099-C40C66FF867C}">
                  <a14:compatExt spid="_x0000_s39941"/>
                </a:ext>
                <a:ext uri="{FF2B5EF4-FFF2-40B4-BE49-F238E27FC236}">
                  <a16:creationId xmlns:a16="http://schemas.microsoft.com/office/drawing/2014/main" id="{00000000-0008-0000-0500-0000059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hu-HU" sz="1000" b="0" i="0" u="none" strike="noStrike" baseline="0">
                  <a:solidFill>
                    <a:srgbClr val="000000"/>
                  </a:solidFill>
                  <a:latin typeface="Arial"/>
                  <a:cs typeface="Arial"/>
                </a:rPr>
                <a:t>Sorok beszúrása</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5</xdr:col>
          <xdr:colOff>533400</xdr:colOff>
          <xdr:row>69</xdr:row>
          <xdr:rowOff>146050</xdr:rowOff>
        </xdr:from>
        <xdr:to>
          <xdr:col>7</xdr:col>
          <xdr:colOff>603250</xdr:colOff>
          <xdr:row>71</xdr:row>
          <xdr:rowOff>88900</xdr:rowOff>
        </xdr:to>
        <xdr:sp macro="" textlink="">
          <xdr:nvSpPr>
            <xdr:cNvPr id="40961" name="Button 1" hidden="1">
              <a:extLst xmlns:a="http://schemas.openxmlformats.org/drawingml/2006/main">
                <a:ext uri="{63B3BB69-23CF-44E3-9099-C40C66FF867C}">
                  <a14:compatExt spid="_x0000_s40961"/>
                </a:ext>
                <a:ext uri="{FF2B5EF4-FFF2-40B4-BE49-F238E27FC236}">
                  <a16:creationId xmlns:a16="http://schemas.microsoft.com/office/drawing/2014/main" id="{00000000-0008-0000-0600-000001A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hu-HU" sz="1000" b="0" i="0" u="none" strike="noStrike" baseline="0">
                  <a:solidFill>
                    <a:srgbClr val="000000"/>
                  </a:solidFill>
                  <a:latin typeface="Arial"/>
                  <a:cs typeface="Arial"/>
                </a:rPr>
                <a:t>Felesleges sorok elrejtése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1155700</xdr:colOff>
          <xdr:row>69</xdr:row>
          <xdr:rowOff>152400</xdr:rowOff>
        </xdr:from>
        <xdr:to>
          <xdr:col>9</xdr:col>
          <xdr:colOff>412750</xdr:colOff>
          <xdr:row>71</xdr:row>
          <xdr:rowOff>88900</xdr:rowOff>
        </xdr:to>
        <xdr:sp macro="" textlink="">
          <xdr:nvSpPr>
            <xdr:cNvPr id="40962" name="Button 2" hidden="1">
              <a:extLst xmlns:a="http://schemas.openxmlformats.org/drawingml/2006/main">
                <a:ext uri="{63B3BB69-23CF-44E3-9099-C40C66FF867C}">
                  <a14:compatExt spid="_x0000_s40962"/>
                </a:ext>
                <a:ext uri="{FF2B5EF4-FFF2-40B4-BE49-F238E27FC236}">
                  <a16:creationId xmlns:a16="http://schemas.microsoft.com/office/drawing/2014/main" id="{00000000-0008-0000-0600-000002A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hu-HU" sz="1000" b="0" i="0" u="none" strike="noStrike" baseline="0">
                  <a:solidFill>
                    <a:srgbClr val="000000"/>
                  </a:solidFill>
                  <a:latin typeface="Arial"/>
                  <a:cs typeface="Arial"/>
                </a:rPr>
                <a:t>Sorok beszúrása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857250</xdr:colOff>
          <xdr:row>64</xdr:row>
          <xdr:rowOff>152400</xdr:rowOff>
        </xdr:from>
        <xdr:to>
          <xdr:col>3</xdr:col>
          <xdr:colOff>1219200</xdr:colOff>
          <xdr:row>66</xdr:row>
          <xdr:rowOff>95250</xdr:rowOff>
        </xdr:to>
        <xdr:sp macro="" textlink="">
          <xdr:nvSpPr>
            <xdr:cNvPr id="41985" name="Button 1" hidden="1">
              <a:extLst xmlns:a="http://schemas.openxmlformats.org/drawingml/2006/main">
                <a:ext uri="{63B3BB69-23CF-44E3-9099-C40C66FF867C}">
                  <a14:compatExt spid="_x0000_s41985"/>
                </a:ext>
                <a:ext uri="{FF2B5EF4-FFF2-40B4-BE49-F238E27FC236}">
                  <a16:creationId xmlns:a16="http://schemas.microsoft.com/office/drawing/2014/main" id="{00000000-0008-0000-0700-000001A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hu-HU" sz="1000" b="0" i="0" u="none" strike="noStrike" baseline="0">
                  <a:solidFill>
                    <a:srgbClr val="000000"/>
                  </a:solidFill>
                  <a:latin typeface="Arial"/>
                  <a:cs typeface="Arial"/>
                </a:rPr>
                <a:t>Felesleges sorok elrejtése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819150</xdr:colOff>
          <xdr:row>64</xdr:row>
          <xdr:rowOff>146050</xdr:rowOff>
        </xdr:from>
        <xdr:to>
          <xdr:col>5</xdr:col>
          <xdr:colOff>1028700</xdr:colOff>
          <xdr:row>66</xdr:row>
          <xdr:rowOff>88900</xdr:rowOff>
        </xdr:to>
        <xdr:sp macro="" textlink="">
          <xdr:nvSpPr>
            <xdr:cNvPr id="41986" name="Button 2" hidden="1">
              <a:extLst xmlns:a="http://schemas.openxmlformats.org/drawingml/2006/main">
                <a:ext uri="{63B3BB69-23CF-44E3-9099-C40C66FF867C}">
                  <a14:compatExt spid="_x0000_s41986"/>
                </a:ext>
                <a:ext uri="{FF2B5EF4-FFF2-40B4-BE49-F238E27FC236}">
                  <a16:creationId xmlns:a16="http://schemas.microsoft.com/office/drawing/2014/main" id="{00000000-0008-0000-0700-000002A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hu-HU" sz="1000" b="0" i="0" u="none" strike="noStrike" baseline="0">
                  <a:solidFill>
                    <a:srgbClr val="000000"/>
                  </a:solidFill>
                  <a:latin typeface="Arial"/>
                  <a:cs typeface="Arial"/>
                </a:rPr>
                <a:t>Sorok beszúrása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314325</xdr:colOff>
      <xdr:row>0</xdr:row>
      <xdr:rowOff>828675</xdr:rowOff>
    </xdr:to>
    <xdr:pic>
      <xdr:nvPicPr>
        <xdr:cNvPr id="2" name="Kép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2875" y="114300"/>
          <a:ext cx="714375" cy="71437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485775</xdr:colOff>
      <xdr:row>0</xdr:row>
      <xdr:rowOff>152400</xdr:rowOff>
    </xdr:from>
    <xdr:to>
      <xdr:col>1</xdr:col>
      <xdr:colOff>485775</xdr:colOff>
      <xdr:row>0</xdr:row>
      <xdr:rowOff>876300</xdr:rowOff>
    </xdr:to>
    <xdr:cxnSp macro="">
      <xdr:nvCxnSpPr>
        <xdr:cNvPr id="3" name="Egyenes összekötő 2"/>
        <xdr:cNvCxnSpPr/>
      </xdr:nvCxnSpPr>
      <xdr:spPr>
        <a:xfrm>
          <a:off x="1028700" y="152400"/>
          <a:ext cx="0" cy="723900"/>
        </a:xfrm>
        <a:prstGeom prst="line">
          <a:avLst/>
        </a:prstGeom>
        <a:ln w="571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14</xdr:row>
          <xdr:rowOff>152400</xdr:rowOff>
        </xdr:from>
        <xdr:to>
          <xdr:col>0</xdr:col>
          <xdr:colOff>438150</xdr:colOff>
          <xdr:row>44</xdr:row>
          <xdr:rowOff>146050</xdr:rowOff>
        </xdr:to>
        <xdr:sp macro="" textlink="">
          <xdr:nvSpPr>
            <xdr:cNvPr id="2051" name="Check Box 3" hidden="1">
              <a:extLst xmlns:a="http://schemas.openxmlformats.org/drawingml/2006/main">
                <a:ext uri="{63B3BB69-23CF-44E3-9099-C40C66FF867C}">
                  <a14:compatExt spid="_x0000_s2051"/>
                </a:ext>
                <a:ext uri="{FF2B5EF4-FFF2-40B4-BE49-F238E27FC236}">
                  <a16:creationId xmlns:a16="http://schemas.microsoft.com/office/drawing/2014/main" id="{00000000-0008-0000-0A00-000003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17</xdr:row>
          <xdr:rowOff>127000</xdr:rowOff>
        </xdr:from>
        <xdr:to>
          <xdr:col>0</xdr:col>
          <xdr:colOff>438150</xdr:colOff>
          <xdr:row>44</xdr:row>
          <xdr:rowOff>12700</xdr:rowOff>
        </xdr:to>
        <xdr:sp macro="" textlink="">
          <xdr:nvSpPr>
            <xdr:cNvPr id="2052" name="Check Box 4" hidden="1">
              <a:extLst xmlns:a="http://schemas.openxmlformats.org/drawingml/2006/main">
                <a:ext uri="{63B3BB69-23CF-44E3-9099-C40C66FF867C}">
                  <a14:compatExt spid="_x0000_s2052"/>
                </a:ext>
                <a:ext uri="{FF2B5EF4-FFF2-40B4-BE49-F238E27FC236}">
                  <a16:creationId xmlns:a16="http://schemas.microsoft.com/office/drawing/2014/main" id="{00000000-0008-0000-0A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19</xdr:row>
          <xdr:rowOff>152400</xdr:rowOff>
        </xdr:from>
        <xdr:to>
          <xdr:col>0</xdr:col>
          <xdr:colOff>400050</xdr:colOff>
          <xdr:row>43</xdr:row>
          <xdr:rowOff>127000</xdr:rowOff>
        </xdr:to>
        <xdr:sp macro="" textlink="">
          <xdr:nvSpPr>
            <xdr:cNvPr id="2053" name="Check Box 5" hidden="1">
              <a:extLst xmlns:a="http://schemas.openxmlformats.org/drawingml/2006/main">
                <a:ext uri="{63B3BB69-23CF-44E3-9099-C40C66FF867C}">
                  <a14:compatExt spid="_x0000_s2053"/>
                </a:ext>
                <a:ext uri="{FF2B5EF4-FFF2-40B4-BE49-F238E27FC236}">
                  <a16:creationId xmlns:a16="http://schemas.microsoft.com/office/drawing/2014/main" id="{00000000-0008-0000-0A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21</xdr:row>
          <xdr:rowOff>88900</xdr:rowOff>
        </xdr:from>
        <xdr:to>
          <xdr:col>0</xdr:col>
          <xdr:colOff>438150</xdr:colOff>
          <xdr:row>43</xdr:row>
          <xdr:rowOff>127000</xdr:rowOff>
        </xdr:to>
        <xdr:sp macro="" textlink="">
          <xdr:nvSpPr>
            <xdr:cNvPr id="2054" name="Check Box 6" hidden="1">
              <a:extLst xmlns:a="http://schemas.openxmlformats.org/drawingml/2006/main">
                <a:ext uri="{63B3BB69-23CF-44E3-9099-C40C66FF867C}">
                  <a14:compatExt spid="_x0000_s2054"/>
                </a:ext>
                <a:ext uri="{FF2B5EF4-FFF2-40B4-BE49-F238E27FC236}">
                  <a16:creationId xmlns:a16="http://schemas.microsoft.com/office/drawing/2014/main" id="{00000000-0008-0000-0A00-000006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25</xdr:row>
          <xdr:rowOff>50800</xdr:rowOff>
        </xdr:from>
        <xdr:to>
          <xdr:col>0</xdr:col>
          <xdr:colOff>438150</xdr:colOff>
          <xdr:row>43</xdr:row>
          <xdr:rowOff>127000</xdr:rowOff>
        </xdr:to>
        <xdr:sp macro="" textlink="">
          <xdr:nvSpPr>
            <xdr:cNvPr id="2055" name="Check Box 7" hidden="1">
              <a:extLst xmlns:a="http://schemas.openxmlformats.org/drawingml/2006/main">
                <a:ext uri="{63B3BB69-23CF-44E3-9099-C40C66FF867C}">
                  <a14:compatExt spid="_x0000_s2055"/>
                </a:ext>
                <a:ext uri="{FF2B5EF4-FFF2-40B4-BE49-F238E27FC236}">
                  <a16:creationId xmlns:a16="http://schemas.microsoft.com/office/drawing/2014/main" id="{00000000-0008-0000-0A00-000007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27</xdr:row>
          <xdr:rowOff>69850</xdr:rowOff>
        </xdr:from>
        <xdr:to>
          <xdr:col>0</xdr:col>
          <xdr:colOff>438150</xdr:colOff>
          <xdr:row>44</xdr:row>
          <xdr:rowOff>31750</xdr:rowOff>
        </xdr:to>
        <xdr:sp macro="" textlink="">
          <xdr:nvSpPr>
            <xdr:cNvPr id="2056" name="Check Box 8" hidden="1">
              <a:extLst xmlns:a="http://schemas.openxmlformats.org/drawingml/2006/main">
                <a:ext uri="{63B3BB69-23CF-44E3-9099-C40C66FF867C}">
                  <a14:compatExt spid="_x0000_s2056"/>
                </a:ext>
                <a:ext uri="{FF2B5EF4-FFF2-40B4-BE49-F238E27FC236}">
                  <a16:creationId xmlns:a16="http://schemas.microsoft.com/office/drawing/2014/main" id="{00000000-0008-0000-0A00-000008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31</xdr:row>
          <xdr:rowOff>69850</xdr:rowOff>
        </xdr:from>
        <xdr:to>
          <xdr:col>0</xdr:col>
          <xdr:colOff>438150</xdr:colOff>
          <xdr:row>43</xdr:row>
          <xdr:rowOff>127000</xdr:rowOff>
        </xdr:to>
        <xdr:sp macro="" textlink="">
          <xdr:nvSpPr>
            <xdr:cNvPr id="2057" name="Check Box 9" hidden="1">
              <a:extLst xmlns:a="http://schemas.openxmlformats.org/drawingml/2006/main">
                <a:ext uri="{63B3BB69-23CF-44E3-9099-C40C66FF867C}">
                  <a14:compatExt spid="_x0000_s2057"/>
                </a:ext>
                <a:ext uri="{FF2B5EF4-FFF2-40B4-BE49-F238E27FC236}">
                  <a16:creationId xmlns:a16="http://schemas.microsoft.com/office/drawing/2014/main" id="{00000000-0008-0000-0A00-000009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33</xdr:row>
          <xdr:rowOff>69850</xdr:rowOff>
        </xdr:from>
        <xdr:to>
          <xdr:col>0</xdr:col>
          <xdr:colOff>438150</xdr:colOff>
          <xdr:row>43</xdr:row>
          <xdr:rowOff>127000</xdr:rowOff>
        </xdr:to>
        <xdr:sp macro="" textlink="">
          <xdr:nvSpPr>
            <xdr:cNvPr id="2058" name="Check Box 10" hidden="1">
              <a:extLst xmlns:a="http://schemas.openxmlformats.org/drawingml/2006/main">
                <a:ext uri="{63B3BB69-23CF-44E3-9099-C40C66FF867C}">
                  <a14:compatExt spid="_x0000_s2058"/>
                </a:ext>
                <a:ext uri="{FF2B5EF4-FFF2-40B4-BE49-F238E27FC236}">
                  <a16:creationId xmlns:a16="http://schemas.microsoft.com/office/drawing/2014/main" id="{00000000-0008-0000-0A00-00000A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35</xdr:row>
          <xdr:rowOff>88900</xdr:rowOff>
        </xdr:from>
        <xdr:to>
          <xdr:col>0</xdr:col>
          <xdr:colOff>438150</xdr:colOff>
          <xdr:row>43</xdr:row>
          <xdr:rowOff>127000</xdr:rowOff>
        </xdr:to>
        <xdr:sp macro="" textlink="">
          <xdr:nvSpPr>
            <xdr:cNvPr id="2059" name="Check Box 11" hidden="1">
              <a:extLst xmlns:a="http://schemas.openxmlformats.org/drawingml/2006/main">
                <a:ext uri="{63B3BB69-23CF-44E3-9099-C40C66FF867C}">
                  <a14:compatExt spid="_x0000_s2059"/>
                </a:ext>
                <a:ext uri="{FF2B5EF4-FFF2-40B4-BE49-F238E27FC236}">
                  <a16:creationId xmlns:a16="http://schemas.microsoft.com/office/drawing/2014/main" id="{00000000-0008-0000-0A00-00000B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133350</xdr:colOff>
          <xdr:row>37</xdr:row>
          <xdr:rowOff>69850</xdr:rowOff>
        </xdr:from>
        <xdr:to>
          <xdr:col>0</xdr:col>
          <xdr:colOff>438150</xdr:colOff>
          <xdr:row>43</xdr:row>
          <xdr:rowOff>127000</xdr:rowOff>
        </xdr:to>
        <xdr:sp macro="" textlink="">
          <xdr:nvSpPr>
            <xdr:cNvPr id="2060" name="Check Box 12" hidden="1">
              <a:extLst xmlns:a="http://schemas.openxmlformats.org/drawingml/2006/main">
                <a:ext uri="{63B3BB69-23CF-44E3-9099-C40C66FF867C}">
                  <a14:compatExt spid="_x0000_s2060"/>
                </a:ext>
                <a:ext uri="{FF2B5EF4-FFF2-40B4-BE49-F238E27FC236}">
                  <a16:creationId xmlns:a16="http://schemas.microsoft.com/office/drawing/2014/main" id="{00000000-0008-0000-0A00-00000C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0</xdr:col>
      <xdr:colOff>857250</xdr:colOff>
      <xdr:row>0</xdr:row>
      <xdr:rowOff>828675</xdr:rowOff>
    </xdr:to>
    <xdr:pic>
      <xdr:nvPicPr>
        <xdr:cNvPr id="2" name="Kép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2875" y="114300"/>
          <a:ext cx="714375" cy="71437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238125</xdr:colOff>
      <xdr:row>0</xdr:row>
      <xdr:rowOff>152400</xdr:rowOff>
    </xdr:from>
    <xdr:to>
      <xdr:col>1</xdr:col>
      <xdr:colOff>238125</xdr:colOff>
      <xdr:row>0</xdr:row>
      <xdr:rowOff>876300</xdr:rowOff>
    </xdr:to>
    <xdr:cxnSp macro="">
      <xdr:nvCxnSpPr>
        <xdr:cNvPr id="3" name="Egyenes összekötő 2"/>
        <xdr:cNvCxnSpPr/>
      </xdr:nvCxnSpPr>
      <xdr:spPr>
        <a:xfrm>
          <a:off x="1104900" y="152400"/>
          <a:ext cx="0" cy="723900"/>
        </a:xfrm>
        <a:prstGeom prst="line">
          <a:avLst/>
        </a:prstGeom>
        <a:ln w="571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228600</xdr:colOff>
          <xdr:row>2</xdr:row>
          <xdr:rowOff>152400</xdr:rowOff>
        </xdr:from>
        <xdr:to>
          <xdr:col>1</xdr:col>
          <xdr:colOff>533400</xdr:colOff>
          <xdr:row>4</xdr:row>
          <xdr:rowOff>50800</xdr:rowOff>
        </xdr:to>
        <xdr:sp macro="" textlink="">
          <xdr:nvSpPr>
            <xdr:cNvPr id="3073" name="Check Box 1" hidden="1">
              <a:extLst xmlns:a="http://schemas.openxmlformats.org/drawingml/2006/main">
                <a:ext uri="{63B3BB69-23CF-44E3-9099-C40C66FF867C}">
                  <a14:compatExt spid="_x0000_s3073"/>
                </a:ext>
                <a:ext uri="{FF2B5EF4-FFF2-40B4-BE49-F238E27FC236}">
                  <a16:creationId xmlns:a16="http://schemas.microsoft.com/office/drawing/2014/main" id="{00000000-0008-0000-0B00-000001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228600</xdr:colOff>
          <xdr:row>59</xdr:row>
          <xdr:rowOff>412750</xdr:rowOff>
        </xdr:from>
        <xdr:to>
          <xdr:col>1</xdr:col>
          <xdr:colOff>533400</xdr:colOff>
          <xdr:row>61</xdr:row>
          <xdr:rowOff>50800</xdr:rowOff>
        </xdr:to>
        <xdr:sp macro="" textlink="">
          <xdr:nvSpPr>
            <xdr:cNvPr id="3074" name="Check Box 2" hidden="1">
              <a:extLst xmlns:a="http://schemas.openxmlformats.org/drawingml/2006/main">
                <a:ext uri="{63B3BB69-23CF-44E3-9099-C40C66FF867C}">
                  <a14:compatExt spid="_x0000_s3074"/>
                </a:ext>
                <a:ext uri="{FF2B5EF4-FFF2-40B4-BE49-F238E27FC236}">
                  <a16:creationId xmlns:a16="http://schemas.microsoft.com/office/drawing/2014/main" id="{00000000-0008-0000-0B00-000002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85725</xdr:rowOff>
    </xdr:from>
    <xdr:to>
      <xdr:col>1</xdr:col>
      <xdr:colOff>285750</xdr:colOff>
      <xdr:row>42</xdr:row>
      <xdr:rowOff>66675</xdr:rowOff>
    </xdr:to>
    <xdr:pic>
      <xdr:nvPicPr>
        <xdr:cNvPr id="2" name="Kép 1" hidde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5250" y="638175"/>
          <a:ext cx="714375" cy="71437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457200</xdr:colOff>
      <xdr:row>2</xdr:row>
      <xdr:rowOff>85725</xdr:rowOff>
    </xdr:from>
    <xdr:to>
      <xdr:col>1</xdr:col>
      <xdr:colOff>457200</xdr:colOff>
      <xdr:row>2</xdr:row>
      <xdr:rowOff>809625</xdr:rowOff>
    </xdr:to>
    <xdr:cxnSp macro="">
      <xdr:nvCxnSpPr>
        <xdr:cNvPr id="3" name="Egyenes összekötő 2" hidden="1"/>
        <xdr:cNvCxnSpPr/>
      </xdr:nvCxnSpPr>
      <xdr:spPr>
        <a:xfrm>
          <a:off x="981075" y="638175"/>
          <a:ext cx="0" cy="0"/>
        </a:xfrm>
        <a:prstGeom prst="line">
          <a:avLst/>
        </a:prstGeom>
        <a:ln w="571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222250</xdr:colOff>
          <xdr:row>7</xdr:row>
          <xdr:rowOff>133350</xdr:rowOff>
        </xdr:from>
        <xdr:to>
          <xdr:col>2</xdr:col>
          <xdr:colOff>146050</xdr:colOff>
          <xdr:row>39</xdr:row>
          <xdr:rowOff>57150</xdr:rowOff>
        </xdr:to>
        <xdr:sp macro="" textlink="">
          <xdr:nvSpPr>
            <xdr:cNvPr id="56321" name="Check Box 1" hidden="1">
              <a:extLst xmlns:a="http://schemas.openxmlformats.org/drawingml/2006/main">
                <a:ext uri="{63B3BB69-23CF-44E3-9099-C40C66FF867C}">
                  <a14:compatExt spid="_x0000_s56321"/>
                </a:ext>
                <a:ext uri="{FF2B5EF4-FFF2-40B4-BE49-F238E27FC236}">
                  <a16:creationId xmlns:a16="http://schemas.microsoft.com/office/drawing/2014/main" id="{00000000-0008-0000-0C00-000001D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222250</xdr:colOff>
          <xdr:row>10</xdr:row>
          <xdr:rowOff>88900</xdr:rowOff>
        </xdr:from>
        <xdr:to>
          <xdr:col>2</xdr:col>
          <xdr:colOff>146050</xdr:colOff>
          <xdr:row>39</xdr:row>
          <xdr:rowOff>57150</xdr:rowOff>
        </xdr:to>
        <xdr:sp macro="" textlink="">
          <xdr:nvSpPr>
            <xdr:cNvPr id="56322" name="Check Box 2" hidden="1">
              <a:extLst xmlns:a="http://schemas.openxmlformats.org/drawingml/2006/main">
                <a:ext uri="{63B3BB69-23CF-44E3-9099-C40C66FF867C}">
                  <a14:compatExt spid="_x0000_s56322"/>
                </a:ext>
                <a:ext uri="{FF2B5EF4-FFF2-40B4-BE49-F238E27FC236}">
                  <a16:creationId xmlns:a16="http://schemas.microsoft.com/office/drawing/2014/main" id="{00000000-0008-0000-0C00-000002D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222250</xdr:colOff>
          <xdr:row>16</xdr:row>
          <xdr:rowOff>146050</xdr:rowOff>
        </xdr:from>
        <xdr:to>
          <xdr:col>2</xdr:col>
          <xdr:colOff>146050</xdr:colOff>
          <xdr:row>39</xdr:row>
          <xdr:rowOff>69850</xdr:rowOff>
        </xdr:to>
        <xdr:sp macro="" textlink="">
          <xdr:nvSpPr>
            <xdr:cNvPr id="56324" name="Check Box 4" hidden="1">
              <a:extLst xmlns:a="http://schemas.openxmlformats.org/drawingml/2006/main">
                <a:ext uri="{63B3BB69-23CF-44E3-9099-C40C66FF867C}">
                  <a14:compatExt spid="_x0000_s56324"/>
                </a:ext>
                <a:ext uri="{FF2B5EF4-FFF2-40B4-BE49-F238E27FC236}">
                  <a16:creationId xmlns:a16="http://schemas.microsoft.com/office/drawing/2014/main" id="{00000000-0008-0000-0C00-000004D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222250</xdr:colOff>
          <xdr:row>19</xdr:row>
          <xdr:rowOff>152400</xdr:rowOff>
        </xdr:from>
        <xdr:to>
          <xdr:col>2</xdr:col>
          <xdr:colOff>57150</xdr:colOff>
          <xdr:row>39</xdr:row>
          <xdr:rowOff>88900</xdr:rowOff>
        </xdr:to>
        <xdr:sp macro="" textlink="">
          <xdr:nvSpPr>
            <xdr:cNvPr id="56325" name="Check Box 5" hidden="1">
              <a:extLst xmlns:a="http://schemas.openxmlformats.org/drawingml/2006/main">
                <a:ext uri="{63B3BB69-23CF-44E3-9099-C40C66FF867C}">
                  <a14:compatExt spid="_x0000_s56325"/>
                </a:ext>
                <a:ext uri="{FF2B5EF4-FFF2-40B4-BE49-F238E27FC236}">
                  <a16:creationId xmlns:a16="http://schemas.microsoft.com/office/drawing/2014/main" id="{00000000-0008-0000-0C00-000005D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222250</xdr:colOff>
          <xdr:row>22</xdr:row>
          <xdr:rowOff>146050</xdr:rowOff>
        </xdr:from>
        <xdr:to>
          <xdr:col>2</xdr:col>
          <xdr:colOff>146050</xdr:colOff>
          <xdr:row>39</xdr:row>
          <xdr:rowOff>69850</xdr:rowOff>
        </xdr:to>
        <xdr:sp macro="" textlink="">
          <xdr:nvSpPr>
            <xdr:cNvPr id="56327" name="Check Box 7" hidden="1">
              <a:extLst xmlns:a="http://schemas.openxmlformats.org/drawingml/2006/main">
                <a:ext uri="{63B3BB69-23CF-44E3-9099-C40C66FF867C}">
                  <a14:compatExt spid="_x0000_s56327"/>
                </a:ext>
                <a:ext uri="{FF2B5EF4-FFF2-40B4-BE49-F238E27FC236}">
                  <a16:creationId xmlns:a16="http://schemas.microsoft.com/office/drawing/2014/main" id="{00000000-0008-0000-0C00-000004D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222250</xdr:colOff>
          <xdr:row>25</xdr:row>
          <xdr:rowOff>146050</xdr:rowOff>
        </xdr:from>
        <xdr:to>
          <xdr:col>2</xdr:col>
          <xdr:colOff>146050</xdr:colOff>
          <xdr:row>39</xdr:row>
          <xdr:rowOff>69850</xdr:rowOff>
        </xdr:to>
        <xdr:sp macro="" textlink="">
          <xdr:nvSpPr>
            <xdr:cNvPr id="56328" name="Check Box 8" hidden="1">
              <a:extLst xmlns:a="http://schemas.openxmlformats.org/drawingml/2006/main">
                <a:ext uri="{63B3BB69-23CF-44E3-9099-C40C66FF867C}">
                  <a14:compatExt spid="_x0000_s56328"/>
                </a:ext>
                <a:ext uri="{FF2B5EF4-FFF2-40B4-BE49-F238E27FC236}">
                  <a16:creationId xmlns:a16="http://schemas.microsoft.com/office/drawing/2014/main" id="{00000000-0008-0000-0C00-000004D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222250</xdr:colOff>
          <xdr:row>28</xdr:row>
          <xdr:rowOff>146050</xdr:rowOff>
        </xdr:from>
        <xdr:to>
          <xdr:col>2</xdr:col>
          <xdr:colOff>146050</xdr:colOff>
          <xdr:row>39</xdr:row>
          <xdr:rowOff>69850</xdr:rowOff>
        </xdr:to>
        <xdr:sp macro="" textlink="">
          <xdr:nvSpPr>
            <xdr:cNvPr id="56329" name="Check Box 9" hidden="1">
              <a:extLst xmlns:a="http://schemas.openxmlformats.org/drawingml/2006/main">
                <a:ext uri="{63B3BB69-23CF-44E3-9099-C40C66FF867C}">
                  <a14:compatExt spid="_x0000_s56329"/>
                </a:ext>
                <a:ext uri="{FF2B5EF4-FFF2-40B4-BE49-F238E27FC236}">
                  <a16:creationId xmlns:a16="http://schemas.microsoft.com/office/drawing/2014/main" id="{00000000-0008-0000-0C00-000004D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uttner\AppData\Local\Temp\Temp1_2012-720-EU_Antragsunterlagen.zip\I&amp;I%20Maschinengeschirrsp&#252;lmittel-Kalkulationstabellen-V3_2012-720-EU_DID-Liste%2020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Dokumentumok\VILMA\EU\Tiszt&#237;t&#243;szeres%20seg&#233;dlet%20magyar&#237;t&#225;s\P&#225;ly&#225;zati_adatlap_calculation_gy&#225;rt&#243;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EN"/>
      <sheetName val="Anleitung-DE"/>
      <sheetName val="Formulation Pre-products"/>
      <sheetName val="Ingoing Substances"/>
      <sheetName val="Ingoing substances_DID"/>
      <sheetName val="Result 2a"/>
      <sheetName val="Results 1-2b-2g"/>
      <sheetName val="Results 1-2b-2g (multi-comp.)"/>
      <sheetName val="Packaging-4a"/>
      <sheetName val="DID List"/>
      <sheetName val="Historie"/>
      <sheetName val="Languages"/>
      <sheetName val="Auswahldaten"/>
    </sheetNames>
    <sheetDataSet>
      <sheetData sheetId="0"/>
      <sheetData sheetId="1"/>
      <sheetData sheetId="2">
        <row r="13">
          <cell r="A13">
            <v>1</v>
          </cell>
        </row>
        <row r="14">
          <cell r="A14">
            <v>2</v>
          </cell>
        </row>
        <row r="15">
          <cell r="A15">
            <v>3</v>
          </cell>
        </row>
        <row r="16">
          <cell r="A16">
            <v>4</v>
          </cell>
        </row>
        <row r="17">
          <cell r="A17">
            <v>5</v>
          </cell>
        </row>
        <row r="18">
          <cell r="A18">
            <v>6</v>
          </cell>
        </row>
        <row r="19">
          <cell r="A19">
            <v>7</v>
          </cell>
        </row>
        <row r="20">
          <cell r="A20">
            <v>8</v>
          </cell>
        </row>
        <row r="21">
          <cell r="A21">
            <v>9</v>
          </cell>
        </row>
        <row r="22">
          <cell r="A22">
            <v>10</v>
          </cell>
        </row>
        <row r="23">
          <cell r="A23">
            <v>11</v>
          </cell>
        </row>
        <row r="24">
          <cell r="A24">
            <v>12</v>
          </cell>
        </row>
        <row r="25">
          <cell r="A25">
            <v>13</v>
          </cell>
        </row>
        <row r="26">
          <cell r="A26">
            <v>14</v>
          </cell>
        </row>
        <row r="27">
          <cell r="A27">
            <v>15</v>
          </cell>
        </row>
        <row r="28">
          <cell r="A28">
            <v>16</v>
          </cell>
        </row>
        <row r="29">
          <cell r="A29">
            <v>17</v>
          </cell>
        </row>
        <row r="30">
          <cell r="A30">
            <v>18</v>
          </cell>
        </row>
        <row r="31">
          <cell r="A31">
            <v>19</v>
          </cell>
        </row>
        <row r="32">
          <cell r="A32">
            <v>20</v>
          </cell>
        </row>
        <row r="33">
          <cell r="A33">
            <v>21</v>
          </cell>
        </row>
        <row r="34">
          <cell r="A34">
            <v>22</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rmék"/>
      <sheetName val="Auswahldaten"/>
      <sheetName val="Alapanyagok"/>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2" Type="http://schemas.openxmlformats.org/officeDocument/2006/relationships/ctrlProp" Target="../ctrlProps/ctrlProp21.xml" /><Relationship Id="rId14" Type="http://schemas.openxmlformats.org/officeDocument/2006/relationships/ctrlProp" Target="../ctrlProps/ctrlProp23.xml" /><Relationship Id="rId6" Type="http://schemas.openxmlformats.org/officeDocument/2006/relationships/ctrlProp" Target="../ctrlProps/ctrlProp15.xml" /><Relationship Id="rId21" Type="http://schemas.openxmlformats.org/officeDocument/2006/relationships/ctrlProp" Target="../ctrlProps/ctrlProp30.xml" /><Relationship Id="rId16" Type="http://schemas.openxmlformats.org/officeDocument/2006/relationships/ctrlProp" Target="../ctrlProps/ctrlProp25.xml" /><Relationship Id="rId18" Type="http://schemas.openxmlformats.org/officeDocument/2006/relationships/ctrlProp" Target="../ctrlProps/ctrlProp27.xml" /><Relationship Id="rId22" Type="http://schemas.openxmlformats.org/officeDocument/2006/relationships/ctrlProp" Target="../ctrlProps/ctrlProp31.xml" /><Relationship Id="rId5" Type="http://schemas.openxmlformats.org/officeDocument/2006/relationships/ctrlProp" Target="../ctrlProps/ctrlProp14.xml" /><Relationship Id="rId4" Type="http://schemas.openxmlformats.org/officeDocument/2006/relationships/ctrlProp" Target="../ctrlProps/ctrlProp13.xml" /><Relationship Id="rId9" Type="http://schemas.openxmlformats.org/officeDocument/2006/relationships/ctrlProp" Target="../ctrlProps/ctrlProp18.xml" /><Relationship Id="rId13" Type="http://schemas.openxmlformats.org/officeDocument/2006/relationships/ctrlProp" Target="../ctrlProps/ctrlProp22.xml" /><Relationship Id="rId17" Type="http://schemas.openxmlformats.org/officeDocument/2006/relationships/ctrlProp" Target="../ctrlProps/ctrlProp26.xml" /><Relationship Id="rId15" Type="http://schemas.openxmlformats.org/officeDocument/2006/relationships/ctrlProp" Target="../ctrlProps/ctrlProp24.xml" /><Relationship Id="rId7" Type="http://schemas.openxmlformats.org/officeDocument/2006/relationships/ctrlProp" Target="../ctrlProps/ctrlProp16.xml" /><Relationship Id="rId19" Type="http://schemas.openxmlformats.org/officeDocument/2006/relationships/ctrlProp" Target="../ctrlProps/ctrlProp28.xml" /><Relationship Id="rId20" Type="http://schemas.openxmlformats.org/officeDocument/2006/relationships/ctrlProp" Target="../ctrlProps/ctrlProp29.xml" /><Relationship Id="rId11" Type="http://schemas.openxmlformats.org/officeDocument/2006/relationships/ctrlProp" Target="../ctrlProps/ctrlProp20.xml" /><Relationship Id="rId10" Type="http://schemas.openxmlformats.org/officeDocument/2006/relationships/ctrlProp" Target="../ctrlProps/ctrlProp19.xml" /><Relationship Id="rId8" Type="http://schemas.openxmlformats.org/officeDocument/2006/relationships/ctrlProp" Target="../ctrlProps/ctrlProp17.xml" /><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4" Type="http://schemas.openxmlformats.org/officeDocument/2006/relationships/ctrlProp" Target="../ctrlProps/ctrlProp32.xml" /><Relationship Id="rId5" Type="http://schemas.openxmlformats.org/officeDocument/2006/relationships/ctrlProp" Target="../ctrlProps/ctrlProp33.xml" /><Relationship Id="rId6" Type="http://schemas.openxmlformats.org/officeDocument/2006/relationships/ctrlProp" Target="../ctrlProps/ctrlProp34.xml" /><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9" Type="http://schemas.openxmlformats.org/officeDocument/2006/relationships/ctrlProp" Target="../ctrlProps/ctrlProp40.xml" /><Relationship Id="rId8" Type="http://schemas.openxmlformats.org/officeDocument/2006/relationships/ctrlProp" Target="../ctrlProps/ctrlProp39.xml" /><Relationship Id="rId5" Type="http://schemas.openxmlformats.org/officeDocument/2006/relationships/ctrlProp" Target="../ctrlProps/ctrlProp36.xml" /><Relationship Id="rId10" Type="http://schemas.openxmlformats.org/officeDocument/2006/relationships/ctrlProp" Target="../ctrlProps/ctrlProp41.xml" /><Relationship Id="rId4" Type="http://schemas.openxmlformats.org/officeDocument/2006/relationships/ctrlProp" Target="../ctrlProps/ctrlProp35.xml" /><Relationship Id="rId6" Type="http://schemas.openxmlformats.org/officeDocument/2006/relationships/ctrlProp" Target="../ctrlProps/ctrlProp37.xml" /><Relationship Id="rId7" Type="http://schemas.openxmlformats.org/officeDocument/2006/relationships/ctrlProp" Target="../ctrlProps/ctrlProp38.xml" /><Relationship Id="rId12" Type="http://schemas.openxmlformats.org/officeDocument/2006/relationships/ctrlProp" Target="../ctrlProps/ctrlProp43.xml" /><Relationship Id="rId11" Type="http://schemas.openxmlformats.org/officeDocument/2006/relationships/ctrlProp" Target="../ctrlProps/ctrlProp42.xml" /><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19" Type="http://schemas.openxmlformats.org/officeDocument/2006/relationships/ctrlProp" Target="../ctrlProps/ctrlProp159.xml" /><Relationship Id="rId22" Type="http://schemas.openxmlformats.org/officeDocument/2006/relationships/ctrlProp" Target="../ctrlProps/ctrlProp62.xml" /><Relationship Id="rId65" Type="http://schemas.openxmlformats.org/officeDocument/2006/relationships/ctrlProp" Target="../ctrlProps/ctrlProp105.xml" /><Relationship Id="rId140" Type="http://schemas.openxmlformats.org/officeDocument/2006/relationships/ctrlProp" Target="../ctrlProps/ctrlProp180.xml" /><Relationship Id="rId26" Type="http://schemas.openxmlformats.org/officeDocument/2006/relationships/ctrlProp" Target="../ctrlProps/ctrlProp66.xml" /><Relationship Id="rId117" Type="http://schemas.openxmlformats.org/officeDocument/2006/relationships/ctrlProp" Target="../ctrlProps/ctrlProp157.xml" /><Relationship Id="rId132" Type="http://schemas.openxmlformats.org/officeDocument/2006/relationships/ctrlProp" Target="../ctrlProps/ctrlProp172.xml" /><Relationship Id="rId73" Type="http://schemas.openxmlformats.org/officeDocument/2006/relationships/ctrlProp" Target="../ctrlProps/ctrlProp113.xml" /><Relationship Id="rId24" Type="http://schemas.openxmlformats.org/officeDocument/2006/relationships/ctrlProp" Target="../ctrlProps/ctrlProp64.xml" /><Relationship Id="rId82" Type="http://schemas.openxmlformats.org/officeDocument/2006/relationships/ctrlProp" Target="../ctrlProps/ctrlProp122.xml" /><Relationship Id="rId94" Type="http://schemas.openxmlformats.org/officeDocument/2006/relationships/ctrlProp" Target="../ctrlProps/ctrlProp134.xml" /><Relationship Id="rId81" Type="http://schemas.openxmlformats.org/officeDocument/2006/relationships/ctrlProp" Target="../ctrlProps/ctrlProp121.xml" /><Relationship Id="rId78" Type="http://schemas.openxmlformats.org/officeDocument/2006/relationships/ctrlProp" Target="../ctrlProps/ctrlProp118.xml" /><Relationship Id="rId79" Type="http://schemas.openxmlformats.org/officeDocument/2006/relationships/ctrlProp" Target="../ctrlProps/ctrlProp119.xml" /><Relationship Id="rId100" Type="http://schemas.openxmlformats.org/officeDocument/2006/relationships/ctrlProp" Target="../ctrlProps/ctrlProp140.xml" /><Relationship Id="rId38" Type="http://schemas.openxmlformats.org/officeDocument/2006/relationships/ctrlProp" Target="../ctrlProps/ctrlProp78.xml" /><Relationship Id="rId114" Type="http://schemas.openxmlformats.org/officeDocument/2006/relationships/ctrlProp" Target="../ctrlProps/ctrlProp154.xml" /><Relationship Id="rId54" Type="http://schemas.openxmlformats.org/officeDocument/2006/relationships/ctrlProp" Target="../ctrlProps/ctrlProp94.xml" /><Relationship Id="rId121" Type="http://schemas.openxmlformats.org/officeDocument/2006/relationships/ctrlProp" Target="../ctrlProps/ctrlProp161.xml" /><Relationship Id="rId46" Type="http://schemas.openxmlformats.org/officeDocument/2006/relationships/ctrlProp" Target="../ctrlProps/ctrlProp86.xml" /><Relationship Id="rId136" Type="http://schemas.openxmlformats.org/officeDocument/2006/relationships/ctrlProp" Target="../ctrlProps/ctrlProp176.xml" /><Relationship Id="rId91" Type="http://schemas.openxmlformats.org/officeDocument/2006/relationships/ctrlProp" Target="../ctrlProps/ctrlProp131.xml" /><Relationship Id="rId101" Type="http://schemas.openxmlformats.org/officeDocument/2006/relationships/ctrlProp" Target="../ctrlProps/ctrlProp141.xml" /><Relationship Id="rId110" Type="http://schemas.openxmlformats.org/officeDocument/2006/relationships/ctrlProp" Target="../ctrlProps/ctrlProp150.xml" /><Relationship Id="rId17" Type="http://schemas.openxmlformats.org/officeDocument/2006/relationships/ctrlProp" Target="../ctrlProps/ctrlProp57.xml" /><Relationship Id="rId75" Type="http://schemas.openxmlformats.org/officeDocument/2006/relationships/ctrlProp" Target="../ctrlProps/ctrlProp115.xml" /><Relationship Id="rId128" Type="http://schemas.openxmlformats.org/officeDocument/2006/relationships/ctrlProp" Target="../ctrlProps/ctrlProp168.xml" /><Relationship Id="rId8" Type="http://schemas.openxmlformats.org/officeDocument/2006/relationships/ctrlProp" Target="../ctrlProps/ctrlProp48.xml" /><Relationship Id="rId39" Type="http://schemas.openxmlformats.org/officeDocument/2006/relationships/ctrlProp" Target="../ctrlProps/ctrlProp79.xml" /><Relationship Id="rId44" Type="http://schemas.openxmlformats.org/officeDocument/2006/relationships/ctrlProp" Target="../ctrlProps/ctrlProp84.xml" /><Relationship Id="rId13" Type="http://schemas.openxmlformats.org/officeDocument/2006/relationships/ctrlProp" Target="../ctrlProps/ctrlProp53.xml" /><Relationship Id="rId138" Type="http://schemas.openxmlformats.org/officeDocument/2006/relationships/ctrlProp" Target="../ctrlProps/ctrlProp178.xml" /><Relationship Id="rId83" Type="http://schemas.openxmlformats.org/officeDocument/2006/relationships/ctrlProp" Target="../ctrlProps/ctrlProp123.xml" /><Relationship Id="rId122" Type="http://schemas.openxmlformats.org/officeDocument/2006/relationships/ctrlProp" Target="../ctrlProps/ctrlProp162.xml" /><Relationship Id="rId113" Type="http://schemas.openxmlformats.org/officeDocument/2006/relationships/ctrlProp" Target="../ctrlProps/ctrlProp153.xml" /><Relationship Id="rId118" Type="http://schemas.openxmlformats.org/officeDocument/2006/relationships/ctrlProp" Target="../ctrlProps/ctrlProp158.xml" /><Relationship Id="rId42" Type="http://schemas.openxmlformats.org/officeDocument/2006/relationships/ctrlProp" Target="../ctrlProps/ctrlProp82.xml" /><Relationship Id="rId45" Type="http://schemas.openxmlformats.org/officeDocument/2006/relationships/ctrlProp" Target="../ctrlProps/ctrlProp85.xml" /><Relationship Id="rId144" Type="http://schemas.openxmlformats.org/officeDocument/2006/relationships/ctrlProp" Target="../ctrlProps/ctrlProp184.xml" /><Relationship Id="rId145" Type="http://schemas.openxmlformats.org/officeDocument/2006/relationships/ctrlProp" Target="../ctrlProps/ctrlProp185.xml" /><Relationship Id="rId95" Type="http://schemas.openxmlformats.org/officeDocument/2006/relationships/ctrlProp" Target="../ctrlProps/ctrlProp135.xml" /><Relationship Id="rId134" Type="http://schemas.openxmlformats.org/officeDocument/2006/relationships/ctrlProp" Target="../ctrlProps/ctrlProp174.xml" /><Relationship Id="rId80" Type="http://schemas.openxmlformats.org/officeDocument/2006/relationships/ctrlProp" Target="../ctrlProps/ctrlProp120.xml" /><Relationship Id="rId32" Type="http://schemas.openxmlformats.org/officeDocument/2006/relationships/ctrlProp" Target="../ctrlProps/ctrlProp72.xml" /><Relationship Id="rId57" Type="http://schemas.openxmlformats.org/officeDocument/2006/relationships/ctrlProp" Target="../ctrlProps/ctrlProp97.xml" /><Relationship Id="rId133" Type="http://schemas.openxmlformats.org/officeDocument/2006/relationships/ctrlProp" Target="../ctrlProps/ctrlProp173.xml" /><Relationship Id="rId36" Type="http://schemas.openxmlformats.org/officeDocument/2006/relationships/ctrlProp" Target="../ctrlProps/ctrlProp76.xml" /><Relationship Id="rId7" Type="http://schemas.openxmlformats.org/officeDocument/2006/relationships/ctrlProp" Target="../ctrlProps/ctrlProp47.xml" /><Relationship Id="rId129" Type="http://schemas.openxmlformats.org/officeDocument/2006/relationships/ctrlProp" Target="../ctrlProps/ctrlProp169.xml" /><Relationship Id="rId146" Type="http://schemas.openxmlformats.org/officeDocument/2006/relationships/ctrlProp" Target="../ctrlProps/ctrlProp186.xml" /><Relationship Id="rId115" Type="http://schemas.openxmlformats.org/officeDocument/2006/relationships/ctrlProp" Target="../ctrlProps/ctrlProp155.xml" /><Relationship Id="rId66" Type="http://schemas.openxmlformats.org/officeDocument/2006/relationships/ctrlProp" Target="../ctrlProps/ctrlProp106.xml" /><Relationship Id="rId48" Type="http://schemas.openxmlformats.org/officeDocument/2006/relationships/ctrlProp" Target="../ctrlProps/ctrlProp88.xml" /><Relationship Id="rId16" Type="http://schemas.openxmlformats.org/officeDocument/2006/relationships/ctrlProp" Target="../ctrlProps/ctrlProp56.xml" /><Relationship Id="rId25" Type="http://schemas.openxmlformats.org/officeDocument/2006/relationships/ctrlProp" Target="../ctrlProps/ctrlProp65.xml" /><Relationship Id="rId105" Type="http://schemas.openxmlformats.org/officeDocument/2006/relationships/ctrlProp" Target="../ctrlProps/ctrlProp145.xml" /><Relationship Id="rId9" Type="http://schemas.openxmlformats.org/officeDocument/2006/relationships/ctrlProp" Target="../ctrlProps/ctrlProp49.xml" /><Relationship Id="rId71" Type="http://schemas.openxmlformats.org/officeDocument/2006/relationships/ctrlProp" Target="../ctrlProps/ctrlProp111.xml" /><Relationship Id="rId62" Type="http://schemas.openxmlformats.org/officeDocument/2006/relationships/ctrlProp" Target="../ctrlProps/ctrlProp102.xml" /><Relationship Id="rId68" Type="http://schemas.openxmlformats.org/officeDocument/2006/relationships/ctrlProp" Target="../ctrlProps/ctrlProp108.xml" /><Relationship Id="rId76" Type="http://schemas.openxmlformats.org/officeDocument/2006/relationships/ctrlProp" Target="../ctrlProps/ctrlProp116.xml" /><Relationship Id="rId27" Type="http://schemas.openxmlformats.org/officeDocument/2006/relationships/ctrlProp" Target="../ctrlProps/ctrlProp67.xml" /><Relationship Id="rId6" Type="http://schemas.openxmlformats.org/officeDocument/2006/relationships/ctrlProp" Target="../ctrlProps/ctrlProp46.xml" /><Relationship Id="rId89" Type="http://schemas.openxmlformats.org/officeDocument/2006/relationships/ctrlProp" Target="../ctrlProps/ctrlProp129.xml" /><Relationship Id="rId56" Type="http://schemas.openxmlformats.org/officeDocument/2006/relationships/ctrlProp" Target="../ctrlProps/ctrlProp96.xml" /><Relationship Id="rId23" Type="http://schemas.openxmlformats.org/officeDocument/2006/relationships/ctrlProp" Target="../ctrlProps/ctrlProp63.xml" /><Relationship Id="rId4" Type="http://schemas.openxmlformats.org/officeDocument/2006/relationships/ctrlProp" Target="../ctrlProps/ctrlProp44.xml" /><Relationship Id="rId107" Type="http://schemas.openxmlformats.org/officeDocument/2006/relationships/ctrlProp" Target="../ctrlProps/ctrlProp147.xml" /><Relationship Id="rId53" Type="http://schemas.openxmlformats.org/officeDocument/2006/relationships/ctrlProp" Target="../ctrlProps/ctrlProp93.xml" /><Relationship Id="rId103" Type="http://schemas.openxmlformats.org/officeDocument/2006/relationships/ctrlProp" Target="../ctrlProps/ctrlProp143.xml" /><Relationship Id="rId147" Type="http://schemas.openxmlformats.org/officeDocument/2006/relationships/ctrlProp" Target="../ctrlProps/ctrlProp187.xml" /><Relationship Id="rId41" Type="http://schemas.openxmlformats.org/officeDocument/2006/relationships/ctrlProp" Target="../ctrlProps/ctrlProp81.xml" /><Relationship Id="rId124" Type="http://schemas.openxmlformats.org/officeDocument/2006/relationships/ctrlProp" Target="../ctrlProps/ctrlProp164.xml" /><Relationship Id="rId77" Type="http://schemas.openxmlformats.org/officeDocument/2006/relationships/ctrlProp" Target="../ctrlProps/ctrlProp117.xml" /><Relationship Id="rId111" Type="http://schemas.openxmlformats.org/officeDocument/2006/relationships/ctrlProp" Target="../ctrlProps/ctrlProp151.xml" /><Relationship Id="rId70" Type="http://schemas.openxmlformats.org/officeDocument/2006/relationships/ctrlProp" Target="../ctrlProps/ctrlProp110.xml" /><Relationship Id="rId64" Type="http://schemas.openxmlformats.org/officeDocument/2006/relationships/ctrlProp" Target="../ctrlProps/ctrlProp104.xml" /><Relationship Id="rId29" Type="http://schemas.openxmlformats.org/officeDocument/2006/relationships/ctrlProp" Target="../ctrlProps/ctrlProp69.xml" /><Relationship Id="rId15" Type="http://schemas.openxmlformats.org/officeDocument/2006/relationships/ctrlProp" Target="../ctrlProps/ctrlProp55.xml" /><Relationship Id="rId97" Type="http://schemas.openxmlformats.org/officeDocument/2006/relationships/ctrlProp" Target="../ctrlProps/ctrlProp137.xml" /><Relationship Id="rId72" Type="http://schemas.openxmlformats.org/officeDocument/2006/relationships/ctrlProp" Target="../ctrlProps/ctrlProp112.xml" /><Relationship Id="rId112" Type="http://schemas.openxmlformats.org/officeDocument/2006/relationships/ctrlProp" Target="../ctrlProps/ctrlProp152.xml" /><Relationship Id="rId51" Type="http://schemas.openxmlformats.org/officeDocument/2006/relationships/ctrlProp" Target="../ctrlProps/ctrlProp91.xml" /><Relationship Id="rId37" Type="http://schemas.openxmlformats.org/officeDocument/2006/relationships/ctrlProp" Target="../ctrlProps/ctrlProp77.xml" /><Relationship Id="rId116" Type="http://schemas.openxmlformats.org/officeDocument/2006/relationships/ctrlProp" Target="../ctrlProps/ctrlProp156.xml" /><Relationship Id="rId98" Type="http://schemas.openxmlformats.org/officeDocument/2006/relationships/ctrlProp" Target="../ctrlProps/ctrlProp138.xml" /><Relationship Id="rId34" Type="http://schemas.openxmlformats.org/officeDocument/2006/relationships/ctrlProp" Target="../ctrlProps/ctrlProp74.xml" /><Relationship Id="rId139" Type="http://schemas.openxmlformats.org/officeDocument/2006/relationships/ctrlProp" Target="../ctrlProps/ctrlProp179.xml" /><Relationship Id="rId120" Type="http://schemas.openxmlformats.org/officeDocument/2006/relationships/ctrlProp" Target="../ctrlProps/ctrlProp160.xml" /><Relationship Id="rId61" Type="http://schemas.openxmlformats.org/officeDocument/2006/relationships/ctrlProp" Target="../ctrlProps/ctrlProp101.xml" /><Relationship Id="rId109" Type="http://schemas.openxmlformats.org/officeDocument/2006/relationships/ctrlProp" Target="../ctrlProps/ctrlProp149.xml" /><Relationship Id="rId40" Type="http://schemas.openxmlformats.org/officeDocument/2006/relationships/ctrlProp" Target="../ctrlProps/ctrlProp80.xml" /><Relationship Id="rId50" Type="http://schemas.openxmlformats.org/officeDocument/2006/relationships/ctrlProp" Target="../ctrlProps/ctrlProp90.xml" /><Relationship Id="rId125" Type="http://schemas.openxmlformats.org/officeDocument/2006/relationships/ctrlProp" Target="../ctrlProps/ctrlProp165.xml" /><Relationship Id="rId43" Type="http://schemas.openxmlformats.org/officeDocument/2006/relationships/ctrlProp" Target="../ctrlProps/ctrlProp83.xml" /><Relationship Id="rId5" Type="http://schemas.openxmlformats.org/officeDocument/2006/relationships/ctrlProp" Target="../ctrlProps/ctrlProp45.xml" /><Relationship Id="rId96" Type="http://schemas.openxmlformats.org/officeDocument/2006/relationships/ctrlProp" Target="../ctrlProps/ctrlProp136.xml" /><Relationship Id="rId67" Type="http://schemas.openxmlformats.org/officeDocument/2006/relationships/ctrlProp" Target="../ctrlProps/ctrlProp107.xml" /><Relationship Id="rId58" Type="http://schemas.openxmlformats.org/officeDocument/2006/relationships/ctrlProp" Target="../ctrlProps/ctrlProp98.xml" /><Relationship Id="rId137" Type="http://schemas.openxmlformats.org/officeDocument/2006/relationships/ctrlProp" Target="../ctrlProps/ctrlProp177.xml" /><Relationship Id="rId151" Type="http://schemas.openxmlformats.org/officeDocument/2006/relationships/ctrlProp" Target="../ctrlProps/ctrlProp191.xml" /><Relationship Id="rId20" Type="http://schemas.openxmlformats.org/officeDocument/2006/relationships/ctrlProp" Target="../ctrlProps/ctrlProp60.xml" /><Relationship Id="rId150" Type="http://schemas.openxmlformats.org/officeDocument/2006/relationships/ctrlProp" Target="../ctrlProps/ctrlProp190.xml" /><Relationship Id="rId11" Type="http://schemas.openxmlformats.org/officeDocument/2006/relationships/ctrlProp" Target="../ctrlProps/ctrlProp51.xml" /><Relationship Id="rId52" Type="http://schemas.openxmlformats.org/officeDocument/2006/relationships/ctrlProp" Target="../ctrlProps/ctrlProp92.xml" /><Relationship Id="rId127" Type="http://schemas.openxmlformats.org/officeDocument/2006/relationships/ctrlProp" Target="../ctrlProps/ctrlProp167.xml" /><Relationship Id="rId131" Type="http://schemas.openxmlformats.org/officeDocument/2006/relationships/ctrlProp" Target="../ctrlProps/ctrlProp171.xml" /><Relationship Id="rId142" Type="http://schemas.openxmlformats.org/officeDocument/2006/relationships/ctrlProp" Target="../ctrlProps/ctrlProp182.xml" /><Relationship Id="rId135" Type="http://schemas.openxmlformats.org/officeDocument/2006/relationships/ctrlProp" Target="../ctrlProps/ctrlProp175.xml" /><Relationship Id="rId153" Type="http://schemas.openxmlformats.org/officeDocument/2006/relationships/ctrlProp" Target="../ctrlProps/ctrlProp193.xml" /><Relationship Id="rId87" Type="http://schemas.openxmlformats.org/officeDocument/2006/relationships/ctrlProp" Target="../ctrlProps/ctrlProp127.xml" /><Relationship Id="rId143" Type="http://schemas.openxmlformats.org/officeDocument/2006/relationships/ctrlProp" Target="../ctrlProps/ctrlProp183.xml" /><Relationship Id="rId123" Type="http://schemas.openxmlformats.org/officeDocument/2006/relationships/ctrlProp" Target="../ctrlProps/ctrlProp163.xml" /><Relationship Id="rId92" Type="http://schemas.openxmlformats.org/officeDocument/2006/relationships/ctrlProp" Target="../ctrlProps/ctrlProp132.xml" /><Relationship Id="rId88" Type="http://schemas.openxmlformats.org/officeDocument/2006/relationships/ctrlProp" Target="../ctrlProps/ctrlProp128.xml" /><Relationship Id="rId93" Type="http://schemas.openxmlformats.org/officeDocument/2006/relationships/ctrlProp" Target="../ctrlProps/ctrlProp133.xml" /><Relationship Id="rId102" Type="http://schemas.openxmlformats.org/officeDocument/2006/relationships/ctrlProp" Target="../ctrlProps/ctrlProp142.xml" /><Relationship Id="rId104" Type="http://schemas.openxmlformats.org/officeDocument/2006/relationships/ctrlProp" Target="../ctrlProps/ctrlProp144.xml" /><Relationship Id="rId59" Type="http://schemas.openxmlformats.org/officeDocument/2006/relationships/ctrlProp" Target="../ctrlProps/ctrlProp99.xml" /><Relationship Id="rId130" Type="http://schemas.openxmlformats.org/officeDocument/2006/relationships/ctrlProp" Target="../ctrlProps/ctrlProp170.xml" /><Relationship Id="rId28" Type="http://schemas.openxmlformats.org/officeDocument/2006/relationships/ctrlProp" Target="../ctrlProps/ctrlProp68.xml" /><Relationship Id="rId47" Type="http://schemas.openxmlformats.org/officeDocument/2006/relationships/ctrlProp" Target="../ctrlProps/ctrlProp87.xml" /><Relationship Id="rId49" Type="http://schemas.openxmlformats.org/officeDocument/2006/relationships/ctrlProp" Target="../ctrlProps/ctrlProp89.xml" /><Relationship Id="rId108" Type="http://schemas.openxmlformats.org/officeDocument/2006/relationships/ctrlProp" Target="../ctrlProps/ctrlProp148.xml" /><Relationship Id="rId86" Type="http://schemas.openxmlformats.org/officeDocument/2006/relationships/ctrlProp" Target="../ctrlProps/ctrlProp126.xml" /><Relationship Id="rId148" Type="http://schemas.openxmlformats.org/officeDocument/2006/relationships/ctrlProp" Target="../ctrlProps/ctrlProp188.xml" /><Relationship Id="rId18" Type="http://schemas.openxmlformats.org/officeDocument/2006/relationships/ctrlProp" Target="../ctrlProps/ctrlProp58.xml" /><Relationship Id="rId35" Type="http://schemas.openxmlformats.org/officeDocument/2006/relationships/ctrlProp" Target="../ctrlProps/ctrlProp75.xml" /><Relationship Id="rId21" Type="http://schemas.openxmlformats.org/officeDocument/2006/relationships/ctrlProp" Target="../ctrlProps/ctrlProp61.xml" /><Relationship Id="rId149" Type="http://schemas.openxmlformats.org/officeDocument/2006/relationships/ctrlProp" Target="../ctrlProps/ctrlProp189.xml" /><Relationship Id="rId63" Type="http://schemas.openxmlformats.org/officeDocument/2006/relationships/ctrlProp" Target="../ctrlProps/ctrlProp103.xml" /><Relationship Id="rId90" Type="http://schemas.openxmlformats.org/officeDocument/2006/relationships/ctrlProp" Target="../ctrlProps/ctrlProp130.xml" /><Relationship Id="rId74" Type="http://schemas.openxmlformats.org/officeDocument/2006/relationships/ctrlProp" Target="../ctrlProps/ctrlProp114.xml" /><Relationship Id="rId84" Type="http://schemas.openxmlformats.org/officeDocument/2006/relationships/ctrlProp" Target="../ctrlProps/ctrlProp124.xml" /><Relationship Id="rId60" Type="http://schemas.openxmlformats.org/officeDocument/2006/relationships/ctrlProp" Target="../ctrlProps/ctrlProp100.xml" /><Relationship Id="rId12" Type="http://schemas.openxmlformats.org/officeDocument/2006/relationships/ctrlProp" Target="../ctrlProps/ctrlProp52.xml" /><Relationship Id="rId14" Type="http://schemas.openxmlformats.org/officeDocument/2006/relationships/ctrlProp" Target="../ctrlProps/ctrlProp54.xml" /><Relationship Id="rId55" Type="http://schemas.openxmlformats.org/officeDocument/2006/relationships/ctrlProp" Target="../ctrlProps/ctrlProp95.xml" /><Relationship Id="rId126" Type="http://schemas.openxmlformats.org/officeDocument/2006/relationships/ctrlProp" Target="../ctrlProps/ctrlProp166.xml" /><Relationship Id="rId31" Type="http://schemas.openxmlformats.org/officeDocument/2006/relationships/ctrlProp" Target="../ctrlProps/ctrlProp71.xml" /><Relationship Id="rId99" Type="http://schemas.openxmlformats.org/officeDocument/2006/relationships/ctrlProp" Target="../ctrlProps/ctrlProp139.xml" /><Relationship Id="rId69" Type="http://schemas.openxmlformats.org/officeDocument/2006/relationships/ctrlProp" Target="../ctrlProps/ctrlProp109.xml" /><Relationship Id="rId33" Type="http://schemas.openxmlformats.org/officeDocument/2006/relationships/ctrlProp" Target="../ctrlProps/ctrlProp73.xml" /><Relationship Id="rId106" Type="http://schemas.openxmlformats.org/officeDocument/2006/relationships/ctrlProp" Target="../ctrlProps/ctrlProp146.xml" /><Relationship Id="rId19" Type="http://schemas.openxmlformats.org/officeDocument/2006/relationships/ctrlProp" Target="../ctrlProps/ctrlProp59.xml" /><Relationship Id="rId152" Type="http://schemas.openxmlformats.org/officeDocument/2006/relationships/ctrlProp" Target="../ctrlProps/ctrlProp192.xml" /><Relationship Id="rId141" Type="http://schemas.openxmlformats.org/officeDocument/2006/relationships/ctrlProp" Target="../ctrlProps/ctrlProp181.xml" /><Relationship Id="rId85" Type="http://schemas.openxmlformats.org/officeDocument/2006/relationships/ctrlProp" Target="../ctrlProps/ctrlProp125.xml" /><Relationship Id="rId30" Type="http://schemas.openxmlformats.org/officeDocument/2006/relationships/ctrlProp" Target="../ctrlProps/ctrlProp70.xml" /><Relationship Id="rId10" Type="http://schemas.openxmlformats.org/officeDocument/2006/relationships/ctrlProp" Target="../ctrlProps/ctrlProp50.xml" /><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66" Type="http://schemas.openxmlformats.org/officeDocument/2006/relationships/ctrlProp" Target="../ctrlProps/ctrlProp356.xml" /><Relationship Id="rId119" Type="http://schemas.openxmlformats.org/officeDocument/2006/relationships/ctrlProp" Target="../ctrlProps/ctrlProp309.xml" /><Relationship Id="rId22" Type="http://schemas.openxmlformats.org/officeDocument/2006/relationships/ctrlProp" Target="../ctrlProps/ctrlProp212.xml" /><Relationship Id="rId164" Type="http://schemas.openxmlformats.org/officeDocument/2006/relationships/ctrlProp" Target="../ctrlProps/ctrlProp354.xml" /><Relationship Id="rId65" Type="http://schemas.openxmlformats.org/officeDocument/2006/relationships/ctrlProp" Target="../ctrlProps/ctrlProp255.xml" /><Relationship Id="rId140" Type="http://schemas.openxmlformats.org/officeDocument/2006/relationships/ctrlProp" Target="../ctrlProps/ctrlProp330.xml" /><Relationship Id="rId26" Type="http://schemas.openxmlformats.org/officeDocument/2006/relationships/ctrlProp" Target="../ctrlProps/ctrlProp216.xml" /><Relationship Id="rId158" Type="http://schemas.openxmlformats.org/officeDocument/2006/relationships/ctrlProp" Target="../ctrlProps/ctrlProp348.xml" /><Relationship Id="rId132" Type="http://schemas.openxmlformats.org/officeDocument/2006/relationships/ctrlProp" Target="../ctrlProps/ctrlProp322.xml" /><Relationship Id="rId5" Type="http://schemas.openxmlformats.org/officeDocument/2006/relationships/ctrlProp" Target="../ctrlProps/ctrlProp195.xml" /><Relationship Id="rId73" Type="http://schemas.openxmlformats.org/officeDocument/2006/relationships/ctrlProp" Target="../ctrlProps/ctrlProp263.xml" /><Relationship Id="rId178" Type="http://schemas.openxmlformats.org/officeDocument/2006/relationships/ctrlProp" Target="../ctrlProps/ctrlProp368.xml" /><Relationship Id="rId24" Type="http://schemas.openxmlformats.org/officeDocument/2006/relationships/ctrlProp" Target="../ctrlProps/ctrlProp214.xml" /><Relationship Id="rId94" Type="http://schemas.openxmlformats.org/officeDocument/2006/relationships/ctrlProp" Target="../ctrlProps/ctrlProp284.xml" /><Relationship Id="rId81" Type="http://schemas.openxmlformats.org/officeDocument/2006/relationships/ctrlProp" Target="../ctrlProps/ctrlProp271.xml" /><Relationship Id="rId78" Type="http://schemas.openxmlformats.org/officeDocument/2006/relationships/ctrlProp" Target="../ctrlProps/ctrlProp268.xml" /><Relationship Id="rId174" Type="http://schemas.openxmlformats.org/officeDocument/2006/relationships/ctrlProp" Target="../ctrlProps/ctrlProp364.xml" /><Relationship Id="rId79" Type="http://schemas.openxmlformats.org/officeDocument/2006/relationships/ctrlProp" Target="../ctrlProps/ctrlProp269.xml" /><Relationship Id="rId100" Type="http://schemas.openxmlformats.org/officeDocument/2006/relationships/ctrlProp" Target="../ctrlProps/ctrlProp290.xml" /><Relationship Id="rId38" Type="http://schemas.openxmlformats.org/officeDocument/2006/relationships/ctrlProp" Target="../ctrlProps/ctrlProp228.xml" /><Relationship Id="rId68" Type="http://schemas.openxmlformats.org/officeDocument/2006/relationships/ctrlProp" Target="../ctrlProps/ctrlProp258.xml" /><Relationship Id="rId114" Type="http://schemas.openxmlformats.org/officeDocument/2006/relationships/ctrlProp" Target="../ctrlProps/ctrlProp304.xml" /><Relationship Id="rId54" Type="http://schemas.openxmlformats.org/officeDocument/2006/relationships/ctrlProp" Target="../ctrlProps/ctrlProp244.xml" /><Relationship Id="rId121" Type="http://schemas.openxmlformats.org/officeDocument/2006/relationships/ctrlProp" Target="../ctrlProps/ctrlProp311.xml" /><Relationship Id="rId46" Type="http://schemas.openxmlformats.org/officeDocument/2006/relationships/ctrlProp" Target="../ctrlProps/ctrlProp236.xml" /><Relationship Id="rId136" Type="http://schemas.openxmlformats.org/officeDocument/2006/relationships/ctrlProp" Target="../ctrlProps/ctrlProp326.xml" /><Relationship Id="rId162" Type="http://schemas.openxmlformats.org/officeDocument/2006/relationships/ctrlProp" Target="../ctrlProps/ctrlProp352.xml" /><Relationship Id="rId9" Type="http://schemas.openxmlformats.org/officeDocument/2006/relationships/ctrlProp" Target="../ctrlProps/ctrlProp199.xml" /><Relationship Id="rId101" Type="http://schemas.openxmlformats.org/officeDocument/2006/relationships/ctrlProp" Target="../ctrlProps/ctrlProp291.xml" /><Relationship Id="rId110" Type="http://schemas.openxmlformats.org/officeDocument/2006/relationships/ctrlProp" Target="../ctrlProps/ctrlProp300.xml" /><Relationship Id="rId17" Type="http://schemas.openxmlformats.org/officeDocument/2006/relationships/ctrlProp" Target="../ctrlProps/ctrlProp207.xml" /><Relationship Id="rId75" Type="http://schemas.openxmlformats.org/officeDocument/2006/relationships/ctrlProp" Target="../ctrlProps/ctrlProp265.xml" /><Relationship Id="rId128" Type="http://schemas.openxmlformats.org/officeDocument/2006/relationships/ctrlProp" Target="../ctrlProps/ctrlProp318.xml" /><Relationship Id="rId8" Type="http://schemas.openxmlformats.org/officeDocument/2006/relationships/ctrlProp" Target="../ctrlProps/ctrlProp198.xml" /><Relationship Id="rId39" Type="http://schemas.openxmlformats.org/officeDocument/2006/relationships/ctrlProp" Target="../ctrlProps/ctrlProp229.xml" /><Relationship Id="rId44" Type="http://schemas.openxmlformats.org/officeDocument/2006/relationships/ctrlProp" Target="../ctrlProps/ctrlProp234.xml" /><Relationship Id="rId172" Type="http://schemas.openxmlformats.org/officeDocument/2006/relationships/ctrlProp" Target="../ctrlProps/ctrlProp362.xml" /><Relationship Id="rId13" Type="http://schemas.openxmlformats.org/officeDocument/2006/relationships/ctrlProp" Target="../ctrlProps/ctrlProp203.xml" /><Relationship Id="rId138" Type="http://schemas.openxmlformats.org/officeDocument/2006/relationships/ctrlProp" Target="../ctrlProps/ctrlProp328.xml" /><Relationship Id="rId83" Type="http://schemas.openxmlformats.org/officeDocument/2006/relationships/ctrlProp" Target="../ctrlProps/ctrlProp273.xml" /><Relationship Id="rId122" Type="http://schemas.openxmlformats.org/officeDocument/2006/relationships/ctrlProp" Target="../ctrlProps/ctrlProp312.xml" /><Relationship Id="rId82" Type="http://schemas.openxmlformats.org/officeDocument/2006/relationships/ctrlProp" Target="../ctrlProps/ctrlProp272.xml" /><Relationship Id="rId113" Type="http://schemas.openxmlformats.org/officeDocument/2006/relationships/ctrlProp" Target="../ctrlProps/ctrlProp303.xml" /><Relationship Id="rId118" Type="http://schemas.openxmlformats.org/officeDocument/2006/relationships/ctrlProp" Target="../ctrlProps/ctrlProp308.xml" /><Relationship Id="rId42" Type="http://schemas.openxmlformats.org/officeDocument/2006/relationships/ctrlProp" Target="../ctrlProps/ctrlProp232.xml" /><Relationship Id="rId45" Type="http://schemas.openxmlformats.org/officeDocument/2006/relationships/ctrlProp" Target="../ctrlProps/ctrlProp235.xml" /><Relationship Id="rId144" Type="http://schemas.openxmlformats.org/officeDocument/2006/relationships/ctrlProp" Target="../ctrlProps/ctrlProp334.xml" /><Relationship Id="rId173" Type="http://schemas.openxmlformats.org/officeDocument/2006/relationships/ctrlProp" Target="../ctrlProps/ctrlProp363.xml" /><Relationship Id="rId145" Type="http://schemas.openxmlformats.org/officeDocument/2006/relationships/ctrlProp" Target="../ctrlProps/ctrlProp335.xml" /><Relationship Id="rId95" Type="http://schemas.openxmlformats.org/officeDocument/2006/relationships/ctrlProp" Target="../ctrlProps/ctrlProp285.xml" /><Relationship Id="rId134" Type="http://schemas.openxmlformats.org/officeDocument/2006/relationships/ctrlProp" Target="../ctrlProps/ctrlProp324.xml" /><Relationship Id="rId157" Type="http://schemas.openxmlformats.org/officeDocument/2006/relationships/ctrlProp" Target="../ctrlProps/ctrlProp347.xml" /><Relationship Id="rId80" Type="http://schemas.openxmlformats.org/officeDocument/2006/relationships/ctrlProp" Target="../ctrlProps/ctrlProp270.xml" /><Relationship Id="rId32" Type="http://schemas.openxmlformats.org/officeDocument/2006/relationships/ctrlProp" Target="../ctrlProps/ctrlProp222.xml" /><Relationship Id="rId57" Type="http://schemas.openxmlformats.org/officeDocument/2006/relationships/ctrlProp" Target="../ctrlProps/ctrlProp247.xml" /><Relationship Id="rId133" Type="http://schemas.openxmlformats.org/officeDocument/2006/relationships/ctrlProp" Target="../ctrlProps/ctrlProp323.xml" /><Relationship Id="rId36" Type="http://schemas.openxmlformats.org/officeDocument/2006/relationships/ctrlProp" Target="../ctrlProps/ctrlProp226.xml" /><Relationship Id="rId7" Type="http://schemas.openxmlformats.org/officeDocument/2006/relationships/ctrlProp" Target="../ctrlProps/ctrlProp197.xml" /><Relationship Id="rId176" Type="http://schemas.openxmlformats.org/officeDocument/2006/relationships/ctrlProp" Target="../ctrlProps/ctrlProp366.xml" /><Relationship Id="rId129" Type="http://schemas.openxmlformats.org/officeDocument/2006/relationships/ctrlProp" Target="../ctrlProps/ctrlProp319.xml" /><Relationship Id="rId146" Type="http://schemas.openxmlformats.org/officeDocument/2006/relationships/ctrlProp" Target="../ctrlProps/ctrlProp336.xml" /><Relationship Id="rId115" Type="http://schemas.openxmlformats.org/officeDocument/2006/relationships/ctrlProp" Target="../ctrlProps/ctrlProp305.xml" /><Relationship Id="rId66" Type="http://schemas.openxmlformats.org/officeDocument/2006/relationships/ctrlProp" Target="../ctrlProps/ctrlProp256.xml" /><Relationship Id="rId48" Type="http://schemas.openxmlformats.org/officeDocument/2006/relationships/ctrlProp" Target="../ctrlProps/ctrlProp238.xml" /><Relationship Id="rId16" Type="http://schemas.openxmlformats.org/officeDocument/2006/relationships/ctrlProp" Target="../ctrlProps/ctrlProp206.xml" /><Relationship Id="rId171" Type="http://schemas.openxmlformats.org/officeDocument/2006/relationships/ctrlProp" Target="../ctrlProps/ctrlProp361.xml" /><Relationship Id="rId25" Type="http://schemas.openxmlformats.org/officeDocument/2006/relationships/ctrlProp" Target="../ctrlProps/ctrlProp215.xml" /><Relationship Id="rId105" Type="http://schemas.openxmlformats.org/officeDocument/2006/relationships/ctrlProp" Target="../ctrlProps/ctrlProp295.xml" /><Relationship Id="rId156" Type="http://schemas.openxmlformats.org/officeDocument/2006/relationships/ctrlProp" Target="../ctrlProps/ctrlProp346.xml" /><Relationship Id="rId87" Type="http://schemas.openxmlformats.org/officeDocument/2006/relationships/ctrlProp" Target="../ctrlProps/ctrlProp277.xml" /><Relationship Id="rId179" Type="http://schemas.openxmlformats.org/officeDocument/2006/relationships/ctrlProp" Target="../ctrlProps/ctrlProp369.xml" /><Relationship Id="rId71" Type="http://schemas.openxmlformats.org/officeDocument/2006/relationships/ctrlProp" Target="../ctrlProps/ctrlProp261.xml" /><Relationship Id="rId62" Type="http://schemas.openxmlformats.org/officeDocument/2006/relationships/ctrlProp" Target="../ctrlProps/ctrlProp252.xml" /><Relationship Id="rId92" Type="http://schemas.openxmlformats.org/officeDocument/2006/relationships/ctrlProp" Target="../ctrlProps/ctrlProp282.xml" /><Relationship Id="rId76" Type="http://schemas.openxmlformats.org/officeDocument/2006/relationships/ctrlProp" Target="../ctrlProps/ctrlProp266.xml" /><Relationship Id="rId27" Type="http://schemas.openxmlformats.org/officeDocument/2006/relationships/ctrlProp" Target="../ctrlProps/ctrlProp217.xml" /><Relationship Id="rId170" Type="http://schemas.openxmlformats.org/officeDocument/2006/relationships/ctrlProp" Target="../ctrlProps/ctrlProp360.xml" /><Relationship Id="rId6" Type="http://schemas.openxmlformats.org/officeDocument/2006/relationships/ctrlProp" Target="../ctrlProps/ctrlProp196.xml" /><Relationship Id="rId89" Type="http://schemas.openxmlformats.org/officeDocument/2006/relationships/ctrlProp" Target="../ctrlProps/ctrlProp279.xml" /><Relationship Id="rId165" Type="http://schemas.openxmlformats.org/officeDocument/2006/relationships/ctrlProp" Target="../ctrlProps/ctrlProp355.xml" /><Relationship Id="rId56" Type="http://schemas.openxmlformats.org/officeDocument/2006/relationships/ctrlProp" Target="../ctrlProps/ctrlProp246.xml" /><Relationship Id="rId23" Type="http://schemas.openxmlformats.org/officeDocument/2006/relationships/ctrlProp" Target="../ctrlProps/ctrlProp213.xml" /><Relationship Id="rId4" Type="http://schemas.openxmlformats.org/officeDocument/2006/relationships/ctrlProp" Target="../ctrlProps/ctrlProp194.xml" /><Relationship Id="rId107" Type="http://schemas.openxmlformats.org/officeDocument/2006/relationships/ctrlProp" Target="../ctrlProps/ctrlProp297.xml" /><Relationship Id="rId53" Type="http://schemas.openxmlformats.org/officeDocument/2006/relationships/ctrlProp" Target="../ctrlProps/ctrlProp243.xml" /><Relationship Id="rId177" Type="http://schemas.openxmlformats.org/officeDocument/2006/relationships/ctrlProp" Target="../ctrlProps/ctrlProp367.xml" /><Relationship Id="rId103" Type="http://schemas.openxmlformats.org/officeDocument/2006/relationships/ctrlProp" Target="../ctrlProps/ctrlProp293.xml" /><Relationship Id="rId117" Type="http://schemas.openxmlformats.org/officeDocument/2006/relationships/ctrlProp" Target="../ctrlProps/ctrlProp307.xml" /><Relationship Id="rId147" Type="http://schemas.openxmlformats.org/officeDocument/2006/relationships/ctrlProp" Target="../ctrlProps/ctrlProp337.xml" /><Relationship Id="rId41" Type="http://schemas.openxmlformats.org/officeDocument/2006/relationships/ctrlProp" Target="../ctrlProps/ctrlProp231.xml" /><Relationship Id="rId124" Type="http://schemas.openxmlformats.org/officeDocument/2006/relationships/ctrlProp" Target="../ctrlProps/ctrlProp314.xml" /><Relationship Id="rId161" Type="http://schemas.openxmlformats.org/officeDocument/2006/relationships/ctrlProp" Target="../ctrlProps/ctrlProp351.xml" /><Relationship Id="rId77" Type="http://schemas.openxmlformats.org/officeDocument/2006/relationships/ctrlProp" Target="../ctrlProps/ctrlProp267.xml" /><Relationship Id="rId70" Type="http://schemas.openxmlformats.org/officeDocument/2006/relationships/ctrlProp" Target="../ctrlProps/ctrlProp260.xml" /><Relationship Id="rId64" Type="http://schemas.openxmlformats.org/officeDocument/2006/relationships/ctrlProp" Target="../ctrlProps/ctrlProp254.xml" /><Relationship Id="rId29" Type="http://schemas.openxmlformats.org/officeDocument/2006/relationships/ctrlProp" Target="../ctrlProps/ctrlProp219.xml" /><Relationship Id="rId159" Type="http://schemas.openxmlformats.org/officeDocument/2006/relationships/ctrlProp" Target="../ctrlProps/ctrlProp349.xml" /><Relationship Id="rId163" Type="http://schemas.openxmlformats.org/officeDocument/2006/relationships/ctrlProp" Target="../ctrlProps/ctrlProp353.xml" /><Relationship Id="rId97" Type="http://schemas.openxmlformats.org/officeDocument/2006/relationships/ctrlProp" Target="../ctrlProps/ctrlProp287.xml" /><Relationship Id="rId72" Type="http://schemas.openxmlformats.org/officeDocument/2006/relationships/ctrlProp" Target="../ctrlProps/ctrlProp262.xml" /><Relationship Id="rId112" Type="http://schemas.openxmlformats.org/officeDocument/2006/relationships/ctrlProp" Target="../ctrlProps/ctrlProp302.xml" /><Relationship Id="rId51" Type="http://schemas.openxmlformats.org/officeDocument/2006/relationships/ctrlProp" Target="../ctrlProps/ctrlProp241.xml" /><Relationship Id="rId37" Type="http://schemas.openxmlformats.org/officeDocument/2006/relationships/ctrlProp" Target="../ctrlProps/ctrlProp227.xml" /><Relationship Id="rId168" Type="http://schemas.openxmlformats.org/officeDocument/2006/relationships/ctrlProp" Target="../ctrlProps/ctrlProp358.xml" /><Relationship Id="rId116" Type="http://schemas.openxmlformats.org/officeDocument/2006/relationships/ctrlProp" Target="../ctrlProps/ctrlProp306.xml" /><Relationship Id="rId98" Type="http://schemas.openxmlformats.org/officeDocument/2006/relationships/ctrlProp" Target="../ctrlProps/ctrlProp288.xml" /><Relationship Id="rId34" Type="http://schemas.openxmlformats.org/officeDocument/2006/relationships/ctrlProp" Target="../ctrlProps/ctrlProp224.xml" /><Relationship Id="rId139" Type="http://schemas.openxmlformats.org/officeDocument/2006/relationships/ctrlProp" Target="../ctrlProps/ctrlProp329.xml" /><Relationship Id="rId155" Type="http://schemas.openxmlformats.org/officeDocument/2006/relationships/ctrlProp" Target="../ctrlProps/ctrlProp345.xml" /><Relationship Id="rId120" Type="http://schemas.openxmlformats.org/officeDocument/2006/relationships/ctrlProp" Target="../ctrlProps/ctrlProp310.xml" /><Relationship Id="rId61" Type="http://schemas.openxmlformats.org/officeDocument/2006/relationships/ctrlProp" Target="../ctrlProps/ctrlProp251.xml" /><Relationship Id="rId109" Type="http://schemas.openxmlformats.org/officeDocument/2006/relationships/ctrlProp" Target="../ctrlProps/ctrlProp299.xml" /><Relationship Id="rId40" Type="http://schemas.openxmlformats.org/officeDocument/2006/relationships/ctrlProp" Target="../ctrlProps/ctrlProp230.xml" /><Relationship Id="rId50" Type="http://schemas.openxmlformats.org/officeDocument/2006/relationships/ctrlProp" Target="../ctrlProps/ctrlProp240.xml" /><Relationship Id="rId125" Type="http://schemas.openxmlformats.org/officeDocument/2006/relationships/ctrlProp" Target="../ctrlProps/ctrlProp315.xml" /><Relationship Id="rId43" Type="http://schemas.openxmlformats.org/officeDocument/2006/relationships/ctrlProp" Target="../ctrlProps/ctrlProp233.xml" /><Relationship Id="rId15" Type="http://schemas.openxmlformats.org/officeDocument/2006/relationships/ctrlProp" Target="../ctrlProps/ctrlProp205.xml" /><Relationship Id="rId96" Type="http://schemas.openxmlformats.org/officeDocument/2006/relationships/ctrlProp" Target="../ctrlProps/ctrlProp286.xml" /><Relationship Id="rId67" Type="http://schemas.openxmlformats.org/officeDocument/2006/relationships/ctrlProp" Target="../ctrlProps/ctrlProp257.xml" /><Relationship Id="rId58" Type="http://schemas.openxmlformats.org/officeDocument/2006/relationships/ctrlProp" Target="../ctrlProps/ctrlProp248.xml" /><Relationship Id="rId137" Type="http://schemas.openxmlformats.org/officeDocument/2006/relationships/ctrlProp" Target="../ctrlProps/ctrlProp327.xml" /><Relationship Id="rId151" Type="http://schemas.openxmlformats.org/officeDocument/2006/relationships/ctrlProp" Target="../ctrlProps/ctrlProp341.xml" /><Relationship Id="rId20" Type="http://schemas.openxmlformats.org/officeDocument/2006/relationships/ctrlProp" Target="../ctrlProps/ctrlProp210.xml" /><Relationship Id="rId150" Type="http://schemas.openxmlformats.org/officeDocument/2006/relationships/ctrlProp" Target="../ctrlProps/ctrlProp340.xml" /><Relationship Id="rId11" Type="http://schemas.openxmlformats.org/officeDocument/2006/relationships/ctrlProp" Target="../ctrlProps/ctrlProp201.xml" /><Relationship Id="rId52" Type="http://schemas.openxmlformats.org/officeDocument/2006/relationships/ctrlProp" Target="../ctrlProps/ctrlProp242.xml" /><Relationship Id="rId131" Type="http://schemas.openxmlformats.org/officeDocument/2006/relationships/ctrlProp" Target="../ctrlProps/ctrlProp321.xml" /><Relationship Id="rId142" Type="http://schemas.openxmlformats.org/officeDocument/2006/relationships/ctrlProp" Target="../ctrlProps/ctrlProp332.xml" /><Relationship Id="rId135" Type="http://schemas.openxmlformats.org/officeDocument/2006/relationships/ctrlProp" Target="../ctrlProps/ctrlProp325.xml" /><Relationship Id="rId153" Type="http://schemas.openxmlformats.org/officeDocument/2006/relationships/ctrlProp" Target="../ctrlProps/ctrlProp343.xml" /><Relationship Id="rId123" Type="http://schemas.openxmlformats.org/officeDocument/2006/relationships/ctrlProp" Target="../ctrlProps/ctrlProp313.xml" /><Relationship Id="rId127" Type="http://schemas.openxmlformats.org/officeDocument/2006/relationships/ctrlProp" Target="../ctrlProps/ctrlProp317.xml" /><Relationship Id="rId88" Type="http://schemas.openxmlformats.org/officeDocument/2006/relationships/ctrlProp" Target="../ctrlProps/ctrlProp278.xml" /><Relationship Id="rId93" Type="http://schemas.openxmlformats.org/officeDocument/2006/relationships/ctrlProp" Target="../ctrlProps/ctrlProp283.xml" /><Relationship Id="rId102" Type="http://schemas.openxmlformats.org/officeDocument/2006/relationships/ctrlProp" Target="../ctrlProps/ctrlProp292.xml" /><Relationship Id="rId104" Type="http://schemas.openxmlformats.org/officeDocument/2006/relationships/ctrlProp" Target="../ctrlProps/ctrlProp294.xml" /><Relationship Id="rId59" Type="http://schemas.openxmlformats.org/officeDocument/2006/relationships/ctrlProp" Target="../ctrlProps/ctrlProp249.xml" /><Relationship Id="rId130" Type="http://schemas.openxmlformats.org/officeDocument/2006/relationships/ctrlProp" Target="../ctrlProps/ctrlProp320.xml" /><Relationship Id="rId28" Type="http://schemas.openxmlformats.org/officeDocument/2006/relationships/ctrlProp" Target="../ctrlProps/ctrlProp218.xml" /><Relationship Id="rId91" Type="http://schemas.openxmlformats.org/officeDocument/2006/relationships/ctrlProp" Target="../ctrlProps/ctrlProp281.xml" /><Relationship Id="rId47" Type="http://schemas.openxmlformats.org/officeDocument/2006/relationships/ctrlProp" Target="../ctrlProps/ctrlProp237.xml" /><Relationship Id="rId49" Type="http://schemas.openxmlformats.org/officeDocument/2006/relationships/ctrlProp" Target="../ctrlProps/ctrlProp239.xml" /><Relationship Id="rId86" Type="http://schemas.openxmlformats.org/officeDocument/2006/relationships/ctrlProp" Target="../ctrlProps/ctrlProp276.xml" /><Relationship Id="rId108" Type="http://schemas.openxmlformats.org/officeDocument/2006/relationships/ctrlProp" Target="../ctrlProps/ctrlProp298.xml" /><Relationship Id="rId111" Type="http://schemas.openxmlformats.org/officeDocument/2006/relationships/ctrlProp" Target="../ctrlProps/ctrlProp301.xml" /><Relationship Id="rId148" Type="http://schemas.openxmlformats.org/officeDocument/2006/relationships/ctrlProp" Target="../ctrlProps/ctrlProp338.xml" /><Relationship Id="rId18" Type="http://schemas.openxmlformats.org/officeDocument/2006/relationships/ctrlProp" Target="../ctrlProps/ctrlProp208.xml" /><Relationship Id="rId35" Type="http://schemas.openxmlformats.org/officeDocument/2006/relationships/ctrlProp" Target="../ctrlProps/ctrlProp225.xml" /><Relationship Id="rId21" Type="http://schemas.openxmlformats.org/officeDocument/2006/relationships/ctrlProp" Target="../ctrlProps/ctrlProp211.xml" /><Relationship Id="rId149" Type="http://schemas.openxmlformats.org/officeDocument/2006/relationships/ctrlProp" Target="../ctrlProps/ctrlProp339.xml" /><Relationship Id="rId63" Type="http://schemas.openxmlformats.org/officeDocument/2006/relationships/ctrlProp" Target="../ctrlProps/ctrlProp253.xml" /><Relationship Id="rId90" Type="http://schemas.openxmlformats.org/officeDocument/2006/relationships/ctrlProp" Target="../ctrlProps/ctrlProp280.xml" /><Relationship Id="rId74" Type="http://schemas.openxmlformats.org/officeDocument/2006/relationships/ctrlProp" Target="../ctrlProps/ctrlProp264.xml" /><Relationship Id="rId84" Type="http://schemas.openxmlformats.org/officeDocument/2006/relationships/ctrlProp" Target="../ctrlProps/ctrlProp274.xml" /><Relationship Id="rId60" Type="http://schemas.openxmlformats.org/officeDocument/2006/relationships/ctrlProp" Target="../ctrlProps/ctrlProp250.xml" /><Relationship Id="rId12" Type="http://schemas.openxmlformats.org/officeDocument/2006/relationships/ctrlProp" Target="../ctrlProps/ctrlProp202.xml" /><Relationship Id="rId167" Type="http://schemas.openxmlformats.org/officeDocument/2006/relationships/ctrlProp" Target="../ctrlProps/ctrlProp357.xml" /><Relationship Id="rId14" Type="http://schemas.openxmlformats.org/officeDocument/2006/relationships/ctrlProp" Target="../ctrlProps/ctrlProp204.xml" /><Relationship Id="rId55" Type="http://schemas.openxmlformats.org/officeDocument/2006/relationships/ctrlProp" Target="../ctrlProps/ctrlProp245.xml" /><Relationship Id="rId126" Type="http://schemas.openxmlformats.org/officeDocument/2006/relationships/ctrlProp" Target="../ctrlProps/ctrlProp316.xml" /><Relationship Id="rId160" Type="http://schemas.openxmlformats.org/officeDocument/2006/relationships/ctrlProp" Target="../ctrlProps/ctrlProp350.xml" /><Relationship Id="rId31" Type="http://schemas.openxmlformats.org/officeDocument/2006/relationships/ctrlProp" Target="../ctrlProps/ctrlProp221.xml" /><Relationship Id="rId99" Type="http://schemas.openxmlformats.org/officeDocument/2006/relationships/ctrlProp" Target="../ctrlProps/ctrlProp289.xml" /><Relationship Id="rId143" Type="http://schemas.openxmlformats.org/officeDocument/2006/relationships/ctrlProp" Target="../ctrlProps/ctrlProp333.xml" /><Relationship Id="rId33" Type="http://schemas.openxmlformats.org/officeDocument/2006/relationships/ctrlProp" Target="../ctrlProps/ctrlProp223.xml" /><Relationship Id="rId106" Type="http://schemas.openxmlformats.org/officeDocument/2006/relationships/ctrlProp" Target="../ctrlProps/ctrlProp296.xml" /><Relationship Id="rId19" Type="http://schemas.openxmlformats.org/officeDocument/2006/relationships/ctrlProp" Target="../ctrlProps/ctrlProp209.xml" /><Relationship Id="rId69" Type="http://schemas.openxmlformats.org/officeDocument/2006/relationships/ctrlProp" Target="../ctrlProps/ctrlProp259.xml" /><Relationship Id="rId169" Type="http://schemas.openxmlformats.org/officeDocument/2006/relationships/ctrlProp" Target="../ctrlProps/ctrlProp359.xml" /><Relationship Id="rId152" Type="http://schemas.openxmlformats.org/officeDocument/2006/relationships/ctrlProp" Target="../ctrlProps/ctrlProp342.xml" /><Relationship Id="rId175" Type="http://schemas.openxmlformats.org/officeDocument/2006/relationships/ctrlProp" Target="../ctrlProps/ctrlProp365.xml" /><Relationship Id="rId141" Type="http://schemas.openxmlformats.org/officeDocument/2006/relationships/ctrlProp" Target="../ctrlProps/ctrlProp331.xml" /><Relationship Id="rId154" Type="http://schemas.openxmlformats.org/officeDocument/2006/relationships/ctrlProp" Target="../ctrlProps/ctrlProp344.xml" /><Relationship Id="rId85" Type="http://schemas.openxmlformats.org/officeDocument/2006/relationships/ctrlProp" Target="../ctrlProps/ctrlProp275.xml" /><Relationship Id="rId30" Type="http://schemas.openxmlformats.org/officeDocument/2006/relationships/ctrlProp" Target="../ctrlProps/ctrlProp220.xml" /><Relationship Id="rId10" Type="http://schemas.openxmlformats.org/officeDocument/2006/relationships/ctrlProp" Target="../ctrlProps/ctrlProp200.xml" /><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AppData/buttner/AppData/Local/Microsoft/RGO.ECOLABEL/AppData/Roaming/Microsoft/Excel/Arbejdsmappe%20DID-listen/DID_revision_input_DID1169.xlsx" TargetMode="External" /><Relationship Id="rId2" Type="http://schemas.openxmlformats.org/officeDocument/2006/relationships/hyperlink" Target="http://www.heraproject.com/files/36-F-05-Shor_H2O2_version1.pdf" TargetMode="External" /><Relationship Id="rId3" Type="http://schemas.openxmlformats.org/officeDocument/2006/relationships/drawing" Target="../drawings/drawing1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10.xml" /><Relationship Id="rId4" Type="http://schemas.openxmlformats.org/officeDocument/2006/relationships/ctrlProp" Target="../ctrlProps/ctrlProp9.xml" /><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5" Type="http://schemas.openxmlformats.org/officeDocument/2006/relationships/ctrlProp" Target="../ctrlProps/ctrlProp12.xml" /><Relationship Id="rId4" Type="http://schemas.openxmlformats.org/officeDocument/2006/relationships/ctrlProp" Target="../ctrlProps/ctrlProp11.xml" /><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B9"/>
  <sheetViews>
    <sheetView workbookViewId="0" topLeftCell="A5">
      <selection activeCell="A6" sqref="A6"/>
    </sheetView>
  </sheetViews>
  <sheetFormatPr defaultColWidth="9.140625" defaultRowHeight="12.75"/>
  <cols>
    <col min="1" max="1" width="59.7109375" style="714" customWidth="1"/>
    <col min="2" max="2" width="59.7109375" style="713" customWidth="1"/>
    <col min="3" max="16384" width="9.140625" style="523" customWidth="1"/>
  </cols>
  <sheetData>
    <row r="1" spans="1:2" ht="19.5" customHeight="1">
      <c r="A1" s="725" t="s">
        <v>1912</v>
      </c>
      <c r="B1" s="725" t="s">
        <v>1914</v>
      </c>
    </row>
    <row r="2" spans="1:2" ht="46.5" customHeight="1">
      <c r="A2" s="726" t="s">
        <v>2014</v>
      </c>
      <c r="B2" s="726" t="s">
        <v>2249</v>
      </c>
    </row>
    <row r="3" spans="1:2" ht="73.5" customHeight="1">
      <c r="A3" s="726" t="s">
        <v>2153</v>
      </c>
      <c r="B3" s="726" t="s">
        <v>1915</v>
      </c>
    </row>
    <row r="4" spans="1:2" ht="60.75" customHeight="1">
      <c r="A4" s="726" t="s">
        <v>1913</v>
      </c>
      <c r="B4" s="726" t="s">
        <v>2173</v>
      </c>
    </row>
    <row r="5" spans="1:2" ht="61.5" customHeight="1">
      <c r="A5" s="726" t="s">
        <v>2250</v>
      </c>
      <c r="B5" s="726" t="s">
        <v>2015</v>
      </c>
    </row>
    <row r="6" spans="1:2" ht="165.75" customHeight="1">
      <c r="A6" s="726" t="s">
        <v>2251</v>
      </c>
      <c r="B6" s="726" t="s">
        <v>2154</v>
      </c>
    </row>
    <row r="7" spans="1:2" ht="102.75" customHeight="1">
      <c r="A7" s="726" t="s">
        <v>2159</v>
      </c>
      <c r="B7" s="726" t="s">
        <v>2158</v>
      </c>
    </row>
    <row r="8" spans="1:2" ht="117.75" customHeight="1">
      <c r="A8" s="726" t="s">
        <v>1916</v>
      </c>
      <c r="B8" s="726" t="s">
        <v>2162</v>
      </c>
    </row>
    <row r="9" spans="1:2" ht="37.5">
      <c r="A9" s="726" t="s">
        <v>2163</v>
      </c>
      <c r="B9" s="726" t="s">
        <v>2164</v>
      </c>
    </row>
  </sheetData>
  <sheetProtection algorithmName="SHA-512" hashValue="oadRaZjhulzG+IqGEqU7I2iebzqlZQS8ZevkdPF69+1ORyEj1OZ0P/jF7NpPjVjf1kobj7+by3PgbE7LyCzGhg==" saltValue="gC+TzDqAuT8yDVWR1tf5Mw==" spinCount="100000" sheet="1" objects="1" scenarios="1" selectLockedCells="1"/>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tabColor rgb="FF92D050"/>
    <pageSetUpPr fitToPage="1"/>
  </sheetPr>
  <dimension ref="A1:BD156"/>
  <sheetViews>
    <sheetView workbookViewId="0" topLeftCell="A19">
      <selection activeCell="A20" sqref="A20"/>
    </sheetView>
  </sheetViews>
  <sheetFormatPr defaultColWidth="11.421875" defaultRowHeight="12.75"/>
  <cols>
    <col min="1" max="1" width="26.7109375" style="130" customWidth="1"/>
    <col min="2" max="3" width="14.28125" style="130" customWidth="1"/>
    <col min="4" max="4" width="12.7109375" style="130" customWidth="1"/>
    <col min="5" max="5" width="15.7109375" style="130" customWidth="1"/>
    <col min="6" max="6" width="12.28125" style="130" customWidth="1"/>
    <col min="7" max="7" width="4.28125" style="130" customWidth="1"/>
    <col min="8" max="8" width="26.7109375" style="130" customWidth="1"/>
    <col min="9" max="10" width="14.28125" style="130" customWidth="1"/>
    <col min="11" max="11" width="12.7109375" style="130" customWidth="1"/>
    <col min="12" max="12" width="15.7109375" style="130" customWidth="1"/>
    <col min="13" max="13" width="12.28125" style="130" customWidth="1"/>
    <col min="14" max="14" width="4.00390625" style="130" customWidth="1"/>
    <col min="15" max="16" width="11.421875" style="130" customWidth="1"/>
    <col min="17" max="18" width="11.421875" style="862" customWidth="1"/>
    <col min="19" max="19" width="11.421875" style="864" hidden="1" customWidth="1"/>
    <col min="20" max="20" width="11.421875" style="862" hidden="1" customWidth="1"/>
    <col min="21" max="56" width="11.421875" style="862" customWidth="1"/>
    <col min="57" max="16384" width="11.421875" style="130" customWidth="1"/>
  </cols>
  <sheetData>
    <row r="1" spans="1:56" s="138" customFormat="1" ht="17.25" customHeight="1">
      <c r="A1" s="153"/>
      <c r="B1" s="83"/>
      <c r="C1" s="154"/>
      <c r="D1" s="153"/>
      <c r="E1" s="152"/>
      <c r="F1" s="156"/>
      <c r="G1" s="156"/>
      <c r="H1" s="1036" t="str">
        <f>Termék!A1</f>
        <v>A BIZOTTSÁG HATÁROZATA</v>
      </c>
      <c r="I1" s="1037"/>
      <c r="J1" s="1133" t="str">
        <f>Termék!C1</f>
        <v>2017/1214/EU a kézi mosogatószerek uniós ökocímke kritériumairól</v>
      </c>
      <c r="K1" s="1134"/>
      <c r="L1" s="1134"/>
      <c r="M1" s="1135"/>
      <c r="N1" s="155"/>
      <c r="O1" s="155"/>
      <c r="P1" s="155"/>
      <c r="Q1" s="861"/>
      <c r="R1" s="861"/>
      <c r="S1" s="863"/>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c r="BA1" s="861"/>
      <c r="BB1" s="861"/>
      <c r="BC1" s="861"/>
      <c r="BD1" s="861"/>
    </row>
    <row r="2" spans="1:56" s="138" customFormat="1" ht="15.5">
      <c r="A2" s="157"/>
      <c r="B2" s="158"/>
      <c r="C2" s="158"/>
      <c r="D2" s="157"/>
      <c r="E2" s="158"/>
      <c r="F2" s="158"/>
      <c r="G2" s="158"/>
      <c r="H2" s="140"/>
      <c r="I2" s="140"/>
      <c r="J2" s="155"/>
      <c r="K2" s="243"/>
      <c r="L2" s="155"/>
      <c r="M2" s="155"/>
      <c r="N2" s="155"/>
      <c r="O2" s="155"/>
      <c r="P2" s="155"/>
      <c r="Q2" s="861"/>
      <c r="R2" s="861"/>
      <c r="S2" s="863"/>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61"/>
      <c r="AT2" s="861"/>
      <c r="AU2" s="861"/>
      <c r="AV2" s="861"/>
      <c r="AW2" s="861"/>
      <c r="AX2" s="861"/>
      <c r="AY2" s="861"/>
      <c r="AZ2" s="861"/>
      <c r="BA2" s="861"/>
      <c r="BB2" s="861"/>
      <c r="BC2" s="861"/>
      <c r="BD2" s="861"/>
    </row>
    <row r="3" spans="1:56" s="138" customFormat="1" ht="15.75" customHeight="1">
      <c r="A3" s="1126" t="str">
        <f>Termék!A6</f>
        <v>Szerződés száma:</v>
      </c>
      <c r="B3" s="1127"/>
      <c r="C3" s="1128">
        <f>Termék!C6</f>
        <v>0</v>
      </c>
      <c r="D3" s="1129"/>
      <c r="E3" s="1129"/>
      <c r="F3" s="1129"/>
      <c r="G3" s="1130"/>
      <c r="H3" s="140"/>
      <c r="I3" s="140"/>
      <c r="J3" s="155"/>
      <c r="K3" s="205" t="str">
        <f>Termék!A3</f>
        <v>Dátum:</v>
      </c>
      <c r="L3" s="762" t="str">
        <f>IF(Termék!B3="","",Termék!B3)</f>
        <v/>
      </c>
      <c r="M3" s="155"/>
      <c r="N3" s="155"/>
      <c r="O3" s="155"/>
      <c r="P3" s="155"/>
      <c r="Q3" s="861"/>
      <c r="R3" s="861"/>
      <c r="S3" s="863"/>
      <c r="T3" s="861"/>
      <c r="U3" s="861"/>
      <c r="V3" s="861"/>
      <c r="W3" s="861"/>
      <c r="X3" s="861"/>
      <c r="Y3" s="861"/>
      <c r="Z3" s="861"/>
      <c r="AA3" s="861"/>
      <c r="AB3" s="861"/>
      <c r="AC3" s="861"/>
      <c r="AD3" s="861"/>
      <c r="AE3" s="861"/>
      <c r="AF3" s="861"/>
      <c r="AG3" s="861"/>
      <c r="AH3" s="861"/>
      <c r="AI3" s="861"/>
      <c r="AJ3" s="861"/>
      <c r="AK3" s="861"/>
      <c r="AL3" s="861"/>
      <c r="AM3" s="861"/>
      <c r="AN3" s="861"/>
      <c r="AO3" s="861"/>
      <c r="AP3" s="861"/>
      <c r="AQ3" s="861"/>
      <c r="AR3" s="861"/>
      <c r="AS3" s="861"/>
      <c r="AT3" s="861"/>
      <c r="AU3" s="861"/>
      <c r="AV3" s="861"/>
      <c r="AW3" s="861"/>
      <c r="AX3" s="861"/>
      <c r="AY3" s="861"/>
      <c r="AZ3" s="861"/>
      <c r="BA3" s="861"/>
      <c r="BB3" s="861"/>
      <c r="BC3" s="861"/>
      <c r="BD3" s="861"/>
    </row>
    <row r="4" spans="1:56" s="138" customFormat="1" ht="15.75" customHeight="1">
      <c r="A4" s="1126" t="str">
        <f>Termék!A7</f>
        <v>Védjegyhasználó</v>
      </c>
      <c r="B4" s="1127"/>
      <c r="C4" s="1128" t="str">
        <f>Termék!C7</f>
        <v/>
      </c>
      <c r="D4" s="1129"/>
      <c r="E4" s="1129"/>
      <c r="F4" s="1129"/>
      <c r="G4" s="1130"/>
      <c r="H4" s="140"/>
      <c r="I4" s="140"/>
      <c r="J4" s="155"/>
      <c r="K4" s="205" t="str">
        <f>Termék!A4</f>
        <v>Verziószám:</v>
      </c>
      <c r="L4" s="762" t="str">
        <f>IF(Termék!B4="","",Termék!B4)</f>
        <v/>
      </c>
      <c r="M4" s="155"/>
      <c r="N4" s="155"/>
      <c r="O4" s="155"/>
      <c r="P4" s="155"/>
      <c r="Q4" s="861"/>
      <c r="R4" s="861"/>
      <c r="S4" s="863"/>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1"/>
      <c r="AY4" s="861"/>
      <c r="AZ4" s="861"/>
      <c r="BA4" s="861"/>
      <c r="BB4" s="861"/>
      <c r="BC4" s="861"/>
      <c r="BD4" s="861"/>
    </row>
    <row r="5" spans="1:56" s="138" customFormat="1" ht="15.75" customHeight="1">
      <c r="A5" s="1126" t="str">
        <f>Termék!A24</f>
        <v>A termék fajtája:</v>
      </c>
      <c r="B5" s="1127"/>
      <c r="C5" s="1128">
        <f>Termék!C24</f>
        <v>0</v>
      </c>
      <c r="D5" s="1129"/>
      <c r="E5" s="1129"/>
      <c r="F5" s="1129"/>
      <c r="G5" s="1130"/>
      <c r="H5" s="140"/>
      <c r="I5" s="140"/>
      <c r="J5" s="155"/>
      <c r="K5" s="155"/>
      <c r="L5" s="155"/>
      <c r="M5" s="155"/>
      <c r="N5" s="155"/>
      <c r="O5" s="155"/>
      <c r="P5" s="155"/>
      <c r="Q5" s="861"/>
      <c r="R5" s="861"/>
      <c r="S5" s="863"/>
      <c r="T5" s="861"/>
      <c r="U5" s="861"/>
      <c r="V5" s="861"/>
      <c r="W5" s="861"/>
      <c r="X5" s="861"/>
      <c r="Y5" s="861"/>
      <c r="Z5" s="861"/>
      <c r="AA5" s="861"/>
      <c r="AB5" s="861"/>
      <c r="AC5" s="861"/>
      <c r="AD5" s="861"/>
      <c r="AE5" s="861"/>
      <c r="AF5" s="861"/>
      <c r="AG5" s="861"/>
      <c r="AH5" s="861"/>
      <c r="AI5" s="861"/>
      <c r="AJ5" s="861"/>
      <c r="AK5" s="861"/>
      <c r="AL5" s="861"/>
      <c r="AM5" s="861"/>
      <c r="AN5" s="861"/>
      <c r="AO5" s="861"/>
      <c r="AP5" s="861"/>
      <c r="AQ5" s="861"/>
      <c r="AR5" s="861"/>
      <c r="AS5" s="861"/>
      <c r="AT5" s="861"/>
      <c r="AU5" s="861"/>
      <c r="AV5" s="861"/>
      <c r="AW5" s="861"/>
      <c r="AX5" s="861"/>
      <c r="AY5" s="861"/>
      <c r="AZ5" s="861"/>
      <c r="BA5" s="861"/>
      <c r="BB5" s="861"/>
      <c r="BC5" s="861"/>
      <c r="BD5" s="861"/>
    </row>
    <row r="6" spans="1:56" s="138" customFormat="1" ht="15.75" customHeight="1">
      <c r="A6" s="1126" t="str">
        <f>Termék!A26</f>
        <v>A termék halmazállapota:</v>
      </c>
      <c r="B6" s="1127"/>
      <c r="C6" s="1128">
        <f>Termék!C26</f>
        <v>0</v>
      </c>
      <c r="D6" s="1129"/>
      <c r="E6" s="1129"/>
      <c r="F6" s="1129"/>
      <c r="G6" s="1130"/>
      <c r="H6" s="140"/>
      <c r="I6" s="140"/>
      <c r="J6" s="155"/>
      <c r="K6" s="155"/>
      <c r="L6" s="155"/>
      <c r="M6" s="155"/>
      <c r="N6" s="155"/>
      <c r="O6" s="155"/>
      <c r="P6" s="155"/>
      <c r="Q6" s="861"/>
      <c r="R6" s="861"/>
      <c r="S6" s="863"/>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1"/>
      <c r="AY6" s="861"/>
      <c r="AZ6" s="861"/>
      <c r="BA6" s="861"/>
      <c r="BB6" s="861"/>
      <c r="BC6" s="861"/>
      <c r="BD6" s="861"/>
    </row>
    <row r="7" spans="1:56" s="138" customFormat="1" ht="15.5">
      <c r="A7" s="1111" t="str">
        <f>IF(Adatlap!$L$1=Fordítások!C3,Fordítások!C299,Fordítások!B299)</f>
        <v>Referenciaadag:</v>
      </c>
      <c r="B7" s="1111"/>
      <c r="C7" s="1128">
        <f>Termék!C38</f>
        <v>0</v>
      </c>
      <c r="D7" s="1129"/>
      <c r="E7" s="1129"/>
      <c r="F7" s="1129"/>
      <c r="G7" s="1130"/>
      <c r="H7" s="1097">
        <f>Termék!C39</f>
        <v>0</v>
      </c>
      <c r="I7" s="1097"/>
      <c r="J7" s="155"/>
      <c r="K7" s="155"/>
      <c r="L7" s="155"/>
      <c r="M7" s="155"/>
      <c r="N7" s="155"/>
      <c r="O7" s="155"/>
      <c r="P7" s="155"/>
      <c r="Q7" s="861"/>
      <c r="R7" s="861"/>
      <c r="S7" s="863"/>
      <c r="T7" s="861"/>
      <c r="U7" s="861"/>
      <c r="V7" s="861"/>
      <c r="W7" s="861"/>
      <c r="X7" s="861"/>
      <c r="Y7" s="861"/>
      <c r="Z7" s="861"/>
      <c r="AA7" s="861"/>
      <c r="AB7" s="861"/>
      <c r="AC7" s="861"/>
      <c r="AD7" s="861"/>
      <c r="AE7" s="861"/>
      <c r="AF7" s="861"/>
      <c r="AG7" s="861"/>
      <c r="AH7" s="861"/>
      <c r="AI7" s="861"/>
      <c r="AJ7" s="861"/>
      <c r="AK7" s="861"/>
      <c r="AL7" s="861"/>
      <c r="AM7" s="861"/>
      <c r="AN7" s="861"/>
      <c r="AO7" s="861"/>
      <c r="AP7" s="861"/>
      <c r="AQ7" s="861"/>
      <c r="AR7" s="861"/>
      <c r="AS7" s="861"/>
      <c r="AT7" s="861"/>
      <c r="AU7" s="861"/>
      <c r="AV7" s="861"/>
      <c r="AW7" s="861"/>
      <c r="AX7" s="861"/>
      <c r="AY7" s="861"/>
      <c r="AZ7" s="861"/>
      <c r="BA7" s="861"/>
      <c r="BB7" s="861"/>
      <c r="BC7" s="861"/>
      <c r="BD7" s="861"/>
    </row>
    <row r="8" spans="1:56" s="138" customFormat="1" ht="15.75" customHeight="1">
      <c r="A8" s="156"/>
      <c r="B8" s="156"/>
      <c r="C8" s="156"/>
      <c r="D8" s="156"/>
      <c r="E8" s="156"/>
      <c r="F8" s="156"/>
      <c r="G8" s="156"/>
      <c r="H8" s="155"/>
      <c r="I8" s="155"/>
      <c r="J8" s="159"/>
      <c r="K8" s="159"/>
      <c r="L8" s="159"/>
      <c r="M8" s="159"/>
      <c r="N8" s="159"/>
      <c r="O8" s="159"/>
      <c r="P8" s="159"/>
      <c r="Q8" s="861"/>
      <c r="R8" s="861"/>
      <c r="S8" s="863" t="s">
        <v>1853</v>
      </c>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1"/>
      <c r="AZ8" s="861"/>
      <c r="BA8" s="861"/>
      <c r="BB8" s="861"/>
      <c r="BC8" s="861"/>
      <c r="BD8" s="861"/>
    </row>
    <row r="9" spans="1:56" s="138" customFormat="1" ht="15.75" customHeight="1" thickBot="1">
      <c r="A9" s="156"/>
      <c r="B9" s="156"/>
      <c r="C9" s="156"/>
      <c r="D9" s="156"/>
      <c r="E9" s="156"/>
      <c r="F9" s="156"/>
      <c r="G9" s="156"/>
      <c r="H9" s="155"/>
      <c r="I9" s="155"/>
      <c r="J9" s="159"/>
      <c r="K9" s="159"/>
      <c r="L9" s="159"/>
      <c r="M9" s="159"/>
      <c r="N9" s="159"/>
      <c r="O9" s="159"/>
      <c r="P9" s="159"/>
      <c r="Q9" s="861"/>
      <c r="R9" s="861"/>
      <c r="S9" s="863"/>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1"/>
      <c r="AY9" s="861"/>
      <c r="AZ9" s="861"/>
      <c r="BA9" s="861"/>
      <c r="BB9" s="861"/>
      <c r="BC9" s="861"/>
      <c r="BD9" s="861"/>
    </row>
    <row r="10" spans="1:56" s="138" customFormat="1" ht="15.75" customHeight="1">
      <c r="A10" s="244"/>
      <c r="B10" s="245"/>
      <c r="C10" s="1123" t="str">
        <f>IF(Adatlap!$L$1=Fordítások!C3,Fordítások!C200,Fordítások!B200)</f>
        <v>5. kiszerelés</v>
      </c>
      <c r="D10" s="1124" t="e">
        <f>IF(Adatlap!$L$1=Fordítások!A12,Fordítások!A115,Fordítások!#REF!)</f>
        <v>#REF!</v>
      </c>
      <c r="E10" s="1124" t="e">
        <f>IF(Adatlap!$L$1=Fordítások!#REF!,Fordítások!#REF!,Fordítások!D115)</f>
        <v>#REF!</v>
      </c>
      <c r="F10" s="1125">
        <f>IF(Adatlap!$L$1=Fordítások!D12,Fordítások!D115,Fordítások!E115)</f>
        <v>0</v>
      </c>
      <c r="G10" s="143"/>
      <c r="H10" s="244"/>
      <c r="I10" s="245"/>
      <c r="J10" s="1123" t="str">
        <f>IF(Adatlap!$L$1=Fordítások!C3,Fordítások!C202,Fordítások!B202)</f>
        <v>7. kiszerelés</v>
      </c>
      <c r="K10" s="1124">
        <f>IF(Adatlap!$L$1=Fordítások!I12,Fordítások!I115,Fordítások!J115)</f>
        <v>0</v>
      </c>
      <c r="L10" s="1124">
        <f>IF(Adatlap!$L$1=Fordítások!J12,Fordítások!J115,Fordítások!K115)</f>
        <v>0</v>
      </c>
      <c r="M10" s="1125">
        <f>IF(Adatlap!$L$1=Fordítások!K12,Fordítások!K115,Fordítások!L115)</f>
        <v>0</v>
      </c>
      <c r="N10" s="159"/>
      <c r="O10" s="159"/>
      <c r="P10" s="159"/>
      <c r="Q10" s="861"/>
      <c r="R10" s="861"/>
      <c r="S10" s="863">
        <f>IF(OR(ISBLANK('Kiszerelés 1-4'!C11),ISBLANK('Kiszerelés 1-4'!C13))=TRUE,0,1)</f>
        <v>0</v>
      </c>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1"/>
      <c r="AY10" s="861"/>
      <c r="AZ10" s="861"/>
      <c r="BA10" s="861"/>
      <c r="BB10" s="861"/>
      <c r="BC10" s="861"/>
      <c r="BD10" s="861"/>
    </row>
    <row r="11" spans="1:56" s="138" customFormat="1" ht="19.5" customHeight="1">
      <c r="A11" s="1110" t="str">
        <f>IF(Adatlap!$L$1=Fordítások!C3,Fordítások!C184,Fordítások!B184)</f>
        <v>A csomagolás leírása:</v>
      </c>
      <c r="B11" s="1111"/>
      <c r="C11" s="1105" t="str">
        <f>Termék!A1</f>
        <v>A BIZOTTSÁG HATÁROZATA</v>
      </c>
      <c r="D11" s="1106"/>
      <c r="E11" s="1106"/>
      <c r="F11" s="1107"/>
      <c r="G11" s="143"/>
      <c r="H11" s="1121" t="str">
        <f>A11</f>
        <v>A csomagolás leírása:</v>
      </c>
      <c r="I11" s="1122"/>
      <c r="J11" s="1105"/>
      <c r="K11" s="1106"/>
      <c r="L11" s="1106"/>
      <c r="M11" s="1107"/>
      <c r="N11" s="159"/>
      <c r="O11" s="159"/>
      <c r="P11" s="159"/>
      <c r="Q11" s="861"/>
      <c r="R11" s="861"/>
      <c r="S11" s="863">
        <f>IF(OR(ISBLANK('Kiszerelés 1-4'!C32),ISBLANK('Kiszerelés 1-4'!C34))=TRUE,0,1)</f>
        <v>0</v>
      </c>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1"/>
      <c r="AY11" s="861"/>
      <c r="AZ11" s="861"/>
      <c r="BA11" s="861"/>
      <c r="BB11" s="861"/>
      <c r="BC11" s="861"/>
      <c r="BD11" s="861"/>
    </row>
    <row r="12" spans="1:56" s="138" customFormat="1" ht="30.75" customHeight="1">
      <c r="A12" s="1103" t="str">
        <f>IF(Adatlap!$L$1=Fordítások!C3,Fordítások!C300,Fordítások!B300)</f>
        <v>A THA számítás szempontjából kivételt jelent? (Válasszon)</v>
      </c>
      <c r="B12" s="1104"/>
      <c r="C12" s="1100"/>
      <c r="D12" s="1101"/>
      <c r="E12" s="1101"/>
      <c r="F12" s="1102"/>
      <c r="G12" s="143"/>
      <c r="H12" s="1103" t="str">
        <f>A12</f>
        <v>A THA számítás szempontjából kivételt jelent? (Válasszon)</v>
      </c>
      <c r="I12" s="1104"/>
      <c r="J12" s="1100"/>
      <c r="K12" s="1101"/>
      <c r="L12" s="1101"/>
      <c r="M12" s="1102"/>
      <c r="N12" s="159"/>
      <c r="O12" s="159"/>
      <c r="P12" s="159"/>
      <c r="Q12" s="861"/>
      <c r="R12" s="861"/>
      <c r="S12" s="863">
        <f>IF(OR(ISBLANK('Kiszerelés 1-4'!J11),ISBLANK('Kiszerelés 1-4'!J13))=TRUE,0,1)</f>
        <v>0</v>
      </c>
      <c r="T12" s="861"/>
      <c r="U12" s="861"/>
      <c r="V12" s="861"/>
      <c r="W12" s="861"/>
      <c r="X12" s="861"/>
      <c r="Y12" s="861"/>
      <c r="Z12" s="861"/>
      <c r="AA12" s="861"/>
      <c r="AB12" s="861"/>
      <c r="AC12" s="861"/>
      <c r="AD12" s="861"/>
      <c r="AE12" s="861"/>
      <c r="AF12" s="861"/>
      <c r="AG12" s="861"/>
      <c r="AH12" s="861"/>
      <c r="AI12" s="861"/>
      <c r="AJ12" s="861"/>
      <c r="AK12" s="861"/>
      <c r="AL12" s="861"/>
      <c r="AM12" s="861"/>
      <c r="AN12" s="861"/>
      <c r="AO12" s="861"/>
      <c r="AP12" s="861"/>
      <c r="AQ12" s="861"/>
      <c r="AR12" s="861"/>
      <c r="AS12" s="861"/>
      <c r="AT12" s="861"/>
      <c r="AU12" s="861"/>
      <c r="AV12" s="861"/>
      <c r="AW12" s="861"/>
      <c r="AX12" s="861"/>
      <c r="AY12" s="861"/>
      <c r="AZ12" s="861"/>
      <c r="BA12" s="861"/>
      <c r="BB12" s="861"/>
      <c r="BC12" s="861"/>
      <c r="BD12" s="861"/>
    </row>
    <row r="13" spans="1:56" s="138" customFormat="1" ht="67.5" customHeight="1">
      <c r="A13" s="1103" t="str">
        <f>IF(Adatlap!$L$1=Fordítások!C3,Fordítások!C186,Fordítások!B186)</f>
        <v>Az elsődleges csomagolásban található  termék tömege (ha a referenciaadag ml-ben lett megadva, itt a tömeget literben, ha a referenciaadag g-ban volt megadva, itt a tömeget kg-ban kell megadni)</v>
      </c>
      <c r="B13" s="1104"/>
      <c r="C13" s="1105"/>
      <c r="D13" s="1106"/>
      <c r="E13" s="1106"/>
      <c r="F13" s="1107"/>
      <c r="G13" s="143"/>
      <c r="H13" s="1098" t="str">
        <f aca="true" t="shared" si="0" ref="H13">A13</f>
        <v>Az elsődleges csomagolásban található  termék tömege (ha a referenciaadag ml-ben lett megadva, itt a tömeget literben, ha a referenciaadag g-ban volt megadva, itt a tömeget kg-ban kell megadni)</v>
      </c>
      <c r="I13" s="1099"/>
      <c r="J13" s="1105"/>
      <c r="K13" s="1106"/>
      <c r="L13" s="1106"/>
      <c r="M13" s="1107"/>
      <c r="N13" s="159"/>
      <c r="O13" s="159"/>
      <c r="P13" s="159"/>
      <c r="Q13" s="861"/>
      <c r="R13" s="861"/>
      <c r="S13" s="863">
        <f>IF(OR(ISBLANK('Kiszerelés 1-4'!J32),ISBLANK('Kiszerelés 1-4'!J34))=TRUE,0,1)</f>
        <v>0</v>
      </c>
      <c r="T13" s="861"/>
      <c r="U13" s="861"/>
      <c r="V13" s="861"/>
      <c r="W13" s="861"/>
      <c r="X13" s="861"/>
      <c r="Y13" s="861"/>
      <c r="Z13" s="861"/>
      <c r="AA13" s="861"/>
      <c r="AB13" s="861"/>
      <c r="AC13" s="861"/>
      <c r="AD13" s="861"/>
      <c r="AE13" s="861"/>
      <c r="AF13" s="861"/>
      <c r="AG13" s="861"/>
      <c r="AH13" s="861"/>
      <c r="AI13" s="861"/>
      <c r="AJ13" s="861"/>
      <c r="AK13" s="861"/>
      <c r="AL13" s="861"/>
      <c r="AM13" s="861"/>
      <c r="AN13" s="861"/>
      <c r="AO13" s="861"/>
      <c r="AP13" s="861"/>
      <c r="AQ13" s="861"/>
      <c r="AR13" s="861"/>
      <c r="AS13" s="861"/>
      <c r="AT13" s="861"/>
      <c r="AU13" s="861"/>
      <c r="AV13" s="861"/>
      <c r="AW13" s="861"/>
      <c r="AX13" s="861"/>
      <c r="AY13" s="861"/>
      <c r="AZ13" s="861"/>
      <c r="BA13" s="861"/>
      <c r="BB13" s="861"/>
      <c r="BC13" s="861"/>
      <c r="BD13" s="861"/>
    </row>
    <row r="14" spans="1:56" s="138" customFormat="1" ht="13.5" thickBot="1">
      <c r="A14" s="246"/>
      <c r="B14" s="158"/>
      <c r="C14" s="158"/>
      <c r="D14" s="158"/>
      <c r="E14" s="158"/>
      <c r="F14" s="247"/>
      <c r="G14" s="156"/>
      <c r="H14" s="246"/>
      <c r="I14" s="158"/>
      <c r="J14" s="158"/>
      <c r="K14" s="158"/>
      <c r="L14" s="158"/>
      <c r="M14" s="247"/>
      <c r="N14" s="159"/>
      <c r="O14" s="159"/>
      <c r="P14" s="159"/>
      <c r="Q14" s="861"/>
      <c r="R14" s="861"/>
      <c r="S14" s="863">
        <f>IF(OR(ISBLANK('Kiszerelés 5-8'!C11),ISBLANK('Kiszerelés 5-8'!C13))=TRUE,0,1)</f>
        <v>0</v>
      </c>
      <c r="T14" s="861"/>
      <c r="U14" s="861"/>
      <c r="V14" s="861"/>
      <c r="W14" s="861"/>
      <c r="X14" s="861"/>
      <c r="Y14" s="861"/>
      <c r="Z14" s="861"/>
      <c r="AA14" s="861"/>
      <c r="AB14" s="861"/>
      <c r="AC14" s="861"/>
      <c r="AD14" s="861"/>
      <c r="AE14" s="861"/>
      <c r="AF14" s="861"/>
      <c r="AG14" s="861"/>
      <c r="AH14" s="861"/>
      <c r="AI14" s="861"/>
      <c r="AJ14" s="861"/>
      <c r="AK14" s="861"/>
      <c r="AL14" s="861"/>
      <c r="AM14" s="861"/>
      <c r="AN14" s="861"/>
      <c r="AO14" s="861"/>
      <c r="AP14" s="861"/>
      <c r="AQ14" s="861"/>
      <c r="AR14" s="861"/>
      <c r="AS14" s="861"/>
      <c r="AT14" s="861"/>
      <c r="AU14" s="861"/>
      <c r="AV14" s="861"/>
      <c r="AW14" s="861"/>
      <c r="AX14" s="861"/>
      <c r="AY14" s="861"/>
      <c r="AZ14" s="861"/>
      <c r="BA14" s="861"/>
      <c r="BB14" s="861"/>
      <c r="BC14" s="861"/>
      <c r="BD14" s="861"/>
    </row>
    <row r="15" spans="1:19" ht="168" customHeight="1">
      <c r="A15" s="210" t="str">
        <f>IF(Adatlap!$L$1=Fordítások!C3,Fordítások!C188,Fordítások!B188)</f>
        <v>Az elsődleges csomagolás (i) része
(Kérjük, nevezze meg!)</v>
      </c>
      <c r="B15" s="211" t="str">
        <f>IF(Adatlap!$L$1=Fordítások!C3,Fordítások!C189,Fordítások!B189)</f>
        <v>Az (i) rész súlya, gramm (Ti)</v>
      </c>
      <c r="C15" s="211" t="str">
        <f>IF(Adatlap!$L$1=Fordítások!C3,Fordítások!C190,Fordítások!B190)</f>
        <v>az i elsődleges csomagolás nem fogyasztóktól visszavett csomagolóanyag-hulladék  újrahasznosításából származó részének tömege, gramm (Hi)</v>
      </c>
      <c r="D15" s="211" t="str">
        <f>IF(Adatlap!$L$1=Fordítások!C3,Fordítások!C191,Fordítások!B191)</f>
        <v>Újratöltési mutató (Ri)</v>
      </c>
      <c r="E15" s="211" t="s">
        <v>559</v>
      </c>
      <c r="F15" s="212" t="s">
        <v>541</v>
      </c>
      <c r="G15" s="156"/>
      <c r="H15" s="210" t="str">
        <f>A15</f>
        <v>Az elsődleges csomagolás (i) része
(Kérjük, nevezze meg!)</v>
      </c>
      <c r="I15" s="211" t="str">
        <f aca="true" t="shared" si="1" ref="I15:M15">B15</f>
        <v>Az (i) rész súlya, gramm (Ti)</v>
      </c>
      <c r="J15" s="211" t="str">
        <f t="shared" si="1"/>
        <v>az i elsődleges csomagolás nem fogyasztóktól visszavett csomagolóanyag-hulladék  újrahasznosításából származó részének tömege, gramm (Hi)</v>
      </c>
      <c r="K15" s="211" t="str">
        <f t="shared" si="1"/>
        <v>Újratöltési mutató (Ri)</v>
      </c>
      <c r="L15" s="211" t="str">
        <f t="shared" si="1"/>
        <v>(Di)</v>
      </c>
      <c r="M15" s="213" t="str">
        <f t="shared" si="1"/>
        <v>=( Wi + Ui ) /
 ( Di x ri )</v>
      </c>
      <c r="N15" s="159"/>
      <c r="O15" s="159"/>
      <c r="P15" s="159"/>
      <c r="S15" s="864">
        <f>IF(OR(ISBLANK('Kiszerelés 5-8'!C32),ISBLANK('Kiszerelés 5-8'!C34))=TRUE,0,1)</f>
        <v>0</v>
      </c>
    </row>
    <row r="16" spans="1:19" ht="15" customHeight="1">
      <c r="A16" s="144"/>
      <c r="B16" s="150"/>
      <c r="C16" s="150"/>
      <c r="D16" s="145"/>
      <c r="E16" s="214" t="str">
        <f>IF(A16="","",$C$13*1000/Termék!$C$38)</f>
        <v/>
      </c>
      <c r="F16" s="215" t="str">
        <f>IF(A16="","",((B16+C16)/(E16*D16)))</f>
        <v/>
      </c>
      <c r="G16" s="156"/>
      <c r="H16" s="144"/>
      <c r="I16" s="150"/>
      <c r="J16" s="150"/>
      <c r="K16" s="145"/>
      <c r="L16" s="214" t="str">
        <f>IF(H16="","",$J$13*1000/Termék!$C$38)</f>
        <v/>
      </c>
      <c r="M16" s="215" t="str">
        <f>IF(H16="","",((I16+J16)/(L16*K16)))</f>
        <v/>
      </c>
      <c r="N16" s="159"/>
      <c r="O16" s="159"/>
      <c r="P16" s="159"/>
      <c r="S16" s="864">
        <f>IF(OR(ISBLANK('Kiszerelés 5-8'!J11),ISBLANK('Kiszerelés 5-8'!J13))=TRUE,0,1)</f>
        <v>0</v>
      </c>
    </row>
    <row r="17" spans="1:19" ht="15" customHeight="1">
      <c r="A17" s="146"/>
      <c r="B17" s="150"/>
      <c r="C17" s="150"/>
      <c r="D17" s="145"/>
      <c r="E17" s="214" t="str">
        <f>IF(A17="","",$C$13*1000/Termék!$C$38)</f>
        <v/>
      </c>
      <c r="F17" s="215" t="str">
        <f>IF(A17="","",((B17+C17)/(E17*D17)))</f>
        <v/>
      </c>
      <c r="G17" s="156"/>
      <c r="H17" s="146"/>
      <c r="I17" s="150"/>
      <c r="J17" s="150"/>
      <c r="K17" s="145"/>
      <c r="L17" s="214" t="str">
        <f>IF(H17="","",$J$13*1000/Termék!$C$38)</f>
        <v/>
      </c>
      <c r="M17" s="215" t="str">
        <f>IF(H17="","",((I17+J17)/(L17*K17)))</f>
        <v/>
      </c>
      <c r="N17" s="159"/>
      <c r="O17" s="159"/>
      <c r="P17" s="159"/>
      <c r="S17" s="864">
        <f>IF(OR(ISBLANK('Kiszerelés 5-8'!J32),ISBLANK('Kiszerelés 5-8'!J34))=TRUE,0,1)</f>
        <v>0</v>
      </c>
    </row>
    <row r="18" spans="1:16" ht="15" customHeight="1">
      <c r="A18" s="146"/>
      <c r="B18" s="150"/>
      <c r="C18" s="150"/>
      <c r="D18" s="145"/>
      <c r="E18" s="214" t="str">
        <f>IF(A18="","",$C$13*1000/Termék!$C$38)</f>
        <v/>
      </c>
      <c r="F18" s="215" t="str">
        <f>IF(A18="","",((B18+C18)/(E18*D18)))</f>
        <v/>
      </c>
      <c r="G18" s="156"/>
      <c r="H18" s="146"/>
      <c r="I18" s="150"/>
      <c r="J18" s="150"/>
      <c r="K18" s="145"/>
      <c r="L18" s="214" t="str">
        <f>IF(H18="","",$J$13*1000/Termék!$C$38)</f>
        <v/>
      </c>
      <c r="M18" s="215" t="str">
        <f>IF(H18="","",((I18+J18)/(L18*K18)))</f>
        <v/>
      </c>
      <c r="N18" s="159"/>
      <c r="O18" s="159"/>
      <c r="P18" s="159"/>
    </row>
    <row r="19" spans="1:16" ht="15" customHeight="1">
      <c r="A19" s="146"/>
      <c r="B19" s="150"/>
      <c r="C19" s="150"/>
      <c r="D19" s="145"/>
      <c r="E19" s="214" t="str">
        <f>IF(A19="","",$C$13*1000/Termék!$C$38)</f>
        <v/>
      </c>
      <c r="F19" s="215" t="str">
        <f>IF(A19="","",((B19+C19)/(E19*D19)))</f>
        <v/>
      </c>
      <c r="G19" s="156"/>
      <c r="H19" s="146"/>
      <c r="I19" s="150"/>
      <c r="J19" s="150"/>
      <c r="K19" s="145"/>
      <c r="L19" s="214" t="str">
        <f>IF(H19="","",$J$13*1000/Termék!$C$38)</f>
        <v/>
      </c>
      <c r="M19" s="215" t="str">
        <f>IF(H19="","",((I19+J19)/(L19*K19)))</f>
        <v/>
      </c>
      <c r="N19" s="159"/>
      <c r="O19" s="159"/>
      <c r="P19" s="159"/>
    </row>
    <row r="20" spans="1:16" ht="15" customHeight="1" thickBot="1">
      <c r="A20" s="147"/>
      <c r="B20" s="151"/>
      <c r="C20" s="151"/>
      <c r="D20" s="148"/>
      <c r="E20" s="216" t="str">
        <f>IF(A20="","",$C$13*1000/Termék!$C$38)</f>
        <v/>
      </c>
      <c r="F20" s="217" t="str">
        <f>IF(A20="","",((B20+C20)/(E20*D20)))</f>
        <v/>
      </c>
      <c r="G20" s="156"/>
      <c r="H20" s="147"/>
      <c r="I20" s="151"/>
      <c r="J20" s="151"/>
      <c r="K20" s="148"/>
      <c r="L20" s="216" t="str">
        <f>IF(H20="","",$J$13*1000/Termék!$C$38)</f>
        <v/>
      </c>
      <c r="M20" s="217" t="str">
        <f>IF(H20="","",((I20+J20)/(L20*K20)))</f>
        <v/>
      </c>
      <c r="N20" s="159"/>
      <c r="O20" s="159"/>
      <c r="P20" s="159"/>
    </row>
    <row r="21" spans="1:16" ht="17.25" customHeight="1">
      <c r="A21" s="246"/>
      <c r="B21" s="158"/>
      <c r="C21" s="158"/>
      <c r="D21" s="218" t="str">
        <f>IF(Adatlap!$L$1=Fordítások!C3,Fordítások!C24,Fordítások!B24)</f>
        <v>Összesen:</v>
      </c>
      <c r="E21" s="219" t="str">
        <f>IF(Adatlap!$L$1=Fordítások!C3,Fordítások!C195,Fordítások!B195)</f>
        <v>=THA</v>
      </c>
      <c r="F21" s="248">
        <f>SUM(F16:F20)</f>
        <v>0</v>
      </c>
      <c r="G21" s="156"/>
      <c r="H21" s="246"/>
      <c r="I21" s="158"/>
      <c r="J21" s="158"/>
      <c r="K21" s="218" t="str">
        <f>D21</f>
        <v>Összesen:</v>
      </c>
      <c r="L21" s="219" t="str">
        <f>E21</f>
        <v>=THA</v>
      </c>
      <c r="M21" s="248">
        <f>SUM(M16:M20)</f>
        <v>0</v>
      </c>
      <c r="N21" s="159"/>
      <c r="O21" s="159"/>
      <c r="P21" s="159"/>
    </row>
    <row r="22" spans="1:16" ht="17.25" customHeight="1">
      <c r="A22" s="1108"/>
      <c r="B22" s="1109"/>
      <c r="C22" s="1109"/>
      <c r="D22" s="249"/>
      <c r="E22" s="220" t="str">
        <f>IF(Adatlap!$L$1=Fordítások!C3,Fordítások!C204,Fordítások!B204)</f>
        <v>Határérték</v>
      </c>
      <c r="F22" s="250" t="e">
        <f>IF(OR(C12=Fordítások!$C301,C12=Fordítások!$B301),200,IF(OR(C12=Fordítások!$C302,C12=Fordítások!$B302),150,IF(OR(C12=Fordítások!$C303,C12=Fordítások!$B303),1.2,VLOOKUP(Termék!$C$24,Auswahldaten!$A$113:$G$137,7,FALSE))))</f>
        <v>#N/A</v>
      </c>
      <c r="G22" s="156"/>
      <c r="H22" s="1108"/>
      <c r="I22" s="1109"/>
      <c r="J22" s="1109"/>
      <c r="K22" s="249"/>
      <c r="L22" s="220" t="str">
        <f>E22</f>
        <v>Határérték</v>
      </c>
      <c r="M22" s="250" t="e">
        <f>IF(OR(J12=Fordítások!$C301,J12=Fordítások!$B301),200,IF(OR(J12=Fordítások!$C302,J12=Fordítások!$B302),150,IF(OR(J12=Fordítások!$C303,J12=Fordítások!$B303),1.2,VLOOKUP(Termék!$C$24,Auswahldaten!$A$113:$G$137,7,FALSE))))</f>
        <v>#N/A</v>
      </c>
      <c r="N22" s="159"/>
      <c r="O22" s="159"/>
      <c r="P22" s="159"/>
    </row>
    <row r="23" spans="1:16" ht="25.5" customHeight="1" thickBot="1">
      <c r="A23" s="1098" t="str">
        <f>IF(Adatlap!$L$1=Fordítások!C3,Fordítások!C304,Fordítások!B304)</f>
        <v>Újrahasznosított anyagok aránya az elsődleges csomagolásban:</v>
      </c>
      <c r="B23" s="1099"/>
      <c r="C23" s="221" t="str">
        <f>IF(C13="","",(SUM(B16:B20)-SUM(C16:C20))/SUM(B16:B20))</f>
        <v/>
      </c>
      <c r="D23" s="158"/>
      <c r="E23" s="222" t="str">
        <f>IF(Adatlap!$L$1=Fordítások!C3,Fordítások!C205,Fordítások!B205)</f>
        <v>Eredmény</v>
      </c>
      <c r="F23" s="251" t="e">
        <f>IF(OR(F21&lt;=F22,C23&gt;0.8),"ok","not ok")</f>
        <v>#N/A</v>
      </c>
      <c r="G23" s="156"/>
      <c r="H23" s="1098" t="str">
        <f>A23</f>
        <v>Újrahasznosított anyagok aránya az elsődleges csomagolásban:</v>
      </c>
      <c r="I23" s="1099"/>
      <c r="J23" s="221" t="str">
        <f>IF(J13="","",(SUM(I16:I20)-SUM(J16:J20))/SUM(I16:I20))</f>
        <v/>
      </c>
      <c r="K23" s="158"/>
      <c r="L23" s="222" t="str">
        <f>E23</f>
        <v>Eredmény</v>
      </c>
      <c r="M23" s="251" t="e">
        <f>IF(OR(M21&lt;=M22,J23&gt;0.8),"ok","not ok")</f>
        <v>#N/A</v>
      </c>
      <c r="N23" s="159"/>
      <c r="O23" s="159"/>
      <c r="P23" s="159"/>
    </row>
    <row r="24" spans="1:16" ht="9.75" customHeight="1" thickTop="1">
      <c r="A24" s="252"/>
      <c r="B24" s="158"/>
      <c r="C24" s="224"/>
      <c r="D24" s="224"/>
      <c r="E24" s="225"/>
      <c r="F24" s="253"/>
      <c r="G24" s="156"/>
      <c r="H24" s="252"/>
      <c r="I24" s="158"/>
      <c r="J24" s="224"/>
      <c r="K24" s="224"/>
      <c r="L24" s="225"/>
      <c r="M24" s="253"/>
      <c r="N24" s="159"/>
      <c r="O24" s="159"/>
      <c r="P24" s="159"/>
    </row>
    <row r="25" spans="1:56" s="6" customFormat="1" ht="28.5" customHeight="1">
      <c r="A25" s="1119" t="str">
        <f>IF(Adatlap!$L$1=Fordítások!C3,Fordítások!C143,Fordítások!B143)</f>
        <v>Csomagoláselem ( a pumpa kivételével - a permetezett anyagoknál is)</v>
      </c>
      <c r="B25" s="1120"/>
      <c r="C25" s="1120"/>
      <c r="D25" s="16"/>
      <c r="E25" s="16"/>
      <c r="F25" s="254"/>
      <c r="G25" s="16"/>
      <c r="H25" s="1119" t="str">
        <f>A25</f>
        <v>Csomagoláselem ( a pumpa kivételével - a permetezett anyagoknál is)</v>
      </c>
      <c r="I25" s="1120"/>
      <c r="J25" s="1120"/>
      <c r="K25" s="16"/>
      <c r="L25" s="16"/>
      <c r="M25" s="254"/>
      <c r="N25" s="52"/>
      <c r="O25" s="52"/>
      <c r="P25" s="52"/>
      <c r="Q25" s="467"/>
      <c r="R25" s="467"/>
      <c r="S25" s="865"/>
      <c r="T25" s="467"/>
      <c r="U25" s="467"/>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c r="BC25" s="467"/>
      <c r="BD25" s="467"/>
    </row>
    <row r="26" spans="1:56" s="6" customFormat="1" ht="15" customHeight="1">
      <c r="A26" s="1119" t="str">
        <f>IF(Adatlap!$L$1=Fordítások!C3,Fordítások!C144,Fordítások!B144)</f>
        <v>A tartály vagy palack anyaga</v>
      </c>
      <c r="B26" s="1120"/>
      <c r="C26" s="1120"/>
      <c r="D26" s="1115"/>
      <c r="E26" s="1115"/>
      <c r="F26" s="1116"/>
      <c r="G26" s="16"/>
      <c r="H26" s="1119" t="str">
        <f aca="true" t="shared" si="2" ref="H26:H29">A26</f>
        <v>A tartály vagy palack anyaga</v>
      </c>
      <c r="I26" s="1120"/>
      <c r="J26" s="1120"/>
      <c r="K26" s="1115"/>
      <c r="L26" s="1115"/>
      <c r="M26" s="1116"/>
      <c r="N26" s="52"/>
      <c r="O26" s="52"/>
      <c r="P26" s="52"/>
      <c r="Q26" s="467"/>
      <c r="R26" s="467"/>
      <c r="S26" s="865"/>
      <c r="T26" s="467"/>
      <c r="U26" s="467"/>
      <c r="V26" s="467"/>
      <c r="W26" s="467"/>
      <c r="X26" s="467"/>
      <c r="Y26" s="467"/>
      <c r="Z26" s="467"/>
      <c r="AA26" s="467"/>
      <c r="AB26" s="467"/>
      <c r="AC26" s="467"/>
      <c r="AD26" s="467"/>
      <c r="AE26" s="467"/>
      <c r="AF26" s="467"/>
      <c r="AG26" s="467"/>
      <c r="AH26" s="467"/>
      <c r="AI26" s="467"/>
      <c r="AJ26" s="467"/>
      <c r="AK26" s="467"/>
      <c r="AL26" s="467"/>
      <c r="AM26" s="467"/>
      <c r="AN26" s="467"/>
      <c r="AO26" s="467"/>
      <c r="AP26" s="467"/>
      <c r="AQ26" s="467"/>
      <c r="AR26" s="467"/>
      <c r="AS26" s="467"/>
      <c r="AT26" s="467"/>
      <c r="AU26" s="467"/>
      <c r="AV26" s="467"/>
      <c r="AW26" s="467"/>
      <c r="AX26" s="467"/>
      <c r="AY26" s="467"/>
      <c r="AZ26" s="467"/>
      <c r="BA26" s="467"/>
      <c r="BB26" s="467"/>
      <c r="BC26" s="467"/>
      <c r="BD26" s="467"/>
    </row>
    <row r="27" spans="1:56" s="6" customFormat="1" ht="15" customHeight="1">
      <c r="A27" s="1119" t="str">
        <f>IF(Adatlap!$L$1=Fordítások!C3,Fordítások!C145,Fordítások!B145)</f>
        <v>A címke/ráhúzható címke anyaga</v>
      </c>
      <c r="B27" s="1120"/>
      <c r="C27" s="1120"/>
      <c r="D27" s="1115"/>
      <c r="E27" s="1115"/>
      <c r="F27" s="1116"/>
      <c r="G27" s="16"/>
      <c r="H27" s="1119" t="str">
        <f t="shared" si="2"/>
        <v>A címke/ráhúzható címke anyaga</v>
      </c>
      <c r="I27" s="1120"/>
      <c r="J27" s="1120"/>
      <c r="K27" s="1115"/>
      <c r="L27" s="1115"/>
      <c r="M27" s="1116"/>
      <c r="N27" s="52"/>
      <c r="O27" s="52"/>
      <c r="P27" s="52"/>
      <c r="Q27" s="467"/>
      <c r="R27" s="467"/>
      <c r="S27" s="865"/>
      <c r="T27" s="467"/>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7"/>
      <c r="AY27" s="467"/>
      <c r="AZ27" s="467"/>
      <c r="BA27" s="467"/>
      <c r="BB27" s="467"/>
      <c r="BC27" s="467"/>
      <c r="BD27" s="467"/>
    </row>
    <row r="28" spans="1:56" s="6" customFormat="1" ht="15" customHeight="1">
      <c r="A28" s="1119" t="str">
        <f>IF(Adatlap!$L$1=Fordítások!C3,Fordítások!C146,Fordítások!B146)</f>
        <v>A záróelem anyaga</v>
      </c>
      <c r="B28" s="1120"/>
      <c r="C28" s="1120"/>
      <c r="D28" s="1115"/>
      <c r="E28" s="1115"/>
      <c r="F28" s="1116"/>
      <c r="G28" s="16"/>
      <c r="H28" s="1119" t="str">
        <f t="shared" si="2"/>
        <v>A záróelem anyaga</v>
      </c>
      <c r="I28" s="1120"/>
      <c r="J28" s="1120"/>
      <c r="K28" s="1115"/>
      <c r="L28" s="1115"/>
      <c r="M28" s="1116"/>
      <c r="N28" s="52"/>
      <c r="O28" s="52"/>
      <c r="P28" s="52"/>
      <c r="Q28" s="467"/>
      <c r="R28" s="467"/>
      <c r="S28" s="865"/>
      <c r="T28" s="467"/>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67"/>
      <c r="BA28" s="467"/>
      <c r="BB28" s="467"/>
      <c r="BC28" s="467"/>
      <c r="BD28" s="467"/>
    </row>
    <row r="29" spans="1:56" s="6" customFormat="1" ht="15" customHeight="1" thickBot="1">
      <c r="A29" s="1131" t="str">
        <f>IF(Adatlap!$L$1=Fordítások!C3,Fordítások!C147,Fordítások!B147)</f>
        <v>A záróréteg-bevonat anyaga</v>
      </c>
      <c r="B29" s="1132"/>
      <c r="C29" s="1132"/>
      <c r="D29" s="1117"/>
      <c r="E29" s="1117"/>
      <c r="F29" s="1118"/>
      <c r="G29" s="16"/>
      <c r="H29" s="1131" t="str">
        <f t="shared" si="2"/>
        <v>A záróréteg-bevonat anyaga</v>
      </c>
      <c r="I29" s="1132"/>
      <c r="J29" s="1132"/>
      <c r="K29" s="1117"/>
      <c r="L29" s="1117"/>
      <c r="M29" s="1118"/>
      <c r="N29" s="52"/>
      <c r="O29" s="52"/>
      <c r="P29" s="52"/>
      <c r="Q29" s="467"/>
      <c r="R29" s="467"/>
      <c r="S29" s="865"/>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row>
    <row r="30" spans="1:16" ht="10.5" customHeight="1" thickBot="1">
      <c r="A30" s="223"/>
      <c r="B30" s="159"/>
      <c r="C30" s="224"/>
      <c r="D30" s="224"/>
      <c r="E30" s="225"/>
      <c r="F30" s="226"/>
      <c r="G30" s="156"/>
      <c r="H30" s="223"/>
      <c r="I30" s="159"/>
      <c r="J30" s="224"/>
      <c r="K30" s="224"/>
      <c r="L30" s="225"/>
      <c r="M30" s="226"/>
      <c r="N30" s="159"/>
      <c r="O30" s="159"/>
      <c r="P30" s="159"/>
    </row>
    <row r="31" spans="1:56" s="138" customFormat="1" ht="15.75" customHeight="1">
      <c r="A31" s="244"/>
      <c r="B31" s="245"/>
      <c r="C31" s="1123" t="str">
        <f>IF(Adatlap!$L$1=Fordítások!C3,Fordítások!C201,Fordítások!B201)</f>
        <v>6. kiszerelés</v>
      </c>
      <c r="D31" s="1124" t="e">
        <f>IF(Adatlap!$L$1=Fordítások!A27,Fordítások!A130,Fordítások!#REF!)</f>
        <v>#REF!</v>
      </c>
      <c r="E31" s="1124" t="e">
        <f>IF(Adatlap!$L$1=Fordítások!#REF!,Fordítások!#REF!,Fordítások!D130)</f>
        <v>#REF!</v>
      </c>
      <c r="F31" s="1125">
        <f>IF(Adatlap!$L$1=Fordítások!D27,Fordítások!D130,Fordítások!E130)</f>
        <v>0</v>
      </c>
      <c r="G31" s="143"/>
      <c r="H31" s="258"/>
      <c r="I31" s="259"/>
      <c r="J31" s="1123" t="str">
        <f>IF(Adatlap!$L$1=Fordítások!C3,Fordítások!C203,Fordítások!B203)</f>
        <v>8. kiszerelés</v>
      </c>
      <c r="K31" s="1124">
        <f>IF(Adatlap!$L$1=Fordítások!I27,Fordítások!I130,Fordítások!J130)</f>
        <v>0</v>
      </c>
      <c r="L31" s="1124">
        <f>IF(Adatlap!$L$1=Fordítások!J27,Fordítások!J130,Fordítások!K130)</f>
        <v>0</v>
      </c>
      <c r="M31" s="1125">
        <f>IF(Adatlap!$L$1=Fordítások!K27,Fordítások!K130,Fordítások!L130)</f>
        <v>0</v>
      </c>
      <c r="N31" s="159"/>
      <c r="O31" s="159"/>
      <c r="P31" s="159"/>
      <c r="Q31" s="861"/>
      <c r="R31" s="861"/>
      <c r="S31" s="863"/>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861"/>
      <c r="AW31" s="861"/>
      <c r="AX31" s="861"/>
      <c r="AY31" s="861"/>
      <c r="AZ31" s="861"/>
      <c r="BA31" s="861"/>
      <c r="BB31" s="861"/>
      <c r="BC31" s="861"/>
      <c r="BD31" s="861"/>
    </row>
    <row r="32" spans="1:56" s="138" customFormat="1" ht="19.5" customHeight="1">
      <c r="A32" s="1121" t="str">
        <f>A11</f>
        <v>A csomagolás leírása:</v>
      </c>
      <c r="B32" s="1122"/>
      <c r="C32" s="1105"/>
      <c r="D32" s="1106"/>
      <c r="E32" s="1106"/>
      <c r="F32" s="1107"/>
      <c r="G32" s="143"/>
      <c r="H32" s="1121" t="str">
        <f>H11</f>
        <v>A csomagolás leírása:</v>
      </c>
      <c r="I32" s="1122"/>
      <c r="J32" s="1105"/>
      <c r="K32" s="1106"/>
      <c r="L32" s="1106"/>
      <c r="M32" s="1107"/>
      <c r="N32" s="159"/>
      <c r="O32" s="159"/>
      <c r="P32" s="159"/>
      <c r="Q32" s="861"/>
      <c r="R32" s="861"/>
      <c r="S32" s="863"/>
      <c r="T32" s="861"/>
      <c r="U32" s="861"/>
      <c r="V32" s="861"/>
      <c r="W32" s="861"/>
      <c r="X32" s="861"/>
      <c r="Y32" s="861"/>
      <c r="Z32" s="861"/>
      <c r="AA32" s="861"/>
      <c r="AB32" s="861"/>
      <c r="AC32" s="861"/>
      <c r="AD32" s="861"/>
      <c r="AE32" s="861"/>
      <c r="AF32" s="861"/>
      <c r="AG32" s="861"/>
      <c r="AH32" s="861"/>
      <c r="AI32" s="861"/>
      <c r="AJ32" s="861"/>
      <c r="AK32" s="861"/>
      <c r="AL32" s="861"/>
      <c r="AM32" s="861"/>
      <c r="AN32" s="861"/>
      <c r="AO32" s="861"/>
      <c r="AP32" s="861"/>
      <c r="AQ32" s="861"/>
      <c r="AR32" s="861"/>
      <c r="AS32" s="861"/>
      <c r="AT32" s="861"/>
      <c r="AU32" s="861"/>
      <c r="AV32" s="861"/>
      <c r="AW32" s="861"/>
      <c r="AX32" s="861"/>
      <c r="AY32" s="861"/>
      <c r="AZ32" s="861"/>
      <c r="BA32" s="861"/>
      <c r="BB32" s="861"/>
      <c r="BC32" s="861"/>
      <c r="BD32" s="861"/>
    </row>
    <row r="33" spans="1:56" s="138" customFormat="1" ht="30.75" customHeight="1">
      <c r="A33" s="1098" t="str">
        <f>A12</f>
        <v>A THA számítás szempontjából kivételt jelent? (Válasszon)</v>
      </c>
      <c r="B33" s="1099"/>
      <c r="C33" s="1100"/>
      <c r="D33" s="1101"/>
      <c r="E33" s="1101"/>
      <c r="F33" s="1102"/>
      <c r="G33" s="143"/>
      <c r="H33" s="1098" t="str">
        <f>H12</f>
        <v>A THA számítás szempontjából kivételt jelent? (Válasszon)</v>
      </c>
      <c r="I33" s="1099"/>
      <c r="J33" s="1100"/>
      <c r="K33" s="1101"/>
      <c r="L33" s="1101"/>
      <c r="M33" s="1102"/>
      <c r="N33" s="159"/>
      <c r="O33" s="159"/>
      <c r="P33" s="159"/>
      <c r="Q33" s="861"/>
      <c r="R33" s="861"/>
      <c r="S33" s="863"/>
      <c r="T33" s="861"/>
      <c r="U33" s="861"/>
      <c r="V33" s="861"/>
      <c r="W33" s="861"/>
      <c r="X33" s="861"/>
      <c r="Y33" s="861"/>
      <c r="Z33" s="861"/>
      <c r="AA33" s="861"/>
      <c r="AB33" s="861"/>
      <c r="AC33" s="861"/>
      <c r="AD33" s="861"/>
      <c r="AE33" s="861"/>
      <c r="AF33" s="861"/>
      <c r="AG33" s="861"/>
      <c r="AH33" s="861"/>
      <c r="AI33" s="861"/>
      <c r="AJ33" s="861"/>
      <c r="AK33" s="861"/>
      <c r="AL33" s="861"/>
      <c r="AM33" s="861"/>
      <c r="AN33" s="861"/>
      <c r="AO33" s="861"/>
      <c r="AP33" s="861"/>
      <c r="AQ33" s="861"/>
      <c r="AR33" s="861"/>
      <c r="AS33" s="861"/>
      <c r="AT33" s="861"/>
      <c r="AU33" s="861"/>
      <c r="AV33" s="861"/>
      <c r="AW33" s="861"/>
      <c r="AX33" s="861"/>
      <c r="AY33" s="861"/>
      <c r="AZ33" s="861"/>
      <c r="BA33" s="861"/>
      <c r="BB33" s="861"/>
      <c r="BC33" s="861"/>
      <c r="BD33" s="861"/>
    </row>
    <row r="34" spans="1:56" s="138" customFormat="1" ht="63.75" customHeight="1">
      <c r="A34" s="1098" t="str">
        <f>A13</f>
        <v>Az elsődleges csomagolásban található  termék tömege (ha a referenciaadag ml-ben lett megadva, itt a tömeget literben, ha a referenciaadag g-ban volt megadva, itt a tömeget kg-ban kell megadni)</v>
      </c>
      <c r="B34" s="1099"/>
      <c r="C34" s="1105"/>
      <c r="D34" s="1106"/>
      <c r="E34" s="1106"/>
      <c r="F34" s="1107"/>
      <c r="G34" s="143"/>
      <c r="H34" s="1136" t="str">
        <f>H13</f>
        <v>Az elsődleges csomagolásban található  termék tömege (ha a referenciaadag ml-ben lett megadva, itt a tömeget literben, ha a referenciaadag g-ban volt megadva, itt a tömeget kg-ban kell megadni)</v>
      </c>
      <c r="I34" s="1137"/>
      <c r="J34" s="1105"/>
      <c r="K34" s="1106"/>
      <c r="L34" s="1106"/>
      <c r="M34" s="1107"/>
      <c r="N34" s="159"/>
      <c r="O34" s="159"/>
      <c r="P34" s="159"/>
      <c r="Q34" s="861"/>
      <c r="R34" s="861"/>
      <c r="S34" s="863"/>
      <c r="T34" s="861"/>
      <c r="U34" s="861"/>
      <c r="V34" s="861"/>
      <c r="W34" s="861"/>
      <c r="X34" s="861"/>
      <c r="Y34" s="861"/>
      <c r="Z34" s="861"/>
      <c r="AA34" s="861"/>
      <c r="AB34" s="861"/>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1"/>
      <c r="AY34" s="861"/>
      <c r="AZ34" s="861"/>
      <c r="BA34" s="861"/>
      <c r="BB34" s="861"/>
      <c r="BC34" s="861"/>
      <c r="BD34" s="861"/>
    </row>
    <row r="35" spans="1:56" s="138" customFormat="1" ht="13.5" thickBot="1">
      <c r="A35" s="246"/>
      <c r="B35" s="158"/>
      <c r="C35" s="158"/>
      <c r="D35" s="158"/>
      <c r="E35" s="158"/>
      <c r="F35" s="247"/>
      <c r="G35" s="156"/>
      <c r="H35" s="246"/>
      <c r="I35" s="158"/>
      <c r="J35" s="158"/>
      <c r="K35" s="158"/>
      <c r="L35" s="158"/>
      <c r="M35" s="247"/>
      <c r="N35" s="159"/>
      <c r="O35" s="159"/>
      <c r="P35" s="159"/>
      <c r="Q35" s="861"/>
      <c r="R35" s="861"/>
      <c r="S35" s="863"/>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1"/>
      <c r="AY35" s="861"/>
      <c r="AZ35" s="861"/>
      <c r="BA35" s="861"/>
      <c r="BB35" s="861"/>
      <c r="BC35" s="861"/>
      <c r="BD35" s="861"/>
    </row>
    <row r="36" spans="1:16" ht="165.75" customHeight="1">
      <c r="A36" s="210" t="str">
        <f aca="true" t="shared" si="3" ref="A36:F36">A15</f>
        <v>Az elsődleges csomagolás (i) része
(Kérjük, nevezze meg!)</v>
      </c>
      <c r="B36" s="227" t="str">
        <f t="shared" si="3"/>
        <v>Az (i) rész súlya, gramm (Ti)</v>
      </c>
      <c r="C36" s="227" t="str">
        <f t="shared" si="3"/>
        <v>az i elsődleges csomagolás nem fogyasztóktól visszavett csomagolóanyag-hulladék  újrahasznosításából származó részének tömege, gramm (Hi)</v>
      </c>
      <c r="D36" s="228" t="str">
        <f t="shared" si="3"/>
        <v>Újratöltési mutató (Ri)</v>
      </c>
      <c r="E36" s="211" t="str">
        <f t="shared" si="3"/>
        <v>(Di)</v>
      </c>
      <c r="F36" s="212" t="str">
        <f t="shared" si="3"/>
        <v>=( Wi + Ui ) /
 ( Di x ri )</v>
      </c>
      <c r="G36" s="156"/>
      <c r="H36" s="210" t="str">
        <f aca="true" t="shared" si="4" ref="H36:M36">H15</f>
        <v>Az elsődleges csomagolás (i) része
(Kérjük, nevezze meg!)</v>
      </c>
      <c r="I36" s="227" t="str">
        <f t="shared" si="4"/>
        <v>Az (i) rész súlya, gramm (Ti)</v>
      </c>
      <c r="J36" s="227" t="str">
        <f t="shared" si="4"/>
        <v>az i elsődleges csomagolás nem fogyasztóktól visszavett csomagolóanyag-hulladék  újrahasznosításából származó részének tömege, gramm (Hi)</v>
      </c>
      <c r="K36" s="228" t="str">
        <f t="shared" si="4"/>
        <v>Újratöltési mutató (Ri)</v>
      </c>
      <c r="L36" s="211" t="str">
        <f t="shared" si="4"/>
        <v>(Di)</v>
      </c>
      <c r="M36" s="212" t="str">
        <f t="shared" si="4"/>
        <v>=( Wi + Ui ) /
 ( Di x ri )</v>
      </c>
      <c r="N36" s="159"/>
      <c r="O36" s="159"/>
      <c r="P36" s="159"/>
    </row>
    <row r="37" spans="1:16" ht="15" customHeight="1">
      <c r="A37" s="149"/>
      <c r="B37" s="150"/>
      <c r="C37" s="150"/>
      <c r="D37" s="145"/>
      <c r="E37" s="214" t="str">
        <f>IF(A37="","",$C$34*1000/Termék!$C$38)</f>
        <v/>
      </c>
      <c r="F37" s="215" t="str">
        <f>IF(A37="","",((B37+C37)/(E37*D37)))</f>
        <v/>
      </c>
      <c r="G37" s="156"/>
      <c r="H37" s="149"/>
      <c r="I37" s="150"/>
      <c r="J37" s="150"/>
      <c r="K37" s="145"/>
      <c r="L37" s="214" t="str">
        <f>IF(H37="","",$J$34*1000/Termék!$C$38)</f>
        <v/>
      </c>
      <c r="M37" s="215" t="str">
        <f>IF(H37="","",((I37+J37)/(L37*K37)))</f>
        <v/>
      </c>
      <c r="N37" s="159"/>
      <c r="O37" s="159"/>
      <c r="P37" s="159"/>
    </row>
    <row r="38" spans="1:16" ht="15" customHeight="1">
      <c r="A38" s="146"/>
      <c r="B38" s="150"/>
      <c r="C38" s="150"/>
      <c r="D38" s="145"/>
      <c r="E38" s="214" t="str">
        <f>IF(A38="","",$C$34*1000/Termék!$C$38)</f>
        <v/>
      </c>
      <c r="F38" s="215" t="str">
        <f aca="true" t="shared" si="5" ref="F38:F41">IF(A38="","",((B38+C38)/(E38*D38)))</f>
        <v/>
      </c>
      <c r="G38" s="156"/>
      <c r="H38" s="146"/>
      <c r="I38" s="150"/>
      <c r="J38" s="150"/>
      <c r="K38" s="145"/>
      <c r="L38" s="214" t="str">
        <f>IF(H38="","",$J$34*1000/Termék!$C$38)</f>
        <v/>
      </c>
      <c r="M38" s="215" t="str">
        <f aca="true" t="shared" si="6" ref="M38:M41">IF(H38="","",((I38+J38)/(L38*K38)))</f>
        <v/>
      </c>
      <c r="N38" s="159"/>
      <c r="O38" s="159"/>
      <c r="P38" s="159"/>
    </row>
    <row r="39" spans="1:16" ht="15" customHeight="1">
      <c r="A39" s="146"/>
      <c r="B39" s="150"/>
      <c r="C39" s="150"/>
      <c r="D39" s="145"/>
      <c r="E39" s="214" t="str">
        <f>IF(A39="","",$C$34*1000/Termék!$C$38)</f>
        <v/>
      </c>
      <c r="F39" s="215" t="str">
        <f t="shared" si="5"/>
        <v/>
      </c>
      <c r="G39" s="156"/>
      <c r="H39" s="146"/>
      <c r="I39" s="150"/>
      <c r="J39" s="150"/>
      <c r="K39" s="145"/>
      <c r="L39" s="214" t="str">
        <f>IF(H39="","",$J$34*1000/Termék!$C$38)</f>
        <v/>
      </c>
      <c r="M39" s="215" t="str">
        <f t="shared" si="6"/>
        <v/>
      </c>
      <c r="N39" s="159"/>
      <c r="O39" s="159"/>
      <c r="P39" s="159"/>
    </row>
    <row r="40" spans="1:16" ht="15" customHeight="1">
      <c r="A40" s="146"/>
      <c r="B40" s="150"/>
      <c r="C40" s="150"/>
      <c r="D40" s="145"/>
      <c r="E40" s="214" t="str">
        <f>IF(A40="","",$C$34*1000/Termék!$C$38)</f>
        <v/>
      </c>
      <c r="F40" s="215" t="str">
        <f t="shared" si="5"/>
        <v/>
      </c>
      <c r="G40" s="156"/>
      <c r="H40" s="146"/>
      <c r="I40" s="150"/>
      <c r="J40" s="150"/>
      <c r="K40" s="145"/>
      <c r="L40" s="214" t="str">
        <f>IF(H40="","",$J$34*1000/Termék!$C$38)</f>
        <v/>
      </c>
      <c r="M40" s="215" t="str">
        <f t="shared" si="6"/>
        <v/>
      </c>
      <c r="N40" s="159"/>
      <c r="O40" s="159"/>
      <c r="P40" s="159"/>
    </row>
    <row r="41" spans="1:16" ht="15" customHeight="1" thickBot="1">
      <c r="A41" s="147"/>
      <c r="B41" s="151"/>
      <c r="C41" s="151"/>
      <c r="D41" s="148"/>
      <c r="E41" s="216" t="str">
        <f>IF(A41="","",$C$34*1000/Termék!$C$38)</f>
        <v/>
      </c>
      <c r="F41" s="217" t="str">
        <f t="shared" si="5"/>
        <v/>
      </c>
      <c r="G41" s="156"/>
      <c r="H41" s="147"/>
      <c r="I41" s="151"/>
      <c r="J41" s="151"/>
      <c r="K41" s="148"/>
      <c r="L41" s="216" t="str">
        <f>IF(H41="","",$J$34*1000/Termék!$C$38)</f>
        <v/>
      </c>
      <c r="M41" s="217" t="str">
        <f t="shared" si="6"/>
        <v/>
      </c>
      <c r="N41" s="159"/>
      <c r="O41" s="159"/>
      <c r="P41" s="159"/>
    </row>
    <row r="42" spans="1:16" ht="17.25" customHeight="1">
      <c r="A42" s="246"/>
      <c r="B42" s="158"/>
      <c r="C42" s="158"/>
      <c r="D42" s="260" t="str">
        <f>D21</f>
        <v>Összesen:</v>
      </c>
      <c r="E42" s="219" t="str">
        <f>E21</f>
        <v>=THA</v>
      </c>
      <c r="F42" s="255">
        <f>SUM(F37:F41)</f>
        <v>0</v>
      </c>
      <c r="G42" s="156"/>
      <c r="H42" s="246"/>
      <c r="I42" s="158"/>
      <c r="J42" s="158"/>
      <c r="K42" s="260" t="str">
        <f>K21</f>
        <v>Összesen:</v>
      </c>
      <c r="L42" s="219" t="str">
        <f>L21</f>
        <v>=THA</v>
      </c>
      <c r="M42" s="255">
        <f>SUM(M37:M41)</f>
        <v>0</v>
      </c>
      <c r="N42" s="159"/>
      <c r="O42" s="159"/>
      <c r="P42" s="159"/>
    </row>
    <row r="43" spans="1:16" ht="17.25" customHeight="1">
      <c r="A43" s="1108"/>
      <c r="B43" s="1109"/>
      <c r="C43" s="1109"/>
      <c r="D43" s="249"/>
      <c r="E43" s="220" t="str">
        <f>E22</f>
        <v>Határérték</v>
      </c>
      <c r="F43" s="250" t="e">
        <f>IF(OR(C33=Fordítások!$C301,C33=Fordítások!$B301),200,IF(OR(C33=Fordítások!$C302,C33=Fordítások!$B302),150,IF(OR(C33=Fordítások!$C303,C33=Fordítások!$B303),1.2,VLOOKUP(Termék!$C$24,Auswahldaten!$A$113:$G$137,7,FALSE))))</f>
        <v>#N/A</v>
      </c>
      <c r="G43" s="156"/>
      <c r="H43" s="1108"/>
      <c r="I43" s="1109"/>
      <c r="J43" s="1109"/>
      <c r="K43" s="249"/>
      <c r="L43" s="220" t="str">
        <f>L22</f>
        <v>Határérték</v>
      </c>
      <c r="M43" s="250" t="e">
        <f>IF(OR(J33=Fordítások!$C301,J33=Fordítások!$B301),200,IF(OR(J33=Fordítások!$C302,J33=Fordítások!$B302),150,IF(OR(J33=Fordítások!$C303,J33=Fordítások!$B303),1.2,VLOOKUP(Termék!$C$24,Auswahldaten!$A$113:$G$137,7,FALSE))))</f>
        <v>#N/A</v>
      </c>
      <c r="N43" s="159"/>
      <c r="O43" s="159"/>
      <c r="P43" s="159"/>
    </row>
    <row r="44" spans="1:16" ht="25.5" customHeight="1" thickBot="1">
      <c r="A44" s="1098" t="str">
        <f>A23</f>
        <v>Újrahasznosított anyagok aránya az elsődleges csomagolásban:</v>
      </c>
      <c r="B44" s="1099"/>
      <c r="C44" s="221" t="str">
        <f>IF(C34="","",(SUM(B37:B41)-SUM(C37:C41))/SUM(B37:B41))</f>
        <v/>
      </c>
      <c r="D44" s="158"/>
      <c r="E44" s="222" t="str">
        <f>E23</f>
        <v>Eredmény</v>
      </c>
      <c r="F44" s="251" t="e">
        <f>IF(OR(F42&lt;=F43,C44&gt;0.8),"ok","not ok")</f>
        <v>#N/A</v>
      </c>
      <c r="G44" s="156"/>
      <c r="H44" s="1098" t="str">
        <f>A23</f>
        <v>Újrahasznosított anyagok aránya az elsődleges csomagolásban:</v>
      </c>
      <c r="I44" s="1099"/>
      <c r="J44" s="221" t="str">
        <f>IF(J34="","",(SUM(I37:I41)-SUM(J37:J41))/SUM(I37:I41))</f>
        <v/>
      </c>
      <c r="K44" s="158"/>
      <c r="L44" s="222" t="str">
        <f>L23</f>
        <v>Eredmény</v>
      </c>
      <c r="M44" s="251" t="e">
        <f>IF(OR(M42&lt;=M43,J44&gt;0.8),"ok","not ok")</f>
        <v>#N/A</v>
      </c>
      <c r="N44" s="159"/>
      <c r="O44" s="159"/>
      <c r="P44" s="159"/>
    </row>
    <row r="45" spans="1:16" ht="16" thickTop="1">
      <c r="A45" s="256"/>
      <c r="B45" s="155"/>
      <c r="C45" s="155"/>
      <c r="D45" s="155"/>
      <c r="E45" s="155"/>
      <c r="F45" s="257"/>
      <c r="G45" s="156"/>
      <c r="H45" s="256"/>
      <c r="I45" s="155"/>
      <c r="J45" s="155"/>
      <c r="K45" s="155"/>
      <c r="L45" s="155"/>
      <c r="M45" s="257"/>
      <c r="N45" s="155"/>
      <c r="O45" s="155"/>
      <c r="P45" s="155"/>
    </row>
    <row r="46" spans="1:56" s="6" customFormat="1" ht="28.5" customHeight="1">
      <c r="A46" s="1119" t="str">
        <f>A25</f>
        <v>Csomagoláselem ( a pumpa kivételével - a permetezett anyagoknál is)</v>
      </c>
      <c r="B46" s="1120"/>
      <c r="C46" s="1120"/>
      <c r="D46" s="16"/>
      <c r="E46" s="16"/>
      <c r="F46" s="254"/>
      <c r="G46" s="16"/>
      <c r="H46" s="1119" t="str">
        <f>A25</f>
        <v>Csomagoláselem ( a pumpa kivételével - a permetezett anyagoknál is)</v>
      </c>
      <c r="I46" s="1120"/>
      <c r="J46" s="1120"/>
      <c r="K46" s="16"/>
      <c r="L46" s="16"/>
      <c r="M46" s="254"/>
      <c r="N46" s="52"/>
      <c r="O46" s="52"/>
      <c r="P46" s="52"/>
      <c r="Q46" s="467"/>
      <c r="R46" s="467"/>
      <c r="S46" s="865"/>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7"/>
      <c r="AZ46" s="467"/>
      <c r="BA46" s="467"/>
      <c r="BB46" s="467"/>
      <c r="BC46" s="467"/>
      <c r="BD46" s="467"/>
    </row>
    <row r="47" spans="1:56" s="6" customFormat="1" ht="15" customHeight="1">
      <c r="A47" s="1119" t="str">
        <f aca="true" t="shared" si="7" ref="A47:A50">A26</f>
        <v>A tartály vagy palack anyaga</v>
      </c>
      <c r="B47" s="1120"/>
      <c r="C47" s="1120"/>
      <c r="D47" s="1115"/>
      <c r="E47" s="1115"/>
      <c r="F47" s="1116"/>
      <c r="G47" s="16"/>
      <c r="H47" s="1119" t="str">
        <f aca="true" t="shared" si="8" ref="H47:H50">A26</f>
        <v>A tartály vagy palack anyaga</v>
      </c>
      <c r="I47" s="1120"/>
      <c r="J47" s="1120"/>
      <c r="K47" s="1115"/>
      <c r="L47" s="1115"/>
      <c r="M47" s="1116"/>
      <c r="N47" s="52"/>
      <c r="O47" s="52"/>
      <c r="P47" s="52"/>
      <c r="Q47" s="467"/>
      <c r="R47" s="467"/>
      <c r="S47" s="865"/>
      <c r="T47" s="467"/>
      <c r="U47" s="467"/>
      <c r="V47" s="467"/>
      <c r="W47" s="467"/>
      <c r="X47" s="467"/>
      <c r="Y47" s="467"/>
      <c r="Z47" s="467"/>
      <c r="AA47" s="467"/>
      <c r="AB47" s="467"/>
      <c r="AC47" s="467"/>
      <c r="AD47" s="467"/>
      <c r="AE47" s="467"/>
      <c r="AF47" s="467"/>
      <c r="AG47" s="467"/>
      <c r="AH47" s="467"/>
      <c r="AI47" s="467"/>
      <c r="AJ47" s="467"/>
      <c r="AK47" s="467"/>
      <c r="AL47" s="467"/>
      <c r="AM47" s="467"/>
      <c r="AN47" s="467"/>
      <c r="AO47" s="467"/>
      <c r="AP47" s="467"/>
      <c r="AQ47" s="467"/>
      <c r="AR47" s="467"/>
      <c r="AS47" s="467"/>
      <c r="AT47" s="467"/>
      <c r="AU47" s="467"/>
      <c r="AV47" s="467"/>
      <c r="AW47" s="467"/>
      <c r="AX47" s="467"/>
      <c r="AY47" s="467"/>
      <c r="AZ47" s="467"/>
      <c r="BA47" s="467"/>
      <c r="BB47" s="467"/>
      <c r="BC47" s="467"/>
      <c r="BD47" s="467"/>
    </row>
    <row r="48" spans="1:56" s="6" customFormat="1" ht="15" customHeight="1">
      <c r="A48" s="1119" t="str">
        <f t="shared" si="7"/>
        <v>A címke/ráhúzható címke anyaga</v>
      </c>
      <c r="B48" s="1120"/>
      <c r="C48" s="1120"/>
      <c r="D48" s="1115"/>
      <c r="E48" s="1115"/>
      <c r="F48" s="1116"/>
      <c r="G48" s="16"/>
      <c r="H48" s="1119" t="str">
        <f t="shared" si="8"/>
        <v>A címke/ráhúzható címke anyaga</v>
      </c>
      <c r="I48" s="1120"/>
      <c r="J48" s="1120"/>
      <c r="K48" s="1115"/>
      <c r="L48" s="1115"/>
      <c r="M48" s="1116"/>
      <c r="N48" s="52"/>
      <c r="O48" s="52"/>
      <c r="P48" s="52"/>
      <c r="Q48" s="467"/>
      <c r="R48" s="467"/>
      <c r="S48" s="865"/>
      <c r="T48" s="467"/>
      <c r="U48" s="467"/>
      <c r="V48" s="467"/>
      <c r="W48" s="467"/>
      <c r="X48" s="467"/>
      <c r="Y48" s="467"/>
      <c r="Z48" s="467"/>
      <c r="AA48" s="467"/>
      <c r="AB48" s="467"/>
      <c r="AC48" s="467"/>
      <c r="AD48" s="467"/>
      <c r="AE48" s="467"/>
      <c r="AF48" s="467"/>
      <c r="AG48" s="467"/>
      <c r="AH48" s="467"/>
      <c r="AI48" s="467"/>
      <c r="AJ48" s="467"/>
      <c r="AK48" s="467"/>
      <c r="AL48" s="467"/>
      <c r="AM48" s="467"/>
      <c r="AN48" s="467"/>
      <c r="AO48" s="467"/>
      <c r="AP48" s="467"/>
      <c r="AQ48" s="467"/>
      <c r="AR48" s="467"/>
      <c r="AS48" s="467"/>
      <c r="AT48" s="467"/>
      <c r="AU48" s="467"/>
      <c r="AV48" s="467"/>
      <c r="AW48" s="467"/>
      <c r="AX48" s="467"/>
      <c r="AY48" s="467"/>
      <c r="AZ48" s="467"/>
      <c r="BA48" s="467"/>
      <c r="BB48" s="467"/>
      <c r="BC48" s="467"/>
      <c r="BD48" s="467"/>
    </row>
    <row r="49" spans="1:56" s="6" customFormat="1" ht="15" customHeight="1">
      <c r="A49" s="1119" t="str">
        <f t="shared" si="7"/>
        <v>A záróelem anyaga</v>
      </c>
      <c r="B49" s="1120"/>
      <c r="C49" s="1120"/>
      <c r="D49" s="1115"/>
      <c r="E49" s="1115"/>
      <c r="F49" s="1116"/>
      <c r="G49" s="16"/>
      <c r="H49" s="1119" t="str">
        <f t="shared" si="8"/>
        <v>A záróelem anyaga</v>
      </c>
      <c r="I49" s="1120"/>
      <c r="J49" s="1120"/>
      <c r="K49" s="1115"/>
      <c r="L49" s="1115"/>
      <c r="M49" s="1116"/>
      <c r="N49" s="52"/>
      <c r="O49" s="52"/>
      <c r="P49" s="52"/>
      <c r="Q49" s="467"/>
      <c r="R49" s="467"/>
      <c r="S49" s="865"/>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7"/>
    </row>
    <row r="50" spans="1:56" s="6" customFormat="1" ht="15" customHeight="1" thickBot="1">
      <c r="A50" s="1131" t="str">
        <f t="shared" si="7"/>
        <v>A záróréteg-bevonat anyaga</v>
      </c>
      <c r="B50" s="1132"/>
      <c r="C50" s="1132"/>
      <c r="D50" s="1117"/>
      <c r="E50" s="1117"/>
      <c r="F50" s="1118"/>
      <c r="G50" s="16"/>
      <c r="H50" s="1131" t="str">
        <f t="shared" si="8"/>
        <v>A záróréteg-bevonat anyaga</v>
      </c>
      <c r="I50" s="1132"/>
      <c r="J50" s="1132"/>
      <c r="K50" s="1117"/>
      <c r="L50" s="1117"/>
      <c r="M50" s="1118"/>
      <c r="N50" s="52"/>
      <c r="O50" s="52"/>
      <c r="P50" s="52"/>
      <c r="Q50" s="467"/>
      <c r="R50" s="467"/>
      <c r="S50" s="865"/>
      <c r="T50" s="467"/>
      <c r="U50" s="467"/>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7"/>
      <c r="AR50" s="467"/>
      <c r="AS50" s="467"/>
      <c r="AT50" s="467"/>
      <c r="AU50" s="467"/>
      <c r="AV50" s="467"/>
      <c r="AW50" s="467"/>
      <c r="AX50" s="467"/>
      <c r="AY50" s="467"/>
      <c r="AZ50" s="467"/>
      <c r="BA50" s="467"/>
      <c r="BB50" s="467"/>
      <c r="BC50" s="467"/>
      <c r="BD50" s="467"/>
    </row>
    <row r="51" spans="1:16" ht="15.5">
      <c r="A51" s="155"/>
      <c r="B51" s="155"/>
      <c r="C51" s="155"/>
      <c r="D51" s="155"/>
      <c r="E51" s="155"/>
      <c r="F51" s="155"/>
      <c r="G51" s="156"/>
      <c r="H51" s="155"/>
      <c r="I51" s="155"/>
      <c r="J51" s="155"/>
      <c r="K51" s="155"/>
      <c r="L51" s="155"/>
      <c r="M51" s="155"/>
      <c r="N51" s="155"/>
      <c r="O51" s="155"/>
      <c r="P51" s="155"/>
    </row>
    <row r="52" spans="1:16" ht="34.5" customHeight="1">
      <c r="A52" s="1112" t="str">
        <f>Összetétel!B67</f>
        <v>A pályázó megjegyzései</v>
      </c>
      <c r="B52" s="1113"/>
      <c r="C52" s="1113"/>
      <c r="D52" s="1113"/>
      <c r="E52" s="1113"/>
      <c r="F52" s="1113"/>
      <c r="G52" s="1113"/>
      <c r="H52" s="1113"/>
      <c r="I52" s="1113"/>
      <c r="J52" s="1113"/>
      <c r="K52" s="1113"/>
      <c r="L52" s="1113"/>
      <c r="M52" s="1114"/>
      <c r="N52" s="155"/>
      <c r="O52" s="155"/>
      <c r="P52" s="155"/>
    </row>
    <row r="53" spans="1:16" ht="15.5">
      <c r="A53" s="155"/>
      <c r="B53" s="155"/>
      <c r="C53" s="155"/>
      <c r="D53" s="155"/>
      <c r="E53" s="155"/>
      <c r="F53" s="155"/>
      <c r="G53" s="156"/>
      <c r="H53" s="155"/>
      <c r="I53" s="155"/>
      <c r="J53" s="155"/>
      <c r="K53" s="155"/>
      <c r="L53" s="155"/>
      <c r="M53" s="155"/>
      <c r="N53" s="155"/>
      <c r="O53" s="155"/>
      <c r="P53" s="155"/>
    </row>
    <row r="54" spans="1:16" ht="15.5">
      <c r="A54" s="155"/>
      <c r="B54" s="155"/>
      <c r="C54" s="155"/>
      <c r="D54" s="155"/>
      <c r="E54" s="155"/>
      <c r="F54" s="155"/>
      <c r="G54" s="156"/>
      <c r="H54" s="155"/>
      <c r="I54" s="155"/>
      <c r="J54" s="155"/>
      <c r="K54" s="155"/>
      <c r="L54" s="155"/>
      <c r="M54" s="155"/>
      <c r="N54" s="155"/>
      <c r="O54" s="155"/>
      <c r="P54" s="155"/>
    </row>
    <row r="55" spans="1:16" ht="15.5">
      <c r="A55" s="155"/>
      <c r="B55" s="155"/>
      <c r="C55" s="155"/>
      <c r="D55" s="155"/>
      <c r="E55" s="155"/>
      <c r="F55" s="155"/>
      <c r="G55" s="156"/>
      <c r="H55" s="155"/>
      <c r="I55" s="155"/>
      <c r="J55" s="155"/>
      <c r="K55" s="155"/>
      <c r="L55" s="155"/>
      <c r="M55" s="155"/>
      <c r="N55" s="155"/>
      <c r="O55" s="155"/>
      <c r="P55" s="155"/>
    </row>
    <row r="56" spans="1:16" ht="15.5">
      <c r="A56" s="155"/>
      <c r="B56" s="155"/>
      <c r="C56" s="155"/>
      <c r="D56" s="155"/>
      <c r="E56" s="155"/>
      <c r="F56" s="155"/>
      <c r="G56" s="156"/>
      <c r="H56" s="155"/>
      <c r="I56" s="155"/>
      <c r="J56" s="155"/>
      <c r="K56" s="155"/>
      <c r="L56" s="155"/>
      <c r="M56" s="155"/>
      <c r="N56" s="155"/>
      <c r="O56" s="155"/>
      <c r="P56" s="155"/>
    </row>
    <row r="57" spans="1:16" ht="15.5">
      <c r="A57" s="155"/>
      <c r="B57" s="155"/>
      <c r="C57" s="155"/>
      <c r="D57" s="155"/>
      <c r="E57" s="155"/>
      <c r="F57" s="155"/>
      <c r="G57" s="156"/>
      <c r="H57" s="155"/>
      <c r="I57" s="155"/>
      <c r="J57" s="155"/>
      <c r="K57" s="155"/>
      <c r="L57" s="155"/>
      <c r="M57" s="155"/>
      <c r="N57" s="155"/>
      <c r="O57" s="155"/>
      <c r="P57" s="155"/>
    </row>
    <row r="58" spans="1:16" ht="15.5">
      <c r="A58" s="155"/>
      <c r="B58" s="155"/>
      <c r="C58" s="155"/>
      <c r="D58" s="155"/>
      <c r="E58" s="155"/>
      <c r="F58" s="155"/>
      <c r="G58" s="156"/>
      <c r="H58" s="155"/>
      <c r="I58" s="155"/>
      <c r="J58" s="155"/>
      <c r="K58" s="155"/>
      <c r="L58" s="155"/>
      <c r="M58" s="155"/>
      <c r="N58" s="155"/>
      <c r="O58" s="155"/>
      <c r="P58" s="155"/>
    </row>
    <row r="59" spans="1:16" ht="15.5">
      <c r="A59" s="155"/>
      <c r="B59" s="155"/>
      <c r="C59" s="155"/>
      <c r="D59" s="155"/>
      <c r="E59" s="155"/>
      <c r="F59" s="155"/>
      <c r="G59" s="156"/>
      <c r="H59" s="155"/>
      <c r="I59" s="155"/>
      <c r="J59" s="155"/>
      <c r="K59" s="155"/>
      <c r="L59" s="155"/>
      <c r="M59" s="155"/>
      <c r="N59" s="155"/>
      <c r="O59" s="155"/>
      <c r="P59" s="155"/>
    </row>
    <row r="60" spans="1:16" ht="15.5">
      <c r="A60" s="155"/>
      <c r="B60" s="155"/>
      <c r="C60" s="155"/>
      <c r="D60" s="155"/>
      <c r="E60" s="155"/>
      <c r="F60" s="155"/>
      <c r="G60" s="156"/>
      <c r="H60" s="155"/>
      <c r="I60" s="155"/>
      <c r="J60" s="155"/>
      <c r="K60" s="155"/>
      <c r="L60" s="155"/>
      <c r="M60" s="155"/>
      <c r="N60" s="155"/>
      <c r="O60" s="155"/>
      <c r="P60" s="155"/>
    </row>
    <row r="61" spans="1:16" ht="15.5">
      <c r="A61" s="155"/>
      <c r="B61" s="155"/>
      <c r="C61" s="155"/>
      <c r="D61" s="155"/>
      <c r="E61" s="155"/>
      <c r="F61" s="155"/>
      <c r="G61" s="156"/>
      <c r="H61" s="155"/>
      <c r="I61" s="155"/>
      <c r="J61" s="155"/>
      <c r="K61" s="155"/>
      <c r="L61" s="155"/>
      <c r="M61" s="155"/>
      <c r="N61" s="155"/>
      <c r="O61" s="155"/>
      <c r="P61" s="155"/>
    </row>
    <row r="62" spans="1:16" ht="15.5">
      <c r="A62" s="155"/>
      <c r="B62" s="155"/>
      <c r="C62" s="155"/>
      <c r="D62" s="155"/>
      <c r="E62" s="155"/>
      <c r="F62" s="155"/>
      <c r="G62" s="156"/>
      <c r="H62" s="155"/>
      <c r="I62" s="155"/>
      <c r="J62" s="155"/>
      <c r="K62" s="155"/>
      <c r="L62" s="155"/>
      <c r="M62" s="155"/>
      <c r="N62" s="155"/>
      <c r="O62" s="155"/>
      <c r="P62" s="155"/>
    </row>
    <row r="63" spans="1:16" ht="15.5">
      <c r="A63" s="141"/>
      <c r="B63" s="141"/>
      <c r="C63" s="141"/>
      <c r="D63" s="141"/>
      <c r="E63" s="141"/>
      <c r="F63" s="141"/>
      <c r="G63" s="156"/>
      <c r="H63" s="141"/>
      <c r="I63" s="141"/>
      <c r="J63" s="141"/>
      <c r="K63" s="141"/>
      <c r="L63" s="141"/>
      <c r="M63" s="141"/>
      <c r="N63" s="141"/>
      <c r="O63" s="141"/>
      <c r="P63" s="141"/>
    </row>
    <row r="64" spans="1:16" ht="15.5">
      <c r="A64" s="141"/>
      <c r="B64" s="141"/>
      <c r="C64" s="141"/>
      <c r="D64" s="141"/>
      <c r="E64" s="141"/>
      <c r="F64" s="141"/>
      <c r="G64" s="156"/>
      <c r="H64" s="141"/>
      <c r="I64" s="141"/>
      <c r="J64" s="141"/>
      <c r="K64" s="141"/>
      <c r="L64" s="141"/>
      <c r="M64" s="141"/>
      <c r="N64" s="141"/>
      <c r="O64" s="141"/>
      <c r="P64" s="141"/>
    </row>
    <row r="65" spans="1:16" ht="15.5">
      <c r="A65" s="141"/>
      <c r="B65" s="141"/>
      <c r="C65" s="141"/>
      <c r="D65" s="141"/>
      <c r="E65" s="141"/>
      <c r="F65" s="141"/>
      <c r="G65" s="156"/>
      <c r="H65" s="141"/>
      <c r="I65" s="141"/>
      <c r="J65" s="141"/>
      <c r="K65" s="141"/>
      <c r="L65" s="141"/>
      <c r="M65" s="141"/>
      <c r="N65" s="141"/>
      <c r="O65" s="141"/>
      <c r="P65" s="141"/>
    </row>
    <row r="66" spans="1:16" ht="15.5">
      <c r="A66" s="141"/>
      <c r="B66" s="141"/>
      <c r="C66" s="141"/>
      <c r="D66" s="141"/>
      <c r="E66" s="141"/>
      <c r="F66" s="141"/>
      <c r="G66" s="141"/>
      <c r="H66" s="141"/>
      <c r="I66" s="141"/>
      <c r="J66" s="141"/>
      <c r="K66" s="141"/>
      <c r="L66" s="141"/>
      <c r="M66" s="141"/>
      <c r="N66" s="141"/>
      <c r="O66" s="141"/>
      <c r="P66" s="141"/>
    </row>
    <row r="67" spans="1:16" ht="15.5">
      <c r="A67" s="141"/>
      <c r="B67" s="141"/>
      <c r="C67" s="141"/>
      <c r="D67" s="141"/>
      <c r="E67" s="141"/>
      <c r="F67" s="141"/>
      <c r="G67" s="141"/>
      <c r="H67" s="141"/>
      <c r="I67" s="141"/>
      <c r="J67" s="141"/>
      <c r="K67" s="141"/>
      <c r="L67" s="141"/>
      <c r="M67" s="141"/>
      <c r="N67" s="141"/>
      <c r="O67" s="141"/>
      <c r="P67" s="141"/>
    </row>
    <row r="68" spans="1:16" ht="15.5">
      <c r="A68" s="141"/>
      <c r="B68" s="141"/>
      <c r="C68" s="141"/>
      <c r="D68" s="141"/>
      <c r="E68" s="141"/>
      <c r="F68" s="141"/>
      <c r="G68" s="141"/>
      <c r="H68" s="141"/>
      <c r="I68" s="141"/>
      <c r="J68" s="141"/>
      <c r="K68" s="141"/>
      <c r="L68" s="141"/>
      <c r="M68" s="141"/>
      <c r="N68" s="141"/>
      <c r="O68" s="141"/>
      <c r="P68" s="141"/>
    </row>
    <row r="69" spans="1:16" ht="15.5">
      <c r="A69" s="141"/>
      <c r="B69" s="141"/>
      <c r="C69" s="141"/>
      <c r="D69" s="141"/>
      <c r="E69" s="141"/>
      <c r="F69" s="141"/>
      <c r="G69" s="141"/>
      <c r="H69" s="141"/>
      <c r="I69" s="141"/>
      <c r="J69" s="141"/>
      <c r="K69" s="141"/>
      <c r="L69" s="141"/>
      <c r="M69" s="141"/>
      <c r="N69" s="141"/>
      <c r="O69" s="141"/>
      <c r="P69" s="141"/>
    </row>
    <row r="70" spans="1:16" ht="15.5">
      <c r="A70" s="141"/>
      <c r="B70" s="141"/>
      <c r="C70" s="141"/>
      <c r="D70" s="141"/>
      <c r="E70" s="141"/>
      <c r="F70" s="141"/>
      <c r="G70" s="141"/>
      <c r="H70" s="141"/>
      <c r="I70" s="141"/>
      <c r="J70" s="141"/>
      <c r="K70" s="141"/>
      <c r="L70" s="141"/>
      <c r="M70" s="141"/>
      <c r="N70" s="141"/>
      <c r="O70" s="141"/>
      <c r="P70" s="141"/>
    </row>
    <row r="71" spans="1:16" ht="15.5">
      <c r="A71" s="141"/>
      <c r="B71" s="141"/>
      <c r="C71" s="141"/>
      <c r="D71" s="141"/>
      <c r="E71" s="141"/>
      <c r="F71" s="141"/>
      <c r="G71" s="141"/>
      <c r="H71" s="141"/>
      <c r="I71" s="141"/>
      <c r="J71" s="141"/>
      <c r="K71" s="141"/>
      <c r="L71" s="141"/>
      <c r="M71" s="141"/>
      <c r="N71" s="141"/>
      <c r="O71" s="141"/>
      <c r="P71" s="141"/>
    </row>
    <row r="72" spans="1:16" ht="15.5">
      <c r="A72" s="141"/>
      <c r="B72" s="141"/>
      <c r="C72" s="141"/>
      <c r="D72" s="141"/>
      <c r="E72" s="141"/>
      <c r="F72" s="141"/>
      <c r="G72" s="141"/>
      <c r="H72" s="141"/>
      <c r="I72" s="141"/>
      <c r="J72" s="141"/>
      <c r="K72" s="141"/>
      <c r="L72" s="141"/>
      <c r="M72" s="141"/>
      <c r="N72" s="141"/>
      <c r="O72" s="141"/>
      <c r="P72" s="141"/>
    </row>
    <row r="73" spans="1:16" ht="15.5">
      <c r="A73" s="141"/>
      <c r="B73" s="141"/>
      <c r="C73" s="141"/>
      <c r="D73" s="141"/>
      <c r="E73" s="141"/>
      <c r="F73" s="141"/>
      <c r="G73" s="141"/>
      <c r="H73" s="141"/>
      <c r="I73" s="141"/>
      <c r="J73" s="141"/>
      <c r="K73" s="141"/>
      <c r="L73" s="141"/>
      <c r="M73" s="141"/>
      <c r="N73" s="141"/>
      <c r="O73" s="141"/>
      <c r="P73" s="141"/>
    </row>
    <row r="74" spans="1:16" ht="15.5">
      <c r="A74" s="141"/>
      <c r="B74" s="141"/>
      <c r="C74" s="141"/>
      <c r="D74" s="141"/>
      <c r="E74" s="141"/>
      <c r="F74" s="141"/>
      <c r="G74" s="141"/>
      <c r="H74" s="141"/>
      <c r="I74" s="141"/>
      <c r="J74" s="141"/>
      <c r="K74" s="141"/>
      <c r="L74" s="141"/>
      <c r="M74" s="141"/>
      <c r="N74" s="141"/>
      <c r="O74" s="141"/>
      <c r="P74" s="141"/>
    </row>
    <row r="75" spans="1:16" ht="15.5">
      <c r="A75" s="141"/>
      <c r="B75" s="141"/>
      <c r="C75" s="141"/>
      <c r="D75" s="141"/>
      <c r="E75" s="141"/>
      <c r="F75" s="141"/>
      <c r="G75" s="141"/>
      <c r="H75" s="141"/>
      <c r="I75" s="141"/>
      <c r="J75" s="141"/>
      <c r="K75" s="141"/>
      <c r="L75" s="141"/>
      <c r="M75" s="141"/>
      <c r="N75" s="141"/>
      <c r="O75" s="141"/>
      <c r="P75" s="141"/>
    </row>
    <row r="76" spans="1:16" ht="15.5">
      <c r="A76" s="141"/>
      <c r="B76" s="141"/>
      <c r="C76" s="141"/>
      <c r="D76" s="141"/>
      <c r="E76" s="141"/>
      <c r="F76" s="141"/>
      <c r="G76" s="141"/>
      <c r="H76" s="141"/>
      <c r="I76" s="141"/>
      <c r="J76" s="141"/>
      <c r="K76" s="141"/>
      <c r="L76" s="141"/>
      <c r="M76" s="141"/>
      <c r="N76" s="141"/>
      <c r="O76" s="141"/>
      <c r="P76" s="141"/>
    </row>
    <row r="77" spans="1:16" ht="15.5">
      <c r="A77" s="141"/>
      <c r="B77" s="141"/>
      <c r="C77" s="141"/>
      <c r="D77" s="141"/>
      <c r="E77" s="141"/>
      <c r="F77" s="141"/>
      <c r="G77" s="141"/>
      <c r="H77" s="141"/>
      <c r="I77" s="141"/>
      <c r="J77" s="141"/>
      <c r="K77" s="141"/>
      <c r="L77" s="141"/>
      <c r="M77" s="141"/>
      <c r="N77" s="141"/>
      <c r="O77" s="141"/>
      <c r="P77" s="141"/>
    </row>
    <row r="78" spans="1:16" ht="15.5">
      <c r="A78" s="141"/>
      <c r="B78" s="141"/>
      <c r="C78" s="141"/>
      <c r="D78" s="141"/>
      <c r="E78" s="141"/>
      <c r="F78" s="141"/>
      <c r="G78" s="141"/>
      <c r="H78" s="141"/>
      <c r="I78" s="141"/>
      <c r="J78" s="141"/>
      <c r="K78" s="141"/>
      <c r="L78" s="141"/>
      <c r="M78" s="141"/>
      <c r="N78" s="141"/>
      <c r="O78" s="141"/>
      <c r="P78" s="141"/>
    </row>
    <row r="79" spans="8:16" ht="15.5">
      <c r="H79" s="141"/>
      <c r="I79" s="141"/>
      <c r="J79" s="141"/>
      <c r="K79" s="141"/>
      <c r="L79" s="141"/>
      <c r="M79" s="141"/>
      <c r="N79" s="141"/>
      <c r="O79" s="141"/>
      <c r="P79" s="141"/>
    </row>
    <row r="80" spans="8:16" ht="15.5">
      <c r="H80" s="141"/>
      <c r="I80" s="141"/>
      <c r="J80" s="141"/>
      <c r="K80" s="141"/>
      <c r="L80" s="141"/>
      <c r="M80" s="141"/>
      <c r="N80" s="141"/>
      <c r="O80" s="141"/>
      <c r="P80" s="141"/>
    </row>
    <row r="81" spans="8:16" ht="15.5">
      <c r="H81" s="141"/>
      <c r="I81" s="141"/>
      <c r="J81" s="141"/>
      <c r="K81" s="141"/>
      <c r="L81" s="141"/>
      <c r="M81" s="141"/>
      <c r="N81" s="141"/>
      <c r="O81" s="141"/>
      <c r="P81" s="141"/>
    </row>
    <row r="82" spans="8:16" ht="15.5">
      <c r="H82" s="141"/>
      <c r="I82" s="141"/>
      <c r="J82" s="141"/>
      <c r="K82" s="141"/>
      <c r="L82" s="141"/>
      <c r="M82" s="141"/>
      <c r="N82" s="141"/>
      <c r="O82" s="141"/>
      <c r="P82" s="141"/>
    </row>
    <row r="83" spans="13:16" ht="12.75">
      <c r="M83" s="142"/>
      <c r="N83" s="142"/>
      <c r="O83" s="142"/>
      <c r="P83" s="142"/>
    </row>
    <row r="84" spans="13:16" ht="12.75">
      <c r="M84" s="142"/>
      <c r="N84" s="142"/>
      <c r="O84" s="142"/>
      <c r="P84" s="142"/>
    </row>
    <row r="85" spans="13:16" ht="12.75">
      <c r="M85" s="142"/>
      <c r="N85" s="142"/>
      <c r="O85" s="142"/>
      <c r="P85" s="142"/>
    </row>
    <row r="86" spans="13:16" ht="12.75">
      <c r="M86" s="142"/>
      <c r="N86" s="142"/>
      <c r="O86" s="142"/>
      <c r="P86" s="142"/>
    </row>
    <row r="87" spans="13:16" ht="12.75">
      <c r="M87" s="142"/>
      <c r="N87" s="142"/>
      <c r="O87" s="142"/>
      <c r="P87" s="142"/>
    </row>
    <row r="88" spans="13:16" ht="12.75">
      <c r="M88" s="142"/>
      <c r="N88" s="142"/>
      <c r="O88" s="142"/>
      <c r="P88" s="142"/>
    </row>
    <row r="89" spans="13:16" ht="12.75">
      <c r="M89" s="142"/>
      <c r="N89" s="142"/>
      <c r="O89" s="142"/>
      <c r="P89" s="142"/>
    </row>
    <row r="90" spans="13:16" ht="12.75">
      <c r="M90" s="142"/>
      <c r="N90" s="142"/>
      <c r="O90" s="142"/>
      <c r="P90" s="142"/>
    </row>
    <row r="91" spans="13:16" ht="12.75">
      <c r="M91" s="142"/>
      <c r="N91" s="142"/>
      <c r="O91" s="142"/>
      <c r="P91" s="142"/>
    </row>
    <row r="92" spans="13:16" ht="12.75">
      <c r="M92" s="142"/>
      <c r="N92" s="142"/>
      <c r="O92" s="142"/>
      <c r="P92" s="142"/>
    </row>
    <row r="93" spans="13:16" ht="12.75">
      <c r="M93" s="142"/>
      <c r="N93" s="142"/>
      <c r="O93" s="142"/>
      <c r="P93" s="142"/>
    </row>
    <row r="94" spans="13:16" ht="12.75">
      <c r="M94" s="142"/>
      <c r="N94" s="142"/>
      <c r="O94" s="142"/>
      <c r="P94" s="142"/>
    </row>
    <row r="95" spans="13:16" ht="12.75">
      <c r="M95" s="142"/>
      <c r="N95" s="142"/>
      <c r="O95" s="142"/>
      <c r="P95" s="142"/>
    </row>
    <row r="96" spans="13:16" ht="12.75">
      <c r="M96" s="142"/>
      <c r="N96" s="142"/>
      <c r="O96" s="142"/>
      <c r="P96" s="142"/>
    </row>
    <row r="97" spans="13:16" ht="12.75">
      <c r="M97" s="142"/>
      <c r="N97" s="142"/>
      <c r="O97" s="142"/>
      <c r="P97" s="142"/>
    </row>
    <row r="98" spans="13:16" ht="12.75">
      <c r="M98" s="142"/>
      <c r="N98" s="142"/>
      <c r="O98" s="142"/>
      <c r="P98" s="142"/>
    </row>
    <row r="99" spans="13:16" ht="12.75">
      <c r="M99" s="142"/>
      <c r="N99" s="142"/>
      <c r="O99" s="142"/>
      <c r="P99" s="142"/>
    </row>
    <row r="100" spans="13:16" ht="12.75">
      <c r="M100" s="142"/>
      <c r="N100" s="142"/>
      <c r="O100" s="142"/>
      <c r="P100" s="142"/>
    </row>
    <row r="101" spans="13:16" ht="12.75">
      <c r="M101" s="142"/>
      <c r="N101" s="142"/>
      <c r="O101" s="142"/>
      <c r="P101" s="142"/>
    </row>
    <row r="102" spans="13:16" ht="12.75">
      <c r="M102" s="142"/>
      <c r="N102" s="142"/>
      <c r="O102" s="142"/>
      <c r="P102" s="142"/>
    </row>
    <row r="103" spans="13:16" ht="12.75">
      <c r="M103" s="142"/>
      <c r="N103" s="142"/>
      <c r="O103" s="142"/>
      <c r="P103" s="142"/>
    </row>
    <row r="104" spans="13:16" ht="12.75">
      <c r="M104" s="142"/>
      <c r="N104" s="142"/>
      <c r="O104" s="142"/>
      <c r="P104" s="142"/>
    </row>
    <row r="105" spans="13:16" ht="12.75">
      <c r="M105" s="142"/>
      <c r="N105" s="142"/>
      <c r="O105" s="142"/>
      <c r="P105" s="142"/>
    </row>
    <row r="106" spans="13:16" ht="12.75">
      <c r="M106" s="142"/>
      <c r="N106" s="142"/>
      <c r="O106" s="142"/>
      <c r="P106" s="142"/>
    </row>
    <row r="107" spans="13:16" ht="12.75">
      <c r="M107" s="142"/>
      <c r="N107" s="142"/>
      <c r="O107" s="142"/>
      <c r="P107" s="142"/>
    </row>
    <row r="108" spans="13:16" ht="12.75">
      <c r="M108" s="142"/>
      <c r="N108" s="142"/>
      <c r="O108" s="142"/>
      <c r="P108" s="142"/>
    </row>
    <row r="109" spans="13:16" ht="12.75">
      <c r="M109" s="142"/>
      <c r="N109" s="142"/>
      <c r="O109" s="142"/>
      <c r="P109" s="142"/>
    </row>
    <row r="110" spans="13:16" ht="12.75">
      <c r="M110" s="142"/>
      <c r="N110" s="142"/>
      <c r="O110" s="142"/>
      <c r="P110" s="142"/>
    </row>
    <row r="111" spans="13:16" ht="12.75">
      <c r="M111" s="142"/>
      <c r="N111" s="142"/>
      <c r="O111" s="142"/>
      <c r="P111" s="142"/>
    </row>
    <row r="112" spans="13:16" ht="12.75">
      <c r="M112" s="142"/>
      <c r="N112" s="142"/>
      <c r="O112" s="142"/>
      <c r="P112" s="142"/>
    </row>
    <row r="113" spans="13:16" ht="12.75">
      <c r="M113" s="142"/>
      <c r="N113" s="142"/>
      <c r="O113" s="142"/>
      <c r="P113" s="142"/>
    </row>
    <row r="114" spans="13:16" ht="12.75">
      <c r="M114" s="142"/>
      <c r="N114" s="142"/>
      <c r="O114" s="142"/>
      <c r="P114" s="142"/>
    </row>
    <row r="115" spans="13:16" ht="12.75">
      <c r="M115" s="142"/>
      <c r="N115" s="142"/>
      <c r="O115" s="142"/>
      <c r="P115" s="142"/>
    </row>
    <row r="116" spans="13:16" ht="12.75">
      <c r="M116" s="142"/>
      <c r="N116" s="142"/>
      <c r="O116" s="142"/>
      <c r="P116" s="142"/>
    </row>
    <row r="117" spans="13:16" ht="12.75">
      <c r="M117" s="142"/>
      <c r="N117" s="142"/>
      <c r="O117" s="142"/>
      <c r="P117" s="142"/>
    </row>
    <row r="118" spans="13:16" ht="12.75">
      <c r="M118" s="142"/>
      <c r="N118" s="142"/>
      <c r="O118" s="142"/>
      <c r="P118" s="142"/>
    </row>
    <row r="119" spans="13:16" ht="12.75">
      <c r="M119" s="142"/>
      <c r="N119" s="142"/>
      <c r="O119" s="142"/>
      <c r="P119" s="142"/>
    </row>
    <row r="120" spans="13:16" ht="12.75">
      <c r="M120" s="142"/>
      <c r="N120" s="142"/>
      <c r="O120" s="142"/>
      <c r="P120" s="142"/>
    </row>
    <row r="121" spans="13:16" ht="12.75">
      <c r="M121" s="142"/>
      <c r="N121" s="142"/>
      <c r="O121" s="142"/>
      <c r="P121" s="142"/>
    </row>
    <row r="122" spans="13:16" ht="12.75">
      <c r="M122" s="142"/>
      <c r="N122" s="142"/>
      <c r="O122" s="142"/>
      <c r="P122" s="142"/>
    </row>
    <row r="123" spans="13:16" ht="12.75">
      <c r="M123" s="142"/>
      <c r="N123" s="142"/>
      <c r="O123" s="142"/>
      <c r="P123" s="142"/>
    </row>
    <row r="124" spans="13:16" ht="12.75">
      <c r="M124" s="142"/>
      <c r="N124" s="142"/>
      <c r="O124" s="142"/>
      <c r="P124" s="142"/>
    </row>
    <row r="125" spans="13:16" ht="12.75">
      <c r="M125" s="142"/>
      <c r="N125" s="142"/>
      <c r="O125" s="142"/>
      <c r="P125" s="142"/>
    </row>
    <row r="126" spans="13:16" ht="12.75">
      <c r="M126" s="142"/>
      <c r="N126" s="142"/>
      <c r="O126" s="142"/>
      <c r="P126" s="142"/>
    </row>
    <row r="127" spans="13:16" ht="12.75">
      <c r="M127" s="142"/>
      <c r="N127" s="142"/>
      <c r="O127" s="142"/>
      <c r="P127" s="142"/>
    </row>
    <row r="128" spans="13:16" ht="12.75">
      <c r="M128" s="142"/>
      <c r="N128" s="142"/>
      <c r="O128" s="142"/>
      <c r="P128" s="142"/>
    </row>
    <row r="129" spans="13:16" ht="12.75">
      <c r="M129" s="142"/>
      <c r="N129" s="142"/>
      <c r="O129" s="142"/>
      <c r="P129" s="142"/>
    </row>
    <row r="130" spans="13:16" ht="12.75">
      <c r="M130" s="142"/>
      <c r="N130" s="142"/>
      <c r="O130" s="142"/>
      <c r="P130" s="142"/>
    </row>
    <row r="131" spans="13:16" ht="12.75">
      <c r="M131" s="142"/>
      <c r="N131" s="142"/>
      <c r="O131" s="142"/>
      <c r="P131" s="142"/>
    </row>
    <row r="132" spans="13:16" ht="12.75">
      <c r="M132" s="142"/>
      <c r="N132" s="142"/>
      <c r="O132" s="142"/>
      <c r="P132" s="142"/>
    </row>
    <row r="133" spans="13:16" ht="12.75">
      <c r="M133" s="142"/>
      <c r="N133" s="142"/>
      <c r="O133" s="142"/>
      <c r="P133" s="142"/>
    </row>
    <row r="134" spans="13:16" ht="12.75">
      <c r="M134" s="142"/>
      <c r="N134" s="142"/>
      <c r="O134" s="142"/>
      <c r="P134" s="142"/>
    </row>
    <row r="135" spans="13:16" ht="12.75">
      <c r="M135" s="142"/>
      <c r="N135" s="142"/>
      <c r="O135" s="142"/>
      <c r="P135" s="142"/>
    </row>
    <row r="136" spans="13:16" ht="12.75">
      <c r="M136" s="142"/>
      <c r="N136" s="142"/>
      <c r="O136" s="142"/>
      <c r="P136" s="142"/>
    </row>
    <row r="137" spans="13:16" ht="12.75">
      <c r="M137" s="142"/>
      <c r="N137" s="142"/>
      <c r="O137" s="142"/>
      <c r="P137" s="142"/>
    </row>
    <row r="138" spans="13:16" ht="12.75">
      <c r="M138" s="142"/>
      <c r="N138" s="142"/>
      <c r="O138" s="142"/>
      <c r="P138" s="142"/>
    </row>
    <row r="139" spans="13:16" ht="12.75">
      <c r="M139" s="142"/>
      <c r="N139" s="142"/>
      <c r="O139" s="142"/>
      <c r="P139" s="142"/>
    </row>
    <row r="140" spans="13:16" ht="12.75">
      <c r="M140" s="142"/>
      <c r="N140" s="142"/>
      <c r="O140" s="142"/>
      <c r="P140" s="142"/>
    </row>
    <row r="141" spans="13:16" ht="12.75">
      <c r="M141" s="142"/>
      <c r="N141" s="142"/>
      <c r="O141" s="142"/>
      <c r="P141" s="142"/>
    </row>
    <row r="142" spans="13:16" ht="12.75">
      <c r="M142" s="142"/>
      <c r="N142" s="142"/>
      <c r="O142" s="142"/>
      <c r="P142" s="142"/>
    </row>
    <row r="143" spans="13:16" ht="12.75">
      <c r="M143" s="142"/>
      <c r="N143" s="142"/>
      <c r="O143" s="142"/>
      <c r="P143" s="142"/>
    </row>
    <row r="144" spans="13:16" ht="12.75">
      <c r="M144" s="142"/>
      <c r="N144" s="142"/>
      <c r="O144" s="142"/>
      <c r="P144" s="142"/>
    </row>
    <row r="145" spans="13:16" ht="12.75">
      <c r="M145" s="142"/>
      <c r="N145" s="142"/>
      <c r="O145" s="142"/>
      <c r="P145" s="142"/>
    </row>
    <row r="146" spans="13:16" ht="12.75">
      <c r="M146" s="142"/>
      <c r="N146" s="142"/>
      <c r="O146" s="142"/>
      <c r="P146" s="142"/>
    </row>
    <row r="147" spans="13:16" ht="12.75">
      <c r="M147" s="142"/>
      <c r="N147" s="142"/>
      <c r="O147" s="142"/>
      <c r="P147" s="142"/>
    </row>
    <row r="148" spans="13:16" ht="12.75">
      <c r="M148" s="142"/>
      <c r="N148" s="142"/>
      <c r="O148" s="142"/>
      <c r="P148" s="142"/>
    </row>
    <row r="149" spans="13:16" ht="12.75">
      <c r="M149" s="142"/>
      <c r="N149" s="142"/>
      <c r="O149" s="142"/>
      <c r="P149" s="142"/>
    </row>
    <row r="150" spans="13:16" ht="12.75">
      <c r="M150" s="142"/>
      <c r="N150" s="142"/>
      <c r="O150" s="142"/>
      <c r="P150" s="142"/>
    </row>
    <row r="151" spans="13:16" ht="12.75">
      <c r="M151" s="142"/>
      <c r="N151" s="142"/>
      <c r="O151" s="142"/>
      <c r="P151" s="142"/>
    </row>
    <row r="152" spans="13:16" ht="12.75">
      <c r="M152" s="142"/>
      <c r="N152" s="142"/>
      <c r="O152" s="142"/>
      <c r="P152" s="142"/>
    </row>
    <row r="153" spans="13:16" ht="12.75">
      <c r="M153" s="142"/>
      <c r="N153" s="142"/>
      <c r="O153" s="142"/>
      <c r="P153" s="142"/>
    </row>
    <row r="154" spans="13:16" ht="12.75">
      <c r="M154" s="142"/>
      <c r="N154" s="142"/>
      <c r="O154" s="142"/>
      <c r="P154" s="142"/>
    </row>
    <row r="155" spans="13:16" ht="12.75">
      <c r="M155" s="142"/>
      <c r="N155" s="142"/>
      <c r="O155" s="142"/>
      <c r="P155" s="142"/>
    </row>
    <row r="156" spans="13:16" ht="12.75">
      <c r="M156" s="142"/>
      <c r="N156" s="142"/>
      <c r="O156" s="142"/>
      <c r="P156" s="142"/>
    </row>
  </sheetData>
  <sheetProtection algorithmName="SHA-512" hashValue="OoZK5d+py0F00gANIwHYSDEE411O43jOjoLrI4Q9EC8Rimmvf9J8OGq3COgWQbs1YH8LwNA2g5YnEL7mn1MdZg==" saltValue="+UD1Iq5IA1nnBetSy115TA==" spinCount="100000" sheet="1" objects="1" scenarios="1" selectLockedCells="1"/>
  <mergeCells count="86">
    <mergeCell ref="A52:M52"/>
    <mergeCell ref="A49:C49"/>
    <mergeCell ref="D49:F49"/>
    <mergeCell ref="H49:J49"/>
    <mergeCell ref="K49:M49"/>
    <mergeCell ref="A50:C50"/>
    <mergeCell ref="D50:F50"/>
    <mergeCell ref="H50:J50"/>
    <mergeCell ref="K50:M50"/>
    <mergeCell ref="A47:C47"/>
    <mergeCell ref="D47:F47"/>
    <mergeCell ref="H47:J47"/>
    <mergeCell ref="K47:M47"/>
    <mergeCell ref="A48:C48"/>
    <mergeCell ref="D48:F48"/>
    <mergeCell ref="H48:J48"/>
    <mergeCell ref="K48:M48"/>
    <mergeCell ref="A43:C43"/>
    <mergeCell ref="H43:J43"/>
    <mergeCell ref="A44:B44"/>
    <mergeCell ref="H44:I44"/>
    <mergeCell ref="A46:C46"/>
    <mergeCell ref="H46:J46"/>
    <mergeCell ref="A33:B33"/>
    <mergeCell ref="C33:F33"/>
    <mergeCell ref="H33:I33"/>
    <mergeCell ref="J33:M33"/>
    <mergeCell ref="A34:B34"/>
    <mergeCell ref="C34:F34"/>
    <mergeCell ref="H34:I34"/>
    <mergeCell ref="J34:M34"/>
    <mergeCell ref="C31:F31"/>
    <mergeCell ref="J31:M31"/>
    <mergeCell ref="A32:B32"/>
    <mergeCell ref="C32:F32"/>
    <mergeCell ref="H32:I32"/>
    <mergeCell ref="J32:M32"/>
    <mergeCell ref="A28:C28"/>
    <mergeCell ref="D28:F28"/>
    <mergeCell ref="H28:J28"/>
    <mergeCell ref="K28:M28"/>
    <mergeCell ref="A29:C29"/>
    <mergeCell ref="D29:F29"/>
    <mergeCell ref="H29:J29"/>
    <mergeCell ref="K29:M29"/>
    <mergeCell ref="A26:C26"/>
    <mergeCell ref="D26:F26"/>
    <mergeCell ref="H26:J26"/>
    <mergeCell ref="K26:M26"/>
    <mergeCell ref="A27:C27"/>
    <mergeCell ref="D27:F27"/>
    <mergeCell ref="H27:J27"/>
    <mergeCell ref="K27:M27"/>
    <mergeCell ref="A22:C22"/>
    <mergeCell ref="H22:J22"/>
    <mergeCell ref="A23:B23"/>
    <mergeCell ref="H23:I23"/>
    <mergeCell ref="A25:C25"/>
    <mergeCell ref="H25:J25"/>
    <mergeCell ref="A12:B12"/>
    <mergeCell ref="C12:F12"/>
    <mergeCell ref="H12:I12"/>
    <mergeCell ref="J12:M12"/>
    <mergeCell ref="A13:B13"/>
    <mergeCell ref="C13:F13"/>
    <mergeCell ref="H13:I13"/>
    <mergeCell ref="J13:M13"/>
    <mergeCell ref="H7:I7"/>
    <mergeCell ref="C10:F10"/>
    <mergeCell ref="J10:M10"/>
    <mergeCell ref="A11:B11"/>
    <mergeCell ref="C11:F11"/>
    <mergeCell ref="H11:I11"/>
    <mergeCell ref="J11:M11"/>
    <mergeCell ref="A5:B5"/>
    <mergeCell ref="C5:G5"/>
    <mergeCell ref="A6:B6"/>
    <mergeCell ref="C6:G6"/>
    <mergeCell ref="A7:B7"/>
    <mergeCell ref="C7:G7"/>
    <mergeCell ref="H1:I1"/>
    <mergeCell ref="J1:M1"/>
    <mergeCell ref="A3:B3"/>
    <mergeCell ref="C3:G3"/>
    <mergeCell ref="A4:B4"/>
    <mergeCell ref="C4:G4"/>
  </mergeCells>
  <conditionalFormatting sqref="A30:F30 D23">
    <cfRule type="beginsWith" priority="31" dxfId="537" operator="beginsWith" text="not">
      <formula>LEFT(A23,LEN("not"))="not"</formula>
    </cfRule>
    <cfRule type="beginsWith" priority="32" dxfId="536" operator="beginsWith" text="ok">
      <formula>LEFT(A23,LEN("ok"))="ok"</formula>
    </cfRule>
  </conditionalFormatting>
  <conditionalFormatting sqref="F23">
    <cfRule type="beginsWith" priority="29" dxfId="537" operator="beginsWith" text="not">
      <formula>LEFT(F23,LEN("not"))="not"</formula>
    </cfRule>
    <cfRule type="beginsWith" priority="30" dxfId="536" operator="beginsWith" text="ok">
      <formula>LEFT(F23,LEN("ok"))="ok"</formula>
    </cfRule>
  </conditionalFormatting>
  <conditionalFormatting sqref="D44">
    <cfRule type="beginsWith" priority="27" dxfId="537" operator="beginsWith" text="not">
      <formula>LEFT(D44,LEN("not"))="not"</formula>
    </cfRule>
    <cfRule type="beginsWith" priority="28" dxfId="536" operator="beginsWith" text="ok">
      <formula>LEFT(D44,LEN("ok"))="ok"</formula>
    </cfRule>
  </conditionalFormatting>
  <conditionalFormatting sqref="B16:D20">
    <cfRule type="expression" priority="26" dxfId="529" stopIfTrue="1">
      <formula>$A16=""</formula>
    </cfRule>
  </conditionalFormatting>
  <conditionalFormatting sqref="B37:D41">
    <cfRule type="expression" priority="25" dxfId="529" stopIfTrue="1">
      <formula>$A37=""</formula>
    </cfRule>
  </conditionalFormatting>
  <conditionalFormatting sqref="I37:K41">
    <cfRule type="expression" priority="19" dxfId="529" stopIfTrue="1">
      <formula>$H37=""</formula>
    </cfRule>
  </conditionalFormatting>
  <conditionalFormatting sqref="H30:M30 K23">
    <cfRule type="beginsWith" priority="23" dxfId="537" operator="beginsWith" text="not">
      <formula>LEFT(H23,LEN("not"))="not"</formula>
    </cfRule>
    <cfRule type="beginsWith" priority="24" dxfId="536" operator="beginsWith" text="ok">
      <formula>LEFT(H23,LEN("ok"))="ok"</formula>
    </cfRule>
  </conditionalFormatting>
  <conditionalFormatting sqref="K44">
    <cfRule type="beginsWith" priority="21" dxfId="537" operator="beginsWith" text="not">
      <formula>LEFT(K44,LEN("not"))="not"</formula>
    </cfRule>
    <cfRule type="beginsWith" priority="22" dxfId="536" operator="beginsWith" text="ok">
      <formula>LEFT(K44,LEN("ok"))="ok"</formula>
    </cfRule>
  </conditionalFormatting>
  <conditionalFormatting sqref="M23">
    <cfRule type="beginsWith" priority="17" dxfId="537" operator="beginsWith" text="not">
      <formula>LEFT(M23,LEN("not"))="not"</formula>
    </cfRule>
    <cfRule type="beginsWith" priority="18" dxfId="536" operator="beginsWith" text="ok">
      <formula>LEFT(M23,LEN("ok"))="ok"</formula>
    </cfRule>
  </conditionalFormatting>
  <conditionalFormatting sqref="I16:K20">
    <cfRule type="expression" priority="20" dxfId="529" stopIfTrue="1">
      <formula>$H16=""</formula>
    </cfRule>
  </conditionalFormatting>
  <conditionalFormatting sqref="F44">
    <cfRule type="beginsWith" priority="13" dxfId="537" operator="beginsWith" text="not">
      <formula>LEFT(F44,LEN("not"))="not"</formula>
    </cfRule>
    <cfRule type="beginsWith" priority="14" dxfId="536" operator="beginsWith" text="ok">
      <formula>LEFT(F44,LEN("ok"))="ok"</formula>
    </cfRule>
  </conditionalFormatting>
  <conditionalFormatting sqref="M44">
    <cfRule type="beginsWith" priority="15" dxfId="537" operator="beginsWith" text="not">
      <formula>LEFT(M44,LEN("not"))="not"</formula>
    </cfRule>
    <cfRule type="beginsWith" priority="16" dxfId="536" operator="beginsWith" text="ok">
      <formula>LEFT(M44,LEN("ok"))="ok"</formula>
    </cfRule>
  </conditionalFormatting>
  <conditionalFormatting sqref="D27:D29">
    <cfRule type="expression" priority="7" dxfId="529">
      <formula>$C$21="N"</formula>
    </cfRule>
  </conditionalFormatting>
  <conditionalFormatting sqref="A24:F24">
    <cfRule type="beginsWith" priority="11" dxfId="537" operator="beginsWith" text="not">
      <formula>LEFT(A24,LEN("not"))="not"</formula>
    </cfRule>
    <cfRule type="beginsWith" priority="12" dxfId="536" operator="beginsWith" text="ok">
      <formula>LEFT(A24,LEN("ok"))="ok"</formula>
    </cfRule>
  </conditionalFormatting>
  <conditionalFormatting sqref="H24:M24">
    <cfRule type="beginsWith" priority="9" dxfId="537" operator="beginsWith" text="not">
      <formula>LEFT(H24,LEN("not"))="not"</formula>
    </cfRule>
    <cfRule type="beginsWith" priority="10" dxfId="536" operator="beginsWith" text="ok">
      <formula>LEFT(H24,LEN("ok"))="ok"</formula>
    </cfRule>
  </conditionalFormatting>
  <conditionalFormatting sqref="D26">
    <cfRule type="expression" priority="8" dxfId="529">
      <formula>$C$21="N"</formula>
    </cfRule>
  </conditionalFormatting>
  <conditionalFormatting sqref="K27:K29">
    <cfRule type="expression" priority="5" dxfId="529">
      <formula>$C$21="N"</formula>
    </cfRule>
  </conditionalFormatting>
  <conditionalFormatting sqref="K26">
    <cfRule type="expression" priority="6" dxfId="529">
      <formula>$C$21="N"</formula>
    </cfRule>
  </conditionalFormatting>
  <conditionalFormatting sqref="D48:D50">
    <cfRule type="expression" priority="3" dxfId="529">
      <formula>$C$21="N"</formula>
    </cfRule>
  </conditionalFormatting>
  <conditionalFormatting sqref="D47">
    <cfRule type="expression" priority="4" dxfId="529">
      <formula>$C$21="N"</formula>
    </cfRule>
  </conditionalFormatting>
  <conditionalFormatting sqref="K48:K50">
    <cfRule type="expression" priority="1" dxfId="529">
      <formula>$C$21="N"</formula>
    </cfRule>
  </conditionalFormatting>
  <conditionalFormatting sqref="K47">
    <cfRule type="expression" priority="2" dxfId="529">
      <formula>$C$21="N"</formula>
    </cfRule>
  </conditionalFormatting>
  <dataValidations count="12">
    <dataValidation type="list" allowBlank="1" showInputMessage="1" prompt="Choose or fill in" sqref="D47:G47 G26 D26 K26:M26 K47:M47">
      <formula1>Flasche</formula1>
    </dataValidation>
    <dataValidation type="list" allowBlank="1" showInputMessage="1" prompt="Choose or fill in" sqref="D48:G48 D27:G27 K27:M27 K48:M48">
      <formula1>Etikett</formula1>
    </dataValidation>
    <dataValidation type="list" allowBlank="1" showInputMessage="1" prompt="Choose or fill in" sqref="G49 G28">
      <formula1>Manschette</formula1>
    </dataValidation>
    <dataValidation type="list" allowBlank="1" showInputMessage="1" prompt="Choose or fill in" sqref="G50 G29 D49:F49 K28:M28 D28:F28 K49:M49">
      <formula1>Verschluss</formula1>
    </dataValidation>
    <dataValidation type="list" allowBlank="1" showInputMessage="1" prompt="Choose or fill in" sqref="C51 D29:F29 K29:M29 D50:F50 K50:M50 G51">
      <formula1>Beschichtung</formula1>
    </dataValidation>
    <dataValidation type="list" allowBlank="1" showInputMessage="1" showErrorMessage="1" sqref="C12:F12 J12:M12 C33:F33 J33:M33">
      <formula1>Ausnahmen</formula1>
    </dataValidation>
    <dataValidation type="decimal" allowBlank="1" showInputMessage="1" showErrorMessage="1" sqref="C16:C20 J16:J20 C37:C41 J37:J41">
      <formula1>0</formula1>
      <formula2>B16</formula2>
    </dataValidation>
    <dataValidation allowBlank="1" showInputMessage="1" showErrorMessage="1" errorTitle="Please select" sqref="J1"/>
    <dataValidation type="list" allowBlank="1" showInputMessage="1" showErrorMessage="1" sqref="I6">
      <formula1>Pulver</formula1>
    </dataValidation>
    <dataValidation type="decimal" allowBlank="1" showInputMessage="1" showErrorMessage="1" sqref="C13:G13 J13:M13 C34:G34 J34:M34">
      <formula1>0.000001</formula1>
      <formula2>100000000000</formula2>
    </dataValidation>
    <dataValidation type="decimal" allowBlank="1" showInputMessage="1" showErrorMessage="1" sqref="B37:B41 I16:I20 B16:B20 I37:I41">
      <formula1>0</formula1>
      <formula2>10000000000000</formula2>
    </dataValidation>
    <dataValidation type="whole" allowBlank="1" showInputMessage="1" showErrorMessage="1" sqref="K16:K20 D37:D41 D16:D20 K37:K41">
      <formula1>1</formula1>
      <formula2>2</formula2>
    </dataValidation>
  </dataValidations>
  <printOptions/>
  <pageMargins left="0.7874015748031497" right="0.7874015748031497" top="0.984251968503937" bottom="0.984251968503937" header="0.5118110236220472" footer="0.5118110236220472"/>
  <pageSetup fitToHeight="0" fitToWidth="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7">
    <tabColor rgb="FF92D050"/>
    <pageSetUpPr fitToPage="1"/>
  </sheetPr>
  <dimension ref="A1:CL60"/>
  <sheetViews>
    <sheetView workbookViewId="0" topLeftCell="A7">
      <selection activeCell="A49" sqref="A49:XFD61"/>
    </sheetView>
  </sheetViews>
  <sheetFormatPr defaultColWidth="9.140625" defaultRowHeight="12.75"/>
  <cols>
    <col min="1" max="1" width="8.140625" style="525" customWidth="1"/>
    <col min="2" max="2" width="9.7109375" style="525" customWidth="1"/>
    <col min="3" max="9" width="9.140625" style="525" customWidth="1"/>
    <col min="10" max="10" width="13.140625" style="525" customWidth="1"/>
    <col min="11" max="11" width="9.140625" style="525" customWidth="1"/>
    <col min="12" max="12" width="9.140625" style="735" hidden="1" customWidth="1"/>
    <col min="13" max="14" width="9.140625" style="497" hidden="1" customWidth="1"/>
    <col min="15" max="90" width="9.140625" style="525" customWidth="1"/>
    <col min="91" max="16384" width="9.140625" style="497" customWidth="1"/>
  </cols>
  <sheetData>
    <row r="1" spans="3:19" s="463" customFormat="1" ht="75" customHeight="1">
      <c r="C1" s="986" t="str">
        <f>IF(Adatlap!L1="Magyar",Fordítások!C310,Fordítások!B310)</f>
        <v>MOSÓ- ÉS TISZTÍTÓSZEREK</v>
      </c>
      <c r="D1" s="986"/>
      <c r="E1" s="986"/>
      <c r="F1" s="986"/>
      <c r="G1" s="986"/>
      <c r="H1" s="986"/>
      <c r="I1" s="986"/>
      <c r="J1" s="986"/>
      <c r="K1" s="492"/>
      <c r="L1" s="541"/>
      <c r="M1" s="492"/>
      <c r="N1" s="492"/>
      <c r="O1" s="478"/>
      <c r="P1" s="478"/>
      <c r="Q1" s="478"/>
      <c r="R1" s="478"/>
      <c r="S1" s="478"/>
    </row>
    <row r="2" ht="12.75">
      <c r="N2" s="525"/>
    </row>
    <row r="3" spans="1:90" s="922" customFormat="1" ht="43.5" customHeight="1">
      <c r="A3" s="1144" t="s">
        <v>2013</v>
      </c>
      <c r="B3" s="1144"/>
      <c r="C3" s="1144"/>
      <c r="D3" s="1144"/>
      <c r="E3" s="1144"/>
      <c r="F3" s="1144"/>
      <c r="G3" s="1144"/>
      <c r="H3" s="1144"/>
      <c r="I3" s="1144"/>
      <c r="J3" s="1144"/>
      <c r="K3" s="920"/>
      <c r="L3" s="921"/>
      <c r="N3" s="1138"/>
      <c r="O3" s="1138"/>
      <c r="P3" s="1138"/>
      <c r="Q3" s="1138"/>
      <c r="R3" s="1138"/>
      <c r="S3" s="1138"/>
      <c r="T3" s="1138"/>
      <c r="U3" s="1138"/>
      <c r="V3" s="1138"/>
      <c r="W3" s="1138"/>
      <c r="X3" s="920"/>
      <c r="Y3" s="920"/>
      <c r="Z3" s="920"/>
      <c r="AA3" s="920"/>
      <c r="AB3" s="920"/>
      <c r="AC3" s="920"/>
      <c r="AD3" s="920"/>
      <c r="AE3" s="920"/>
      <c r="AF3" s="920"/>
      <c r="AG3" s="920"/>
      <c r="AH3" s="920"/>
      <c r="AI3" s="920"/>
      <c r="AJ3" s="920"/>
      <c r="AK3" s="920"/>
      <c r="AL3" s="920"/>
      <c r="AM3" s="920"/>
      <c r="AN3" s="920"/>
      <c r="AO3" s="920"/>
      <c r="AP3" s="920"/>
      <c r="AQ3" s="920"/>
      <c r="AR3" s="920"/>
      <c r="AS3" s="920"/>
      <c r="AT3" s="920"/>
      <c r="AU3" s="920"/>
      <c r="AV3" s="920"/>
      <c r="AW3" s="920"/>
      <c r="AX3" s="920"/>
      <c r="AY3" s="920"/>
      <c r="AZ3" s="920"/>
      <c r="BA3" s="920"/>
      <c r="BB3" s="920"/>
      <c r="BC3" s="920"/>
      <c r="BD3" s="920"/>
      <c r="BE3" s="920"/>
      <c r="BF3" s="920"/>
      <c r="BG3" s="920"/>
      <c r="BH3" s="920"/>
      <c r="BI3" s="920"/>
      <c r="BJ3" s="920"/>
      <c r="BK3" s="920"/>
      <c r="BL3" s="920"/>
      <c r="BM3" s="920"/>
      <c r="BN3" s="920"/>
      <c r="BO3" s="920"/>
      <c r="BP3" s="920"/>
      <c r="BQ3" s="920"/>
      <c r="BR3" s="920"/>
      <c r="BS3" s="920"/>
      <c r="BT3" s="920"/>
      <c r="BU3" s="920"/>
      <c r="BV3" s="920"/>
      <c r="BW3" s="920"/>
      <c r="BX3" s="920"/>
      <c r="BY3" s="920"/>
      <c r="BZ3" s="920"/>
      <c r="CA3" s="920"/>
      <c r="CB3" s="920"/>
      <c r="CC3" s="920"/>
      <c r="CD3" s="920"/>
      <c r="CE3" s="920"/>
      <c r="CF3" s="920"/>
      <c r="CG3" s="920"/>
      <c r="CH3" s="920"/>
      <c r="CI3" s="920"/>
      <c r="CJ3" s="920"/>
      <c r="CK3" s="920"/>
      <c r="CL3" s="920"/>
    </row>
    <row r="4" spans="14:23" ht="12.75">
      <c r="N4" s="727"/>
      <c r="O4" s="727"/>
      <c r="P4" s="727"/>
      <c r="Q4" s="727"/>
      <c r="R4" s="727"/>
      <c r="S4" s="727"/>
      <c r="T4" s="727"/>
      <c r="U4" s="727"/>
      <c r="V4" s="727"/>
      <c r="W4" s="727"/>
    </row>
    <row r="5" spans="1:23" ht="30" customHeight="1">
      <c r="A5" s="526" t="str">
        <f>IF(Adatlap!L1="Magyar",Fordítások!C312,Fordítások!B312)</f>
        <v>A termék neve:</v>
      </c>
      <c r="B5" s="526"/>
      <c r="C5" s="1141" t="str">
        <f>IF(Adatlap!D41="","",Adatlap!D41)</f>
        <v/>
      </c>
      <c r="D5" s="1142"/>
      <c r="E5" s="1142"/>
      <c r="F5" s="1142"/>
      <c r="G5" s="1142"/>
      <c r="H5" s="1142"/>
      <c r="I5" s="1143"/>
      <c r="N5" s="727"/>
      <c r="O5" s="727"/>
      <c r="P5" s="727"/>
      <c r="Q5" s="727"/>
      <c r="R5" s="727"/>
      <c r="S5" s="727"/>
      <c r="T5" s="727"/>
      <c r="U5" s="727"/>
      <c r="V5" s="727"/>
      <c r="W5" s="727"/>
    </row>
    <row r="6" ht="19.5" customHeight="1"/>
    <row r="7" spans="1:5" ht="12.75">
      <c r="A7" s="525" t="str">
        <f>IF(Adatlap!$L$1="Magyar","Alulírott,","")</f>
        <v>Alulírott,</v>
      </c>
      <c r="B7" s="1145" t="str">
        <f>IF(Adatlap!L1="Magyar",IF(Adatlap!D21="","",Adatlap!D21),"")</f>
        <v/>
      </c>
      <c r="C7" s="1145"/>
      <c r="D7" s="1145"/>
      <c r="E7" s="525" t="str">
        <f>IF(Adatlap!L1="Magyar","mint az uniós ökocímkére pályázó","")</f>
        <v>mint az uniós ökocímkére pályázó</v>
      </c>
    </row>
    <row r="8" spans="1:10" ht="12.75">
      <c r="A8" s="1146" t="str">
        <f>IF(Adatlap!L1="Magyar",IF(Adatlap!D7="","Töltse ki az 'Adatlap' munkalapon a D7 mezőt!",Adatlap!D7),Fordítások!B313)</f>
        <v>Töltse ki az 'Adatlap' munkalapon a D7 mezőt!</v>
      </c>
      <c r="B8" s="1146"/>
      <c r="C8" s="1146"/>
      <c r="D8" s="1146"/>
      <c r="E8" s="1146"/>
      <c r="F8" s="1146"/>
      <c r="G8" s="1146"/>
      <c r="H8" s="1146"/>
      <c r="I8" s="1146"/>
      <c r="J8" s="1146"/>
    </row>
    <row r="9" spans="1:10" ht="30" customHeight="1">
      <c r="A9" s="1140" t="str">
        <f>IF(Adatlap!L1="Magyar",Fordítások!C314,Fordítások!B314)</f>
        <v>felelős vezetője kijelentem, hogy a pályázati dokumentációban a termékre és a termék előállítására megadott információk megfelelnek a valóságnak.</v>
      </c>
      <c r="B9" s="1140"/>
      <c r="C9" s="1140"/>
      <c r="D9" s="1140"/>
      <c r="E9" s="1140"/>
      <c r="F9" s="1140"/>
      <c r="G9" s="1140"/>
      <c r="H9" s="1140"/>
      <c r="I9" s="1140"/>
      <c r="J9" s="1140"/>
    </row>
    <row r="10" ht="8.15" customHeight="1"/>
    <row r="11" spans="1:12" ht="30.75" customHeight="1">
      <c r="A11" s="533" t="str">
        <f>IF(L11=FALSE,IF(Adatlap!L1="Magyar","Jelölje be!","Please, check!"),"")</f>
        <v>Jelölje be!</v>
      </c>
      <c r="B11" s="1140" t="str">
        <f>IF(Adatlap!L1="Magyar",Fordítások!C315,Fordítások!B315)</f>
        <v xml:space="preserve">Kijelentem, hogy a termék megfelel azon ország(ok) valamennyi vonatkozó jogi követelményének, amely(ek)ben a terméket forgalmazni kívánjuk. </v>
      </c>
      <c r="C11" s="1140"/>
      <c r="D11" s="1140"/>
      <c r="E11" s="1140"/>
      <c r="F11" s="1140"/>
      <c r="G11" s="1140"/>
      <c r="H11" s="1140"/>
      <c r="I11" s="1140"/>
      <c r="J11" s="1140"/>
      <c r="L11" s="735" t="b">
        <v>0</v>
      </c>
    </row>
    <row r="12" ht="8.15" customHeight="1"/>
    <row r="13" spans="1:12" ht="30" customHeight="1">
      <c r="A13" s="533" t="str">
        <f>IF(L13=FALSE,IF(Adatlap!L1="Magyar","Jelölje be!","Please, check!"),"")</f>
        <v>Jelölje be!</v>
      </c>
      <c r="B13" s="1140" t="str">
        <f>IF(Adatlap!L1="Magyar",Fordítások!C316,Fordítások!B316)</f>
        <v>Kijelentem, hogy a pályázat összeállításához a DID-jegyzék legfrissebb, az uniós ökocímke honlapon található változatát használtuk.</v>
      </c>
      <c r="C13" s="1140"/>
      <c r="D13" s="1140"/>
      <c r="E13" s="1140"/>
      <c r="F13" s="1140"/>
      <c r="G13" s="1140"/>
      <c r="H13" s="1140"/>
      <c r="I13" s="1140"/>
      <c r="J13" s="1140"/>
      <c r="L13" s="735" t="b">
        <v>0</v>
      </c>
    </row>
    <row r="14" ht="12.75">
      <c r="A14" s="533"/>
    </row>
    <row r="15" spans="1:5" ht="12.75" hidden="1">
      <c r="A15" s="525" t="str">
        <f>IF(Adatlap!L1="Magyar",Fordítások!C317,Fordítások!B317)</f>
        <v>A termék besorolása:</v>
      </c>
      <c r="E15" s="529" t="str">
        <f>IF(AND(L17=FALSE,L19=FALSE,L21=FALSE,L23=FALSE),IF(Adatlap!L1="Magyar",Fordítások!C354,Fordítások!B354),"")</f>
        <v>Válassza ki a megfelelőt!</v>
      </c>
    </row>
    <row r="16" ht="8.15" customHeight="1" hidden="1"/>
    <row r="17" spans="2:14" ht="26" customHeight="1" hidden="1">
      <c r="B17" s="1140" t="s">
        <v>1974</v>
      </c>
      <c r="C17" s="1140"/>
      <c r="D17" s="1140"/>
      <c r="E17" s="1140"/>
      <c r="F17" s="1140"/>
      <c r="G17" s="1140"/>
      <c r="H17" s="1140"/>
      <c r="I17" s="1140"/>
      <c r="J17" s="1140"/>
      <c r="L17" s="735" t="b">
        <v>0</v>
      </c>
      <c r="N17" s="497" t="b">
        <v>0</v>
      </c>
    </row>
    <row r="18" ht="8.15" customHeight="1" hidden="1"/>
    <row r="19" spans="2:14" ht="26" customHeight="1" hidden="1">
      <c r="B19" s="1140" t="s">
        <v>1977</v>
      </c>
      <c r="C19" s="1140"/>
      <c r="D19" s="1140"/>
      <c r="E19" s="1140"/>
      <c r="F19" s="1140"/>
      <c r="G19" s="1140"/>
      <c r="H19" s="1140"/>
      <c r="I19" s="1140"/>
      <c r="J19" s="1140"/>
      <c r="L19" s="735" t="b">
        <v>0</v>
      </c>
      <c r="N19" s="497" t="b">
        <v>0</v>
      </c>
    </row>
    <row r="20" ht="8.15" customHeight="1" hidden="1"/>
    <row r="21" spans="2:14" ht="26" customHeight="1" hidden="1">
      <c r="B21" s="1140" t="s">
        <v>1139</v>
      </c>
      <c r="C21" s="1140"/>
      <c r="D21" s="1140"/>
      <c r="E21" s="1140"/>
      <c r="F21" s="1140"/>
      <c r="G21" s="1140"/>
      <c r="H21" s="1140"/>
      <c r="I21" s="1140"/>
      <c r="J21" s="1140"/>
      <c r="L21" s="735" t="b">
        <v>0</v>
      </c>
      <c r="N21" s="497" t="b">
        <v>0</v>
      </c>
    </row>
    <row r="22" ht="8.15" customHeight="1" hidden="1"/>
    <row r="23" spans="2:14" ht="26" customHeight="1" hidden="1">
      <c r="B23" s="1140" t="s">
        <v>1980</v>
      </c>
      <c r="C23" s="1140"/>
      <c r="D23" s="1140"/>
      <c r="E23" s="1140"/>
      <c r="F23" s="1140"/>
      <c r="G23" s="1140"/>
      <c r="H23" s="1140"/>
      <c r="I23" s="1140"/>
      <c r="J23" s="1140"/>
      <c r="L23" s="735" t="b">
        <v>0</v>
      </c>
      <c r="N23" s="497" t="b">
        <v>0</v>
      </c>
    </row>
    <row r="24" spans="2:10" ht="26" customHeight="1" hidden="1">
      <c r="B24" s="1140"/>
      <c r="C24" s="1140"/>
      <c r="D24" s="1140"/>
      <c r="E24" s="1140"/>
      <c r="F24" s="1140"/>
      <c r="G24" s="1140"/>
      <c r="H24" s="1140"/>
      <c r="I24" s="1140"/>
      <c r="J24" s="1140"/>
    </row>
    <row r="25" spans="1:5" ht="12.75" hidden="1">
      <c r="A25" s="525" t="str">
        <f>IF(Adatlap!L1="Magyar",Fordítások!C326,Fordítások!B326)</f>
        <v>A pályázatban szereplő termék:</v>
      </c>
      <c r="E25" s="529" t="str">
        <f>IF(AND(L27=FALSE,L29=FALSE),IF(Adatlap!L1="Magyar",Fordítások!C354,Fordítások!B354),"")</f>
        <v>Válassza ki a megfelelőt!</v>
      </c>
    </row>
    <row r="26" ht="8.15" customHeight="1" hidden="1"/>
    <row r="27" spans="2:14" ht="25" customHeight="1" hidden="1">
      <c r="B27" s="1140" t="str">
        <f>IF(Adatlap!L1="Magyar",Fordítások!C323,Fordítások!B323)</f>
        <v>Üzleti célú (professzionális) felhasználásra szánt termék</v>
      </c>
      <c r="C27" s="1140"/>
      <c r="D27" s="1140"/>
      <c r="E27" s="1140"/>
      <c r="F27" s="1140"/>
      <c r="G27" s="1140"/>
      <c r="H27" s="1140"/>
      <c r="I27" s="1140"/>
      <c r="J27" s="1140"/>
      <c r="L27" s="735" t="b">
        <f>IF(Termék!C31="",FALSE,IF(Termék!C31=Auswahldaten!A140,FALSE,TRUE))</f>
        <v>0</v>
      </c>
      <c r="N27" s="497" t="b">
        <v>0</v>
      </c>
    </row>
    <row r="28" ht="8.15" customHeight="1" hidden="1"/>
    <row r="29" spans="2:14" ht="28.5" customHeight="1" hidden="1">
      <c r="B29" s="1140" t="str">
        <f>IF(Adatlap!L1="Magyar",CONCATENATE(Fordítások!C324,Fordítások!C325),CONCATENATE(Fordítások!B324,Fordítások!B325))</f>
        <v>Háztartási felhasználásra szánt termék. A háztartási felhasználásra szánt termékek nem tartalmazhatnak a gyártó által szándékosan hozzáadott mikroorganizmusokat.</v>
      </c>
      <c r="C29" s="1140"/>
      <c r="D29" s="1140"/>
      <c r="E29" s="1140"/>
      <c r="F29" s="1140"/>
      <c r="G29" s="1140"/>
      <c r="H29" s="1140"/>
      <c r="I29" s="1140"/>
      <c r="J29" s="1140"/>
      <c r="L29" s="735" t="b">
        <f>IF(Termék!C31="",FALSE,IF(Termék!C31=Auswahldaten!A140,TRUE,FALSE))</f>
        <v>0</v>
      </c>
      <c r="N29" s="497" t="b">
        <v>0</v>
      </c>
    </row>
    <row r="30" ht="12.75" hidden="1"/>
    <row r="31" spans="1:5" ht="12.75" hidden="1">
      <c r="A31" s="525" t="str">
        <f>IF(Adatlap!L1="Magyar",Fordítások!C326,Fordítások!B326)</f>
        <v>A pályázatban szereplő termék:</v>
      </c>
      <c r="E31" s="529" t="str">
        <f>IF(AND(L33=FALSE,L35=FALSE,L37=FALSE,L39=FALSE),IF(Adatlap!L1="Magyar",Fordítások!C354,Fordítások!B354),"")</f>
        <v>Válassza ki a megfelelőt!</v>
      </c>
    </row>
    <row r="32" ht="8.15" customHeight="1" hidden="1"/>
    <row r="33" spans="2:14" ht="12.75" hidden="1">
      <c r="B33" s="1140" t="str">
        <f>IF(Adatlap!L1="Magyar",Fordítások!C327,Fordítások!B327)</f>
        <v>Felhasználásra kész termék</v>
      </c>
      <c r="C33" s="1140"/>
      <c r="D33" s="1140"/>
      <c r="E33" s="1140"/>
      <c r="F33" s="1140"/>
      <c r="G33" s="1140"/>
      <c r="H33" s="1140"/>
      <c r="I33" s="1140"/>
      <c r="J33" s="1140"/>
      <c r="L33" s="735" t="b">
        <v>0</v>
      </c>
      <c r="N33" s="923" t="b">
        <v>0</v>
      </c>
    </row>
    <row r="34" ht="8.15" customHeight="1" hidden="1">
      <c r="N34" s="923"/>
    </row>
    <row r="35" spans="2:14" ht="12.75" hidden="1">
      <c r="B35" s="1140" t="str">
        <f>IF(Adatlap!L1="Magyar",Fordítások!C328,Fordítások!B328)</f>
        <v>Hígítatlan termék</v>
      </c>
      <c r="C35" s="1140"/>
      <c r="D35" s="1140"/>
      <c r="E35" s="1140"/>
      <c r="F35" s="1140"/>
      <c r="G35" s="1140"/>
      <c r="H35" s="1140"/>
      <c r="I35" s="1140"/>
      <c r="J35" s="1140"/>
      <c r="L35" s="735" t="b">
        <v>0</v>
      </c>
      <c r="N35" s="923" t="b">
        <v>0</v>
      </c>
    </row>
    <row r="36" ht="8.15" customHeight="1" hidden="1">
      <c r="N36" s="923"/>
    </row>
    <row r="37" spans="2:14" ht="27.75" customHeight="1" hidden="1">
      <c r="B37" s="1140" t="str">
        <f>IF(Adatlap!L1="Magyar",Fordítások!C329,Fordítások!B329)</f>
        <v>Felhasználásra kész és hígítatlan termék egy közös csomagolásban (pl. egy flakon felhasználásra kész termék és egy utántöltéshez használható hígítatlan termék).</v>
      </c>
      <c r="C37" s="1140"/>
      <c r="D37" s="1140"/>
      <c r="E37" s="1140"/>
      <c r="F37" s="1140"/>
      <c r="G37" s="1140"/>
      <c r="H37" s="1140"/>
      <c r="I37" s="1140"/>
      <c r="J37" s="1140"/>
      <c r="L37" s="735" t="b">
        <v>0</v>
      </c>
      <c r="N37" s="923" t="b">
        <v>0</v>
      </c>
    </row>
    <row r="38" ht="8.15" customHeight="1" hidden="1">
      <c r="N38" s="923"/>
    </row>
    <row r="39" spans="2:14" ht="12.75" hidden="1">
      <c r="B39" s="1140" t="str">
        <f>IF(Adatlap!L1="Magyar",Fordítások!C330,Fordítások!B330)</f>
        <v>Hígítatlan termék (pl. kapszula), amelyet elsősorban szórófejes palackok utántöltéséhez forgalmaznak.</v>
      </c>
      <c r="C39" s="1140"/>
      <c r="D39" s="1140"/>
      <c r="E39" s="1140"/>
      <c r="F39" s="1140"/>
      <c r="G39" s="1140"/>
      <c r="H39" s="1140"/>
      <c r="I39" s="1140"/>
      <c r="J39" s="1140"/>
      <c r="L39" s="735" t="b">
        <v>0</v>
      </c>
      <c r="N39" s="923" t="b">
        <v>0</v>
      </c>
    </row>
    <row r="40" ht="12.75" customHeight="1" hidden="1"/>
    <row r="41" spans="1:12" ht="12.75" hidden="1">
      <c r="A41" s="1139" t="str">
        <f>IF(L41=FALSE,IF(Adatlap!L1="Magyar","Jelölje be!","Please, check!"),"")</f>
        <v>Jelölje be!</v>
      </c>
      <c r="B41" s="525" t="str">
        <f>IF(Adatlap!L1="Magyar",Fordítások!C331,Fordítások!B331)</f>
        <v>Kijelentem, hogy a termék vegyi anyagok keveréke.</v>
      </c>
      <c r="L41" s="735" t="b">
        <v>0</v>
      </c>
    </row>
    <row r="42" ht="12.75" hidden="1">
      <c r="A42" s="1139"/>
    </row>
    <row r="43" ht="8.15" customHeight="1"/>
    <row r="44" spans="1:12" ht="12.75" customHeight="1">
      <c r="A44" s="1139" t="str">
        <f>IF(L44=FALSE,IF(Adatlap!L1="Magyar","Jelölje be!","Please, check!"),"")</f>
        <v>Jelölje be!</v>
      </c>
      <c r="B44" s="1140" t="str">
        <f>IF(Adatlap!L1="Magyar",Fordítások!C650,Fordítások!B650)</f>
        <v>Kijelentem, hogy a termék többek  között üvegáru, cserépedények és konyhai eszközök, például evőeszközök,  fazekak, serpenyők és  sütőedények  kézi mosogatásához való felhasználására szolgál.</v>
      </c>
      <c r="C44" s="1140"/>
      <c r="D44" s="1140"/>
      <c r="E44" s="1140"/>
      <c r="F44" s="1140"/>
      <c r="G44" s="1140"/>
      <c r="H44" s="1140"/>
      <c r="I44" s="1140"/>
      <c r="J44" s="1140"/>
      <c r="L44" s="735" t="b">
        <v>0</v>
      </c>
    </row>
    <row r="45" spans="1:10" ht="12.75">
      <c r="A45" s="1139"/>
      <c r="B45" s="1140"/>
      <c r="C45" s="1140"/>
      <c r="D45" s="1140"/>
      <c r="E45" s="1140"/>
      <c r="F45" s="1140"/>
      <c r="G45" s="1140"/>
      <c r="H45" s="1140"/>
      <c r="I45" s="1140"/>
      <c r="J45" s="1140"/>
    </row>
    <row r="46" spans="2:10" ht="8.15" customHeight="1">
      <c r="B46" s="924"/>
      <c r="C46" s="924"/>
      <c r="D46" s="924"/>
      <c r="E46" s="924"/>
      <c r="F46" s="924"/>
      <c r="G46" s="924"/>
      <c r="H46" s="924"/>
      <c r="I46" s="924"/>
      <c r="J46" s="924"/>
    </row>
    <row r="47" spans="1:12" ht="12.75">
      <c r="A47" s="1139" t="str">
        <f>IF(L47=FALSE,IF(Adatlap!L1="Magyar","Jelölje be!","Please, check!"),"")</f>
        <v>Jelölje be!</v>
      </c>
      <c r="B47" s="1140" t="str">
        <f>IF(Adatlap!L1="Magyar",Fordítások!C651,Fordítások!B651)</f>
        <v>Kijelentem, hogy a termék vegyi anyagok keveréke, és nem tartalmaz a gyártó által szándékosan hozzáadott mikroorganizmusokat.</v>
      </c>
      <c r="C47" s="1140"/>
      <c r="D47" s="1140"/>
      <c r="E47" s="1140"/>
      <c r="F47" s="1140"/>
      <c r="G47" s="1140"/>
      <c r="H47" s="1140"/>
      <c r="I47" s="1140"/>
      <c r="J47" s="1140"/>
      <c r="L47" s="735" t="b">
        <v>0</v>
      </c>
    </row>
    <row r="48" spans="1:10" ht="12.75">
      <c r="A48" s="1139"/>
      <c r="B48" s="1140"/>
      <c r="C48" s="1140"/>
      <c r="D48" s="1140"/>
      <c r="E48" s="1140"/>
      <c r="F48" s="1140"/>
      <c r="G48" s="1140"/>
      <c r="H48" s="1140"/>
      <c r="I48" s="1140"/>
      <c r="J48" s="1140"/>
    </row>
    <row r="49" ht="8.15" customHeight="1" hidden="1"/>
    <row r="50" spans="1:10" ht="26.15" customHeight="1" hidden="1">
      <c r="A50" s="918" t="str">
        <f>IF(L50=FALSE,IF(Adatlap!L1="Magyar","Jelölje be!","Please, check!"),"")</f>
        <v>Jelölje be!</v>
      </c>
      <c r="B50" s="1140" t="str">
        <f>IF(Adatlap!L1="Magyar",Fordítások!C644,Fordítások!B644)</f>
        <v>Kijelentem, hogy a termék 30 °C-on vagy annál alacsonyabb hőmérsékleten is hatékony.</v>
      </c>
      <c r="C50" s="1140"/>
      <c r="D50" s="1140"/>
      <c r="E50" s="1140"/>
      <c r="F50" s="1140"/>
      <c r="G50" s="1140"/>
      <c r="H50" s="1140"/>
      <c r="I50" s="1140"/>
      <c r="J50" s="1140"/>
    </row>
    <row r="51" spans="1:10" ht="8.15" customHeight="1" hidden="1">
      <c r="A51" s="918"/>
      <c r="B51" s="1140"/>
      <c r="C51" s="1140"/>
      <c r="D51" s="1140"/>
      <c r="E51" s="1140"/>
      <c r="F51" s="1140"/>
      <c r="G51" s="1140"/>
      <c r="H51" s="1140"/>
      <c r="I51" s="1140"/>
      <c r="J51" s="1140"/>
    </row>
    <row r="52" spans="1:10" ht="12.75" customHeight="1" hidden="1">
      <c r="A52" s="1139" t="str">
        <f>IF(L52=FALSE,IF(Adatlap!L1="Magyar","Jelölje be!","Please, check!"),"")</f>
        <v>Jelölje be!</v>
      </c>
      <c r="B52" s="1138" t="str">
        <f>IF(Adatlap!L1="Magyar",Fordítások!C645,Fordítások!B645)</f>
        <v>Kijelentem, hogy a termék elsősorban háztartási mosógépekben való használatra szolgált, de felhasználható önkiszolgáló és nyilvános mosodákban is.</v>
      </c>
      <c r="C52" s="1138"/>
      <c r="D52" s="1138"/>
      <c r="E52" s="1138"/>
      <c r="F52" s="1138"/>
      <c r="G52" s="1138"/>
      <c r="H52" s="1138"/>
      <c r="I52" s="1138"/>
      <c r="J52" s="1138"/>
    </row>
    <row r="53" spans="1:10" ht="12.75" hidden="1">
      <c r="A53" s="1139"/>
      <c r="B53" s="1138"/>
      <c r="C53" s="1138"/>
      <c r="D53" s="1138"/>
      <c r="E53" s="1138"/>
      <c r="F53" s="1138"/>
      <c r="G53" s="1138"/>
      <c r="H53" s="1138"/>
      <c r="I53" s="1138"/>
      <c r="J53" s="1138"/>
    </row>
    <row r="54" ht="8.15" customHeight="1" hidden="1">
      <c r="A54" s="918"/>
    </row>
    <row r="55" spans="1:12" ht="12.75" customHeight="1" hidden="1">
      <c r="A55" s="1139" t="str">
        <f>IF(L55=FALSE,IF(Adatlap!L1="Magyar","Jelölje be!","Please, check!"),"")</f>
        <v>Jelölje be!</v>
      </c>
      <c r="B55" s="1138" t="str">
        <f>IF(Adatlap!L1="Magyar",Fordítások!C646,Fordítások!B646)</f>
        <v>Kijelentem, hogy a termék nem textilöblítő vagy olyan termék, amelynek egy-egy adagjával tisztítókendők, ruhák vagy egyéb anyagok vannak átitatva, sem pedig önmagában használható, utólagos mosást nem igénylő tisztítószer (mint például a szőnyeg- és kárpittisztítók).</v>
      </c>
      <c r="C55" s="1138"/>
      <c r="D55" s="1138"/>
      <c r="E55" s="1138"/>
      <c r="F55" s="1138"/>
      <c r="G55" s="1138"/>
      <c r="H55" s="1138"/>
      <c r="I55" s="1138"/>
      <c r="J55" s="1138"/>
      <c r="L55" s="735" t="b">
        <v>0</v>
      </c>
    </row>
    <row r="56" spans="1:10" ht="12.75" hidden="1">
      <c r="A56" s="1139"/>
      <c r="B56" s="1138"/>
      <c r="C56" s="1138"/>
      <c r="D56" s="1138"/>
      <c r="E56" s="1138"/>
      <c r="F56" s="1138"/>
      <c r="G56" s="1138"/>
      <c r="H56" s="1138"/>
      <c r="I56" s="1138"/>
      <c r="J56" s="1138"/>
    </row>
    <row r="57" spans="1:10" ht="12.75" hidden="1">
      <c r="A57" s="918"/>
      <c r="B57" s="1138"/>
      <c r="C57" s="1138"/>
      <c r="D57" s="1138"/>
      <c r="E57" s="1138"/>
      <c r="F57" s="1138"/>
      <c r="G57" s="1138"/>
      <c r="H57" s="1138"/>
      <c r="I57" s="1138"/>
      <c r="J57" s="1138"/>
    </row>
    <row r="58" ht="12.75" hidden="1"/>
    <row r="59" spans="1:10" ht="26.15" customHeight="1" hidden="1">
      <c r="A59" s="679" t="str">
        <f>IF(L59=FALSE,IF(Adatlap!L1="Magyar","Jelölje be!","Please, check!"),"")</f>
        <v>Jelölje be!</v>
      </c>
      <c r="B59" s="1140" t="str">
        <f>IF(Adatlap!L1="Magyar",Fordítások!C697,Fordítások!B697)</f>
        <v>Kijelentem, hogy a pályázatban szereplő termék kizárólag háztartási mosogatógépekben, illetve hasonló méretű és igénybevételű professzionális automata mosogatógépekben való felhasználásra szolgál, és ilyen gépek számára kerül forgalomba.</v>
      </c>
      <c r="C59" s="1140"/>
      <c r="D59" s="1140"/>
      <c r="E59" s="1140"/>
      <c r="F59" s="1140"/>
      <c r="G59" s="1140"/>
      <c r="H59" s="1140"/>
      <c r="I59" s="1140"/>
      <c r="J59" s="1140"/>
    </row>
    <row r="60" spans="2:10" ht="12.75" hidden="1">
      <c r="B60" s="1140"/>
      <c r="C60" s="1140"/>
      <c r="D60" s="1140"/>
      <c r="E60" s="1140"/>
      <c r="F60" s="1140"/>
      <c r="G60" s="1140"/>
      <c r="H60" s="1140"/>
      <c r="I60" s="1140"/>
      <c r="J60" s="1140"/>
    </row>
    <row r="61" ht="12.75" hidden="1"/>
    <row r="62" ht="12.75"/>
  </sheetData>
  <sheetProtection algorithmName="SHA-512" hashValue="bX9pP4HAzPvo75s3wga04DDwXMSAAkG7SkN59Asn+VQcU832HwW95HkqbVNh3J/BciV6UYR/EkKioP6B97I8lw==" saltValue="FwRLZIVnIA+rYFbmPO3uBQ==" spinCount="100000" sheet="1" objects="1" scenarios="1" selectLockedCells="1"/>
  <mergeCells count="30">
    <mergeCell ref="B59:J60"/>
    <mergeCell ref="B23:J24"/>
    <mergeCell ref="N3:W3"/>
    <mergeCell ref="B11:J11"/>
    <mergeCell ref="B13:J13"/>
    <mergeCell ref="B17:J17"/>
    <mergeCell ref="C5:I5"/>
    <mergeCell ref="A3:J3"/>
    <mergeCell ref="B7:D7"/>
    <mergeCell ref="A8:J8"/>
    <mergeCell ref="A44:A45"/>
    <mergeCell ref="B44:J45"/>
    <mergeCell ref="B47:J48"/>
    <mergeCell ref="A47:A48"/>
    <mergeCell ref="B50:J51"/>
    <mergeCell ref="B52:J53"/>
    <mergeCell ref="B55:J57"/>
    <mergeCell ref="A55:A56"/>
    <mergeCell ref="A52:A53"/>
    <mergeCell ref="C1:J1"/>
    <mergeCell ref="A9:J9"/>
    <mergeCell ref="A41:A42"/>
    <mergeCell ref="B33:J33"/>
    <mergeCell ref="B35:J35"/>
    <mergeCell ref="B37:J37"/>
    <mergeCell ref="B39:J39"/>
    <mergeCell ref="B19:J19"/>
    <mergeCell ref="B21:J21"/>
    <mergeCell ref="B27:J27"/>
    <mergeCell ref="B29:J29"/>
  </mergeCells>
  <conditionalFormatting sqref="A11">
    <cfRule type="expression" priority="21" dxfId="0">
      <formula>$L$11=FALSE</formula>
    </cfRule>
  </conditionalFormatting>
  <conditionalFormatting sqref="A13">
    <cfRule type="expression" priority="20" dxfId="0">
      <formula>$L$13=FALSE</formula>
    </cfRule>
  </conditionalFormatting>
  <conditionalFormatting sqref="A41">
    <cfRule type="expression" priority="19" dxfId="0">
      <formula>$L$41=FALSE</formula>
    </cfRule>
  </conditionalFormatting>
  <conditionalFormatting sqref="E31">
    <cfRule type="expression" priority="18" dxfId="236">
      <formula>OR($L$33=TRUE,$L$35=TRUE,$L$37=TRUE,$L$39=TRUE,$L$41=TRUE)</formula>
    </cfRule>
  </conditionalFormatting>
  <conditionalFormatting sqref="A44">
    <cfRule type="expression" priority="16" dxfId="0">
      <formula>$L$44=FALSE</formula>
    </cfRule>
  </conditionalFormatting>
  <conditionalFormatting sqref="A47:A48">
    <cfRule type="expression" priority="15" dxfId="0">
      <formula>$L$47=FALSE</formula>
    </cfRule>
  </conditionalFormatting>
  <conditionalFormatting sqref="A50">
    <cfRule type="expression" priority="14" dxfId="0">
      <formula>$L$50=FALSE</formula>
    </cfRule>
  </conditionalFormatting>
  <conditionalFormatting sqref="A52:A53">
    <cfRule type="expression" priority="13" dxfId="0">
      <formula>$L$52=FALSE</formula>
    </cfRule>
  </conditionalFormatting>
  <conditionalFormatting sqref="A55:A56">
    <cfRule type="expression" priority="12" dxfId="0">
      <formula>$L$55=FALSE</formula>
    </cfRule>
  </conditionalFormatting>
  <conditionalFormatting sqref="A59">
    <cfRule type="expression" priority="11" dxfId="0">
      <formula>L59=FALSE</formula>
    </cfRule>
  </conditionalFormatting>
  <conditionalFormatting sqref="A17">
    <cfRule type="expression" priority="10" dxfId="0">
      <formula>AND($L$17=FALSE,$L$19=FALSE,$L$21=FALSE,$L$23=FALSE)</formula>
    </cfRule>
  </conditionalFormatting>
  <conditionalFormatting sqref="A19">
    <cfRule type="expression" priority="9" dxfId="0">
      <formula>AND($L$17=FALSE,$L$19=FALSE,$L$21=FALSE,$L$23=FALSE)</formula>
    </cfRule>
  </conditionalFormatting>
  <conditionalFormatting sqref="A21">
    <cfRule type="expression" priority="8" dxfId="0">
      <formula>AND($L$17=FALSE,$L$19=FALSE,$L$21=FALSE,$L$23=FALSE)</formula>
    </cfRule>
  </conditionalFormatting>
  <conditionalFormatting sqref="A23">
    <cfRule type="expression" priority="7" dxfId="0">
      <formula>AND($L$17=FALSE,$L$19=FALSE,$L$21=FALSE,$L$23=FALSE)</formula>
    </cfRule>
  </conditionalFormatting>
  <conditionalFormatting sqref="A27">
    <cfRule type="expression" priority="6" dxfId="0">
      <formula>AND($L$27=FALSE,$L$29=FALSE)</formula>
    </cfRule>
  </conditionalFormatting>
  <conditionalFormatting sqref="A29">
    <cfRule type="expression" priority="5" dxfId="0">
      <formula>AND($L$27=FALSE,$L$29=FALSE)</formula>
    </cfRule>
  </conditionalFormatting>
  <conditionalFormatting sqref="A33">
    <cfRule type="expression" priority="4" dxfId="0">
      <formula>AND($L$33=FALSE,$L$35=FALSE,$L$37=FALSE,$L$39=FALSE)</formula>
    </cfRule>
  </conditionalFormatting>
  <conditionalFormatting sqref="A35">
    <cfRule type="expression" priority="3" dxfId="0">
      <formula>AND($L$33=FALSE,$L$35=FALSE,$L$37=FALSE,$L$39=FALSE)</formula>
    </cfRule>
  </conditionalFormatting>
  <conditionalFormatting sqref="A37">
    <cfRule type="expression" priority="2" dxfId="0">
      <formula>AND($L$33=FALSE,$L$35=FALSE,$L$37=FALSE,$L$39=FALSE)</formula>
    </cfRule>
  </conditionalFormatting>
  <conditionalFormatting sqref="A39">
    <cfRule type="expression" priority="1" dxfId="0">
      <formula>AND($L$33=FALSE,$L$35=FALSE,$L$37=FALSE,$L$39=FALSE)</formula>
    </cfRule>
  </conditionalFormatting>
  <conditionalFormatting sqref="A8">
    <cfRule type="expression" priority="17" dxfId="265">
      <formula>AND(Adatlap!D7="",Adatlap!L1="Magyar")</formula>
    </cfRule>
  </conditionalFormatting>
  <printOptions/>
  <pageMargins left="0.7086614173228347" right="0.7086614173228347" top="0.7480314960629921" bottom="0.7480314960629921" header="0.31496062992125984" footer="0.31496062992125984"/>
  <pageSetup firstPageNumber="3" useFirstPageNumber="1" fitToHeight="0" fitToWidth="1" horizontalDpi="600" verticalDpi="600" orientation="portrait" paperSize="9" scale="93" r:id="rId3"/>
  <headerFooter>
    <oddFooter>&amp;C&amp;"-,Normál"&amp;P</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2051" r:id="rId6" name="Check Box 3">
              <controlPr defaultSize="0" autoFill="0" autoLine="0" autoPict="0" macro="[0]!Nyilatkozatok_1_kemény_fajta">
                <anchor moveWithCells="1">
                  <from>
                    <xdr:col>0</xdr:col>
                    <xdr:colOff>133350</xdr:colOff>
                    <xdr:row>14</xdr:row>
                    <xdr:rowOff>152400</xdr:rowOff>
                  </from>
                  <to>
                    <xdr:col>0</xdr:col>
                    <xdr:colOff>438150</xdr:colOff>
                    <xdr:row>44</xdr:row>
                    <xdr:rowOff>146050</xdr:rowOff>
                  </to>
                </anchor>
              </controlPr>
            </control>
          </mc:Choice>
        </mc:AlternateContent>
        <mc:AlternateContent>
          <mc:Choice Requires="x14">
            <control xmlns:r="http://schemas.openxmlformats.org/officeDocument/2006/relationships" shapeId="2052" r:id="rId7" name="Check Box 4">
              <controlPr defaultSize="0" autoFill="0" autoLine="0" autoPict="0" macro="[0]!Nyilatkozatok_1_kemény_fajta">
                <anchor moveWithCells="1">
                  <from>
                    <xdr:col>0</xdr:col>
                    <xdr:colOff>133350</xdr:colOff>
                    <xdr:row>17</xdr:row>
                    <xdr:rowOff>127000</xdr:rowOff>
                  </from>
                  <to>
                    <xdr:col>0</xdr:col>
                    <xdr:colOff>438150</xdr:colOff>
                    <xdr:row>44</xdr:row>
                    <xdr:rowOff>12700</xdr:rowOff>
                  </to>
                </anchor>
              </controlPr>
            </control>
          </mc:Choice>
        </mc:AlternateContent>
        <mc:AlternateContent>
          <mc:Choice Requires="x14">
            <control xmlns:r="http://schemas.openxmlformats.org/officeDocument/2006/relationships" shapeId="2053" r:id="rId8" name="Check Box 5">
              <controlPr defaultSize="0" autoFill="0" autoLine="0" autoPict="0" macro="[0]!Nyilatkozatok_1_kemény_fajta">
                <anchor moveWithCells="1">
                  <from>
                    <xdr:col>0</xdr:col>
                    <xdr:colOff>133350</xdr:colOff>
                    <xdr:row>19</xdr:row>
                    <xdr:rowOff>152400</xdr:rowOff>
                  </from>
                  <to>
                    <xdr:col>0</xdr:col>
                    <xdr:colOff>400050</xdr:colOff>
                    <xdr:row>43</xdr:row>
                    <xdr:rowOff>127000</xdr:rowOff>
                  </to>
                </anchor>
              </controlPr>
            </control>
          </mc:Choice>
        </mc:AlternateContent>
        <mc:AlternateContent>
          <mc:Choice Requires="x14">
            <control xmlns:r="http://schemas.openxmlformats.org/officeDocument/2006/relationships" shapeId="2054" r:id="rId9" name="Check Box 6">
              <controlPr defaultSize="0" autoFill="0" autoLine="0" autoPict="0" macro="[0]!Nyilatkozatok_1_kemény_fajta">
                <anchor moveWithCells="1">
                  <from>
                    <xdr:col>0</xdr:col>
                    <xdr:colOff>133350</xdr:colOff>
                    <xdr:row>21</xdr:row>
                    <xdr:rowOff>88900</xdr:rowOff>
                  </from>
                  <to>
                    <xdr:col>0</xdr:col>
                    <xdr:colOff>438150</xdr:colOff>
                    <xdr:row>43</xdr:row>
                    <xdr:rowOff>127000</xdr:rowOff>
                  </to>
                </anchor>
              </controlPr>
            </control>
          </mc:Choice>
        </mc:AlternateContent>
        <mc:AlternateContent>
          <mc:Choice Requires="x14">
            <control xmlns:r="http://schemas.openxmlformats.org/officeDocument/2006/relationships" shapeId="2055" r:id="rId10" name="Check Box 7">
              <controlPr defaultSize="0" autoFill="0" autoLine="0" autoPict="0" macro="[0]!Nyilatkozatok__ipari_háztartási">
                <anchor moveWithCells="1">
                  <from>
                    <xdr:col>0</xdr:col>
                    <xdr:colOff>133350</xdr:colOff>
                    <xdr:row>25</xdr:row>
                    <xdr:rowOff>50800</xdr:rowOff>
                  </from>
                  <to>
                    <xdr:col>0</xdr:col>
                    <xdr:colOff>438150</xdr:colOff>
                    <xdr:row>43</xdr:row>
                    <xdr:rowOff>127000</xdr:rowOff>
                  </to>
                </anchor>
              </controlPr>
            </control>
          </mc:Choice>
        </mc:AlternateContent>
        <mc:AlternateContent>
          <mc:Choice Requires="x14">
            <control xmlns:r="http://schemas.openxmlformats.org/officeDocument/2006/relationships" shapeId="2056" r:id="rId11" name="Check Box 8">
              <controlPr defaultSize="0" autoFill="0" autoLine="0" autoPict="0" macro="[0]!Nyilatkozatok__ipari_háztartási">
                <anchor moveWithCells="1">
                  <from>
                    <xdr:col>0</xdr:col>
                    <xdr:colOff>133350</xdr:colOff>
                    <xdr:row>27</xdr:row>
                    <xdr:rowOff>69850</xdr:rowOff>
                  </from>
                  <to>
                    <xdr:col>0</xdr:col>
                    <xdr:colOff>438150</xdr:colOff>
                    <xdr:row>44</xdr:row>
                    <xdr:rowOff>31750</xdr:rowOff>
                  </to>
                </anchor>
              </controlPr>
            </control>
          </mc:Choice>
        </mc:AlternateContent>
        <mc:AlternateContent>
          <mc:Choice Requires="x14">
            <control xmlns:r="http://schemas.openxmlformats.org/officeDocument/2006/relationships" shapeId="2057" r:id="rId12" name="Check Box 9">
              <controlPr locked="0" defaultSize="0" autoFill="0" autoLine="0" autoPict="0" macro="[0]!Nyilatkozatok_1">
                <anchor moveWithCells="1">
                  <from>
                    <xdr:col>0</xdr:col>
                    <xdr:colOff>133350</xdr:colOff>
                    <xdr:row>31</xdr:row>
                    <xdr:rowOff>69850</xdr:rowOff>
                  </from>
                  <to>
                    <xdr:col>0</xdr:col>
                    <xdr:colOff>438150</xdr:colOff>
                    <xdr:row>43</xdr:row>
                    <xdr:rowOff>127000</xdr:rowOff>
                  </to>
                </anchor>
              </controlPr>
            </control>
          </mc:Choice>
        </mc:AlternateContent>
        <mc:AlternateContent>
          <mc:Choice Requires="x14">
            <control xmlns:r="http://schemas.openxmlformats.org/officeDocument/2006/relationships" shapeId="2058" r:id="rId13" name="Check Box 10">
              <controlPr locked="0" defaultSize="0" autoFill="0" autoLine="0" autoPict="0" macro="[0]!Nyilatkozatok_1">
                <anchor moveWithCells="1">
                  <from>
                    <xdr:col>0</xdr:col>
                    <xdr:colOff>133350</xdr:colOff>
                    <xdr:row>33</xdr:row>
                    <xdr:rowOff>69850</xdr:rowOff>
                  </from>
                  <to>
                    <xdr:col>0</xdr:col>
                    <xdr:colOff>438150</xdr:colOff>
                    <xdr:row>43</xdr:row>
                    <xdr:rowOff>127000</xdr:rowOff>
                  </to>
                </anchor>
              </controlPr>
            </control>
          </mc:Choice>
        </mc:AlternateContent>
        <mc:AlternateContent>
          <mc:Choice Requires="x14">
            <control xmlns:r="http://schemas.openxmlformats.org/officeDocument/2006/relationships" shapeId="2059" r:id="rId14" name="Check Box 11">
              <controlPr locked="0" defaultSize="0" autoFill="0" autoLine="0" autoPict="0" macro="[0]!Nyilatkozatok_1">
                <anchor moveWithCells="1">
                  <from>
                    <xdr:col>0</xdr:col>
                    <xdr:colOff>133350</xdr:colOff>
                    <xdr:row>35</xdr:row>
                    <xdr:rowOff>88900</xdr:rowOff>
                  </from>
                  <to>
                    <xdr:col>0</xdr:col>
                    <xdr:colOff>438150</xdr:colOff>
                    <xdr:row>43</xdr:row>
                    <xdr:rowOff>127000</xdr:rowOff>
                  </to>
                </anchor>
              </controlPr>
            </control>
          </mc:Choice>
        </mc:AlternateContent>
        <mc:AlternateContent>
          <mc:Choice Requires="x14">
            <control xmlns:r="http://schemas.openxmlformats.org/officeDocument/2006/relationships" shapeId="2060" r:id="rId15" name="Check Box 12">
              <controlPr locked="0" defaultSize="0" autoFill="0" autoLine="0" autoPict="0" macro="[0]!Nyilatkozatok_1">
                <anchor moveWithCells="1">
                  <from>
                    <xdr:col>0</xdr:col>
                    <xdr:colOff>133350</xdr:colOff>
                    <xdr:row>37</xdr:row>
                    <xdr:rowOff>69850</xdr:rowOff>
                  </from>
                  <to>
                    <xdr:col>0</xdr:col>
                    <xdr:colOff>438150</xdr:colOff>
                    <xdr:row>43</xdr:row>
                    <xdr:rowOff>127000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xm:f>AND(Adatlap!D7="",Adatlap!L1="Magyar")</xm:f>
            <x14:dxf>
              <font>
                <b/>
                <i val="0"/>
                <color rgb="FFFF0000"/>
              </font>
            </x14:dxf>
          </x14:cfRule>
          <xm:sqref>A8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8">
    <tabColor rgb="FF92D050"/>
    <pageSetUpPr fitToPage="1"/>
  </sheetPr>
  <dimension ref="A1:BC73"/>
  <sheetViews>
    <sheetView workbookViewId="0" topLeftCell="A1">
      <selection activeCell="A58" sqref="A10:H58"/>
    </sheetView>
  </sheetViews>
  <sheetFormatPr defaultColWidth="9.140625" defaultRowHeight="12.75"/>
  <cols>
    <col min="1" max="1" width="13.00390625" style="0" customWidth="1"/>
    <col min="2" max="2" width="10.421875" style="0" customWidth="1"/>
    <col min="3" max="3" width="19.28125" style="0" customWidth="1"/>
    <col min="4" max="4" width="23.00390625" style="2" customWidth="1"/>
    <col min="5" max="5" width="16.57421875" style="0" customWidth="1"/>
    <col min="6" max="6" width="23.7109375" style="0" customWidth="1"/>
    <col min="7" max="7" width="23.8515625" style="2" customWidth="1"/>
    <col min="8" max="8" width="18.28125" style="539" customWidth="1"/>
    <col min="9" max="9" width="9.140625" style="523" customWidth="1"/>
    <col min="10" max="10" width="9.140625" style="572" hidden="1" customWidth="1"/>
    <col min="11" max="15" width="9.140625" style="523" hidden="1" customWidth="1"/>
    <col min="16" max="16" width="9.140625" style="0" hidden="1" customWidth="1"/>
    <col min="17" max="55" width="9.140625" style="523" customWidth="1"/>
  </cols>
  <sheetData>
    <row r="1" spans="3:19" s="463" customFormat="1" ht="75" customHeight="1">
      <c r="C1" s="986" t="str">
        <f>IF(Adatlap!L1="Magyar",Fordítások!C310,Fordítások!B310)</f>
        <v>MOSÓ- ÉS TISZTÍTÓSZEREK</v>
      </c>
      <c r="D1" s="986"/>
      <c r="E1" s="986"/>
      <c r="F1" s="986"/>
      <c r="G1" s="986"/>
      <c r="H1" s="986"/>
      <c r="I1" s="530"/>
      <c r="J1" s="571"/>
      <c r="K1" s="530"/>
      <c r="L1" s="530"/>
      <c r="M1" s="530"/>
      <c r="N1" s="530"/>
      <c r="O1" s="530"/>
      <c r="P1" s="478"/>
      <c r="Q1" s="478"/>
      <c r="R1" s="478"/>
      <c r="S1" s="478"/>
    </row>
    <row r="2" spans="1:12" ht="45" customHeight="1">
      <c r="A2" s="578" t="str">
        <f>IF(Adatlap!L1="Magyar",CONCATENATE(Fordítások!C333,"k"),CONCATENATE(Fordítások!B333,"s"))</f>
        <v>Összetevők</v>
      </c>
      <c r="B2" s="523"/>
      <c r="C2" s="529"/>
      <c r="D2" s="621"/>
      <c r="E2" s="529"/>
      <c r="F2" s="529"/>
      <c r="G2" s="621"/>
      <c r="H2" s="566"/>
      <c r="L2" s="525" t="s">
        <v>1306</v>
      </c>
    </row>
    <row r="3" spans="1:14" ht="12.75">
      <c r="A3" s="523"/>
      <c r="B3" s="523"/>
      <c r="C3" s="523"/>
      <c r="D3" s="620"/>
      <c r="E3" s="523"/>
      <c r="F3" s="523"/>
      <c r="G3" s="620"/>
      <c r="L3" s="525" t="s">
        <v>1281</v>
      </c>
      <c r="N3" s="565">
        <f>MAX(Alapanyagok!Y13:Y61)</f>
        <v>0</v>
      </c>
    </row>
    <row r="4" spans="1:10" ht="12.75">
      <c r="A4" s="523"/>
      <c r="B4" s="1139" t="str">
        <f>IF(J4=FALSE,IF(Adatlap!L1="Magyar","Jelölje be!","Please, check!"),"")</f>
        <v>Jelölje be!</v>
      </c>
      <c r="C4" s="1154" t="str">
        <f>IF(Adatlap!L1="Magyar",Fordítások!C332,Fordítások!B332)</f>
        <v>Kijelentem, hogy a termék minden összetevője szerepel az alábbi táblázatban.</v>
      </c>
      <c r="D4" s="1154"/>
      <c r="E4" s="1154"/>
      <c r="F4" s="1154"/>
      <c r="J4" s="540" t="b">
        <v>0</v>
      </c>
    </row>
    <row r="5" spans="1:7" ht="12.75">
      <c r="A5" s="533"/>
      <c r="B5" s="1139"/>
      <c r="C5" s="1154"/>
      <c r="D5" s="1154"/>
      <c r="E5" s="1154"/>
      <c r="F5" s="1154"/>
      <c r="G5" s="620"/>
    </row>
    <row r="6" spans="1:7" ht="12.75">
      <c r="A6" s="523"/>
      <c r="B6" s="535"/>
      <c r="C6" s="523"/>
      <c r="D6" s="620"/>
      <c r="E6" s="523"/>
      <c r="F6" s="523"/>
      <c r="G6" s="620"/>
    </row>
    <row r="7" spans="1:8" ht="24.75" customHeight="1">
      <c r="A7" s="532" t="str">
        <f>IF(Adatlap!L1="Magyar",CONCATENATE(Fordítások!C334," ",Összetétel!E12," ",Fordítások!C335),CONCATENATE(Fordítások!B334," ",Összetétel!E12," ",Fordítások!B335))</f>
        <v>A termék víztartalma:  (súly) %</v>
      </c>
      <c r="B7" s="531"/>
      <c r="C7" s="531"/>
      <c r="D7" s="624"/>
      <c r="E7" s="531"/>
      <c r="F7" s="531"/>
      <c r="G7" s="623"/>
      <c r="H7" s="567"/>
    </row>
    <row r="8" spans="1:8" ht="12.75">
      <c r="A8" s="1151" t="str">
        <f>IF(Adatlap!L1="Magyar",CONCATENATE(Fordítások!C333," (*)"),CONCATENATE(Fordítások!B333," (*)"))</f>
        <v>Összetevő (*)</v>
      </c>
      <c r="B8" s="1151"/>
      <c r="C8" s="1151"/>
      <c r="D8" s="1152" t="str">
        <f>IF(Adatlap!L1="Magyar",Fordítások!C348,Fordítások!B348)</f>
        <v>Szerepe a termékben (pl. felületaktív anyag, építő vagy adalékanyag stb.)</v>
      </c>
      <c r="E8" s="1150" t="str">
        <f>IF(Adatlap!L1="Magyar",Fordítások!C349,Fordítások!B349)</f>
        <v>Formája / Halmazállapota a termékben</v>
      </c>
      <c r="F8" s="1150" t="str">
        <f>IF(Adatlap!L1="Magyar",Fordítások!C350,Fordítások!B350)</f>
        <v>CAS szám (vagy CI szám vagy más pontos meghatározás)</v>
      </c>
      <c r="G8" s="1153" t="str">
        <f>IF(Adatlap!L1="Magyar",Fordítások!C351,Fordítások!B351)</f>
        <v>DID szám (ha van)</v>
      </c>
      <c r="H8" s="1150" t="str">
        <f>IF(Adatlap!L1="Magyar",Fordítások!C352,Fordítások!B352)</f>
        <v>Koncentráció (%m/m)</v>
      </c>
    </row>
    <row r="9" spans="1:8" ht="40.5" customHeight="1">
      <c r="A9" s="1150" t="str">
        <f>IF(Adatlap!L1="Magyar",CONCATENATE(Fordítások!C12," (ha van)"),Fordítások!B12)</f>
        <v>kereskedelmi megnevezése (ha van)</v>
      </c>
      <c r="B9" s="1150"/>
      <c r="C9" s="534" t="str">
        <f>IF(Adatlap!L1="Magyar",CONCATENATE(Fordítások!C347,"**"),CONCATENATE(Fordítások!B347,"**"))</f>
        <v>kémiai megnevezése**</v>
      </c>
      <c r="D9" s="1152"/>
      <c r="E9" s="1150"/>
      <c r="F9" s="1150"/>
      <c r="G9" s="1153"/>
      <c r="H9" s="1150"/>
    </row>
    <row r="10" spans="1:55" s="564" customFormat="1" ht="25" customHeight="1">
      <c r="A10" s="1149"/>
      <c r="B10" s="1149"/>
      <c r="C10" s="886" t="str">
        <f>IF(Alapanyagok_DID!B13="","",Alapanyagok_DID!B13)</f>
        <v/>
      </c>
      <c r="D10" s="887" t="str">
        <f>IF(Alapanyagok!B13="","",Alapanyagok!H13)</f>
        <v/>
      </c>
      <c r="E10" s="888" t="str">
        <f>IF(Alapanyagok!B13="","",Alapanyagok!N13)</f>
        <v/>
      </c>
      <c r="F10" s="888" t="str">
        <f>IF(Alapanyagok!G13="","",Alapanyagok!G13)</f>
        <v/>
      </c>
      <c r="G10" s="886" t="str">
        <f>IF(Alapanyagok_DID!B13="","",Alapanyagok_DID!E13)</f>
        <v/>
      </c>
      <c r="H10" s="886" t="str">
        <f>IF(Alapanyagok_DID!B13="","",Alapanyagok_DID!G13)</f>
        <v/>
      </c>
      <c r="I10" s="527"/>
      <c r="J10" s="573"/>
      <c r="K10" s="527"/>
      <c r="L10" s="527"/>
      <c r="M10" s="527"/>
      <c r="N10" s="527"/>
      <c r="O10" s="527">
        <f>IF(C10="",0,1)</f>
        <v>0</v>
      </c>
      <c r="P10" s="564">
        <f>IF(C10="",0,1)</f>
        <v>0</v>
      </c>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7"/>
      <c r="AZ10" s="527"/>
      <c r="BA10" s="527"/>
      <c r="BB10" s="527"/>
      <c r="BC10" s="527"/>
    </row>
    <row r="11" spans="1:55" s="564" customFormat="1" ht="25" customHeight="1">
      <c r="A11" s="1149"/>
      <c r="B11" s="1149"/>
      <c r="C11" s="886" t="str">
        <f>IF(Alapanyagok_DID!B14="","",Alapanyagok_DID!B14)</f>
        <v/>
      </c>
      <c r="D11" s="887" t="str">
        <f>IF(Alapanyagok!B14="","",Alapanyagok!H14)</f>
        <v/>
      </c>
      <c r="E11" s="888" t="str">
        <f>IF(Alapanyagok!B14="","",Alapanyagok!N14)</f>
        <v/>
      </c>
      <c r="F11" s="888" t="str">
        <f>IF(Alapanyagok!G14="","",Alapanyagok!G14)</f>
        <v/>
      </c>
      <c r="G11" s="886" t="str">
        <f>IF(Alapanyagok_DID!B14="","",Alapanyagok_DID!E14)</f>
        <v/>
      </c>
      <c r="H11" s="886" t="str">
        <f>IF(Alapanyagok_DID!B14="","",Alapanyagok_DID!G14)</f>
        <v/>
      </c>
      <c r="I11" s="527"/>
      <c r="J11" s="573"/>
      <c r="K11" s="527"/>
      <c r="L11" s="527"/>
      <c r="M11" s="527"/>
      <c r="N11" s="527"/>
      <c r="O11" s="527">
        <f aca="true" t="shared" si="0" ref="O11:O58">IF(C11="",0,1)</f>
        <v>0</v>
      </c>
      <c r="P11" s="564">
        <f aca="true" t="shared" si="1" ref="P11:P58">IF(C11="",0,1)</f>
        <v>0</v>
      </c>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row>
    <row r="12" spans="1:55" s="564" customFormat="1" ht="25" customHeight="1">
      <c r="A12" s="1149"/>
      <c r="B12" s="1149"/>
      <c r="C12" s="886" t="str">
        <f>IF(Alapanyagok_DID!B15="","",Alapanyagok_DID!B15)</f>
        <v/>
      </c>
      <c r="D12" s="887" t="str">
        <f>IF(Alapanyagok!B15="","",Alapanyagok!H15)</f>
        <v/>
      </c>
      <c r="E12" s="888" t="str">
        <f>IF(Alapanyagok!B15="","",Alapanyagok!N15)</f>
        <v/>
      </c>
      <c r="F12" s="888" t="str">
        <f>IF(Alapanyagok!G15="","",Alapanyagok!G15)</f>
        <v/>
      </c>
      <c r="G12" s="886" t="str">
        <f>IF(Alapanyagok_DID!B15="","",Alapanyagok_DID!E15)</f>
        <v/>
      </c>
      <c r="H12" s="886" t="str">
        <f>IF(Alapanyagok_DID!B15="","",Alapanyagok_DID!G15)</f>
        <v/>
      </c>
      <c r="I12" s="527"/>
      <c r="J12" s="573"/>
      <c r="K12" s="527"/>
      <c r="L12" s="527"/>
      <c r="M12" s="527"/>
      <c r="N12" s="527"/>
      <c r="O12" s="527">
        <f t="shared" si="0"/>
        <v>0</v>
      </c>
      <c r="P12" s="564">
        <f t="shared" si="1"/>
        <v>0</v>
      </c>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c r="AQ12" s="527"/>
      <c r="AR12" s="527"/>
      <c r="AS12" s="527"/>
      <c r="AT12" s="527"/>
      <c r="AU12" s="527"/>
      <c r="AV12" s="527"/>
      <c r="AW12" s="527"/>
      <c r="AX12" s="527"/>
      <c r="AY12" s="527"/>
      <c r="AZ12" s="527"/>
      <c r="BA12" s="527"/>
      <c r="BB12" s="527"/>
      <c r="BC12" s="527"/>
    </row>
    <row r="13" spans="1:55" s="564" customFormat="1" ht="25" customHeight="1">
      <c r="A13" s="1149"/>
      <c r="B13" s="1149"/>
      <c r="C13" s="886" t="str">
        <f>IF(Alapanyagok_DID!B16="","",Alapanyagok_DID!B16)</f>
        <v/>
      </c>
      <c r="D13" s="887" t="str">
        <f>IF(Alapanyagok!B16="","",Alapanyagok!H16)</f>
        <v/>
      </c>
      <c r="E13" s="888" t="str">
        <f>IF(Alapanyagok!B16="","",Alapanyagok!N16)</f>
        <v/>
      </c>
      <c r="F13" s="888" t="str">
        <f>IF(Alapanyagok!G16="","",Alapanyagok!G16)</f>
        <v/>
      </c>
      <c r="G13" s="886" t="str">
        <f>IF(Alapanyagok_DID!B16="","",Alapanyagok_DID!E16)</f>
        <v/>
      </c>
      <c r="H13" s="886" t="str">
        <f>IF(Alapanyagok_DID!B16="","",Alapanyagok_DID!G16)</f>
        <v/>
      </c>
      <c r="I13" s="527"/>
      <c r="J13" s="573"/>
      <c r="K13" s="527"/>
      <c r="L13" s="527"/>
      <c r="M13" s="527"/>
      <c r="N13" s="527"/>
      <c r="O13" s="527">
        <f t="shared" si="0"/>
        <v>0</v>
      </c>
      <c r="P13" s="564">
        <f t="shared" si="1"/>
        <v>0</v>
      </c>
      <c r="Q13" s="527"/>
      <c r="R13" s="527"/>
      <c r="S13" s="527"/>
      <c r="T13" s="527"/>
      <c r="U13" s="527"/>
      <c r="V13" s="527"/>
      <c r="W13" s="527"/>
      <c r="X13" s="527"/>
      <c r="Y13" s="527"/>
      <c r="Z13" s="527"/>
      <c r="AA13" s="527"/>
      <c r="AB13" s="527"/>
      <c r="AC13" s="527"/>
      <c r="AD13" s="527"/>
      <c r="AE13" s="527"/>
      <c r="AF13" s="527"/>
      <c r="AG13" s="527"/>
      <c r="AH13" s="527"/>
      <c r="AI13" s="527"/>
      <c r="AJ13" s="527"/>
      <c r="AK13" s="527"/>
      <c r="AL13" s="527"/>
      <c r="AM13" s="527"/>
      <c r="AN13" s="527"/>
      <c r="AO13" s="527"/>
      <c r="AP13" s="527"/>
      <c r="AQ13" s="527"/>
      <c r="AR13" s="527"/>
      <c r="AS13" s="527"/>
      <c r="AT13" s="527"/>
      <c r="AU13" s="527"/>
      <c r="AV13" s="527"/>
      <c r="AW13" s="527"/>
      <c r="AX13" s="527"/>
      <c r="AY13" s="527"/>
      <c r="AZ13" s="527"/>
      <c r="BA13" s="527"/>
      <c r="BB13" s="527"/>
      <c r="BC13" s="527"/>
    </row>
    <row r="14" spans="1:55" s="564" customFormat="1" ht="25" customHeight="1">
      <c r="A14" s="1149"/>
      <c r="B14" s="1149"/>
      <c r="C14" s="886" t="str">
        <f>IF(Alapanyagok_DID!B17="","",Alapanyagok_DID!B17)</f>
        <v/>
      </c>
      <c r="D14" s="887" t="str">
        <f>IF(Alapanyagok!B17="","",Alapanyagok!H17)</f>
        <v/>
      </c>
      <c r="E14" s="888" t="str">
        <f>IF(Alapanyagok!B17="","",Alapanyagok!N17)</f>
        <v/>
      </c>
      <c r="F14" s="888" t="str">
        <f>IF(Alapanyagok!G17="","",Alapanyagok!G17)</f>
        <v/>
      </c>
      <c r="G14" s="886" t="str">
        <f>IF(Alapanyagok_DID!B17="","",Alapanyagok_DID!E17)</f>
        <v/>
      </c>
      <c r="H14" s="886" t="str">
        <f>IF(Alapanyagok_DID!B17="","",Alapanyagok_DID!G17)</f>
        <v/>
      </c>
      <c r="I14" s="527"/>
      <c r="J14" s="573"/>
      <c r="K14" s="527"/>
      <c r="L14" s="527"/>
      <c r="M14" s="527"/>
      <c r="N14" s="527"/>
      <c r="O14" s="527">
        <f t="shared" si="0"/>
        <v>0</v>
      </c>
      <c r="P14" s="564">
        <f t="shared" si="1"/>
        <v>0</v>
      </c>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c r="AQ14" s="527"/>
      <c r="AR14" s="527"/>
      <c r="AS14" s="527"/>
      <c r="AT14" s="527"/>
      <c r="AU14" s="527"/>
      <c r="AV14" s="527"/>
      <c r="AW14" s="527"/>
      <c r="AX14" s="527"/>
      <c r="AY14" s="527"/>
      <c r="AZ14" s="527"/>
      <c r="BA14" s="527"/>
      <c r="BB14" s="527"/>
      <c r="BC14" s="527"/>
    </row>
    <row r="15" spans="1:55" s="564" customFormat="1" ht="25" customHeight="1">
      <c r="A15" s="1149"/>
      <c r="B15" s="1149"/>
      <c r="C15" s="886" t="str">
        <f>IF(Alapanyagok_DID!B18="","",Alapanyagok_DID!B18)</f>
        <v/>
      </c>
      <c r="D15" s="887" t="str">
        <f>IF(Alapanyagok!B18="","",Alapanyagok!H18)</f>
        <v/>
      </c>
      <c r="E15" s="888" t="str">
        <f>IF(Alapanyagok!B18="","",Alapanyagok!N18)</f>
        <v/>
      </c>
      <c r="F15" s="888" t="str">
        <f>IF(Alapanyagok!G18="","",Alapanyagok!G18)</f>
        <v/>
      </c>
      <c r="G15" s="886" t="str">
        <f>IF(Alapanyagok_DID!B18="","",Alapanyagok_DID!E18)</f>
        <v/>
      </c>
      <c r="H15" s="886" t="str">
        <f>IF(Alapanyagok_DID!B18="","",Alapanyagok_DID!G18)</f>
        <v/>
      </c>
      <c r="I15" s="527"/>
      <c r="J15" s="573"/>
      <c r="K15" s="527"/>
      <c r="L15" s="527"/>
      <c r="M15" s="527"/>
      <c r="N15" s="527"/>
      <c r="O15" s="527">
        <f t="shared" si="0"/>
        <v>0</v>
      </c>
      <c r="P15" s="564">
        <f t="shared" si="1"/>
        <v>0</v>
      </c>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527"/>
      <c r="AN15" s="527"/>
      <c r="AO15" s="527"/>
      <c r="AP15" s="527"/>
      <c r="AQ15" s="527"/>
      <c r="AR15" s="527"/>
      <c r="AS15" s="527"/>
      <c r="AT15" s="527"/>
      <c r="AU15" s="527"/>
      <c r="AV15" s="527"/>
      <c r="AW15" s="527"/>
      <c r="AX15" s="527"/>
      <c r="AY15" s="527"/>
      <c r="AZ15" s="527"/>
      <c r="BA15" s="527"/>
      <c r="BB15" s="527"/>
      <c r="BC15" s="527"/>
    </row>
    <row r="16" spans="1:55" s="564" customFormat="1" ht="25" customHeight="1">
      <c r="A16" s="1149"/>
      <c r="B16" s="1149"/>
      <c r="C16" s="886" t="str">
        <f>IF(Alapanyagok_DID!B19="","",Alapanyagok_DID!B19)</f>
        <v/>
      </c>
      <c r="D16" s="887" t="str">
        <f>IF(Alapanyagok!B19="","",Alapanyagok!H19)</f>
        <v/>
      </c>
      <c r="E16" s="888" t="str">
        <f>IF(Alapanyagok!B19="","",Alapanyagok!N19)</f>
        <v/>
      </c>
      <c r="F16" s="888" t="str">
        <f>IF(Alapanyagok!G19="","",Alapanyagok!G19)</f>
        <v/>
      </c>
      <c r="G16" s="886" t="str">
        <f>IF(Alapanyagok_DID!B19="","",Alapanyagok_DID!E19)</f>
        <v/>
      </c>
      <c r="H16" s="886" t="str">
        <f>IF(Alapanyagok_DID!B19="","",Alapanyagok_DID!G19)</f>
        <v/>
      </c>
      <c r="I16" s="527"/>
      <c r="J16" s="573"/>
      <c r="K16" s="527"/>
      <c r="L16" s="527"/>
      <c r="M16" s="527"/>
      <c r="N16" s="527"/>
      <c r="O16" s="527">
        <f t="shared" si="0"/>
        <v>0</v>
      </c>
      <c r="P16" s="564">
        <f t="shared" si="1"/>
        <v>0</v>
      </c>
      <c r="Q16" s="527"/>
      <c r="R16" s="527"/>
      <c r="S16" s="527"/>
      <c r="T16" s="527"/>
      <c r="U16" s="527"/>
      <c r="V16" s="527"/>
      <c r="W16" s="527"/>
      <c r="X16" s="527"/>
      <c r="Y16" s="527"/>
      <c r="Z16" s="527"/>
      <c r="AA16" s="527"/>
      <c r="AB16" s="527"/>
      <c r="AC16" s="527"/>
      <c r="AD16" s="527"/>
      <c r="AE16" s="527"/>
      <c r="AF16" s="527"/>
      <c r="AG16" s="527"/>
      <c r="AH16" s="527"/>
      <c r="AI16" s="527"/>
      <c r="AJ16" s="527"/>
      <c r="AK16" s="527"/>
      <c r="AL16" s="527"/>
      <c r="AM16" s="527"/>
      <c r="AN16" s="527"/>
      <c r="AO16" s="527"/>
      <c r="AP16" s="527"/>
      <c r="AQ16" s="527"/>
      <c r="AR16" s="527"/>
      <c r="AS16" s="527"/>
      <c r="AT16" s="527"/>
      <c r="AU16" s="527"/>
      <c r="AV16" s="527"/>
      <c r="AW16" s="527"/>
      <c r="AX16" s="527"/>
      <c r="AY16" s="527"/>
      <c r="AZ16" s="527"/>
      <c r="BA16" s="527"/>
      <c r="BB16" s="527"/>
      <c r="BC16" s="527"/>
    </row>
    <row r="17" spans="1:55" s="564" customFormat="1" ht="25" customHeight="1">
      <c r="A17" s="1149"/>
      <c r="B17" s="1149"/>
      <c r="C17" s="886" t="str">
        <f>IF(Alapanyagok_DID!B20="","",Alapanyagok_DID!B20)</f>
        <v/>
      </c>
      <c r="D17" s="887" t="str">
        <f>IF(Alapanyagok!B20="","",Alapanyagok!H20)</f>
        <v/>
      </c>
      <c r="E17" s="888" t="str">
        <f>IF(Alapanyagok!B20="","",Alapanyagok!N20)</f>
        <v/>
      </c>
      <c r="F17" s="888" t="str">
        <f>IF(Alapanyagok!G20="","",Alapanyagok!G20)</f>
        <v/>
      </c>
      <c r="G17" s="886" t="str">
        <f>IF(Alapanyagok_DID!B20="","",Alapanyagok_DID!E20)</f>
        <v/>
      </c>
      <c r="H17" s="886" t="str">
        <f>IF(Alapanyagok_DID!B20="","",Alapanyagok_DID!G20)</f>
        <v/>
      </c>
      <c r="I17" s="527"/>
      <c r="J17" s="573"/>
      <c r="K17" s="527"/>
      <c r="L17" s="527"/>
      <c r="M17" s="527"/>
      <c r="N17" s="527"/>
      <c r="O17" s="527">
        <f t="shared" si="0"/>
        <v>0</v>
      </c>
      <c r="P17" s="564">
        <f t="shared" si="1"/>
        <v>0</v>
      </c>
      <c r="Q17" s="527"/>
      <c r="R17" s="527"/>
      <c r="S17" s="527"/>
      <c r="T17" s="527"/>
      <c r="U17" s="527"/>
      <c r="V17" s="527"/>
      <c r="W17" s="527"/>
      <c r="X17" s="527"/>
      <c r="Y17" s="527"/>
      <c r="Z17" s="527"/>
      <c r="AA17" s="527"/>
      <c r="AB17" s="527"/>
      <c r="AC17" s="527"/>
      <c r="AD17" s="527"/>
      <c r="AE17" s="527"/>
      <c r="AF17" s="527"/>
      <c r="AG17" s="527"/>
      <c r="AH17" s="527"/>
      <c r="AI17" s="527"/>
      <c r="AJ17" s="527"/>
      <c r="AK17" s="527"/>
      <c r="AL17" s="527"/>
      <c r="AM17" s="527"/>
      <c r="AN17" s="527"/>
      <c r="AO17" s="527"/>
      <c r="AP17" s="527"/>
      <c r="AQ17" s="527"/>
      <c r="AR17" s="527"/>
      <c r="AS17" s="527"/>
      <c r="AT17" s="527"/>
      <c r="AU17" s="527"/>
      <c r="AV17" s="527"/>
      <c r="AW17" s="527"/>
      <c r="AX17" s="527"/>
      <c r="AY17" s="527"/>
      <c r="AZ17" s="527"/>
      <c r="BA17" s="527"/>
      <c r="BB17" s="527"/>
      <c r="BC17" s="527"/>
    </row>
    <row r="18" spans="1:55" s="564" customFormat="1" ht="25" customHeight="1">
      <c r="A18" s="1149"/>
      <c r="B18" s="1149"/>
      <c r="C18" s="886" t="str">
        <f>IF(Alapanyagok_DID!B21="","",Alapanyagok_DID!B21)</f>
        <v/>
      </c>
      <c r="D18" s="887" t="str">
        <f>IF(Alapanyagok!B21="","",Alapanyagok!H21)</f>
        <v/>
      </c>
      <c r="E18" s="888" t="str">
        <f>IF(Alapanyagok!B21="","",Alapanyagok!N21)</f>
        <v/>
      </c>
      <c r="F18" s="888" t="str">
        <f>IF(Alapanyagok!G21="","",Alapanyagok!G21)</f>
        <v/>
      </c>
      <c r="G18" s="886" t="str">
        <f>IF(Alapanyagok_DID!B21="","",Alapanyagok_DID!E21)</f>
        <v/>
      </c>
      <c r="H18" s="886" t="str">
        <f>IF(Alapanyagok_DID!B21="","",Alapanyagok_DID!G21)</f>
        <v/>
      </c>
      <c r="I18" s="527"/>
      <c r="J18" s="573"/>
      <c r="K18" s="527"/>
      <c r="L18" s="527"/>
      <c r="M18" s="527"/>
      <c r="N18" s="527"/>
      <c r="O18" s="527">
        <f t="shared" si="0"/>
        <v>0</v>
      </c>
      <c r="P18" s="564">
        <f t="shared" si="1"/>
        <v>0</v>
      </c>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c r="AO18" s="527"/>
      <c r="AP18" s="527"/>
      <c r="AQ18" s="527"/>
      <c r="AR18" s="527"/>
      <c r="AS18" s="527"/>
      <c r="AT18" s="527"/>
      <c r="AU18" s="527"/>
      <c r="AV18" s="527"/>
      <c r="AW18" s="527"/>
      <c r="AX18" s="527"/>
      <c r="AY18" s="527"/>
      <c r="AZ18" s="527"/>
      <c r="BA18" s="527"/>
      <c r="BB18" s="527"/>
      <c r="BC18" s="527"/>
    </row>
    <row r="19" spans="1:55" s="564" customFormat="1" ht="25" customHeight="1">
      <c r="A19" s="1149"/>
      <c r="B19" s="1149"/>
      <c r="C19" s="886" t="str">
        <f>IF(Alapanyagok_DID!B22="","",Alapanyagok_DID!B22)</f>
        <v/>
      </c>
      <c r="D19" s="887" t="str">
        <f>IF(Alapanyagok!B22="","",Alapanyagok!H22)</f>
        <v/>
      </c>
      <c r="E19" s="888" t="str">
        <f>IF(Alapanyagok!B22="","",Alapanyagok!N22)</f>
        <v/>
      </c>
      <c r="F19" s="888" t="str">
        <f>IF(Alapanyagok!G22="","",Alapanyagok!G22)</f>
        <v/>
      </c>
      <c r="G19" s="886" t="str">
        <f>IF(Alapanyagok_DID!B22="","",Alapanyagok_DID!E22)</f>
        <v/>
      </c>
      <c r="H19" s="886" t="str">
        <f>IF(Alapanyagok_DID!B22="","",Alapanyagok_DID!G22)</f>
        <v/>
      </c>
      <c r="I19" s="527"/>
      <c r="J19" s="573"/>
      <c r="K19" s="527"/>
      <c r="L19" s="527"/>
      <c r="M19" s="527"/>
      <c r="N19" s="527"/>
      <c r="O19" s="527">
        <f t="shared" si="0"/>
        <v>0</v>
      </c>
      <c r="P19" s="564">
        <f t="shared" si="1"/>
        <v>0</v>
      </c>
      <c r="Q19" s="527"/>
      <c r="R19" s="527"/>
      <c r="S19" s="527"/>
      <c r="T19" s="527"/>
      <c r="U19" s="527"/>
      <c r="V19" s="527"/>
      <c r="W19" s="527"/>
      <c r="X19" s="527"/>
      <c r="Y19" s="527"/>
      <c r="Z19" s="527"/>
      <c r="AA19" s="527"/>
      <c r="AB19" s="527"/>
      <c r="AC19" s="527"/>
      <c r="AD19" s="527"/>
      <c r="AE19" s="527"/>
      <c r="AF19" s="527"/>
      <c r="AG19" s="527"/>
      <c r="AH19" s="527"/>
      <c r="AI19" s="527"/>
      <c r="AJ19" s="527"/>
      <c r="AK19" s="527"/>
      <c r="AL19" s="527"/>
      <c r="AM19" s="527"/>
      <c r="AN19" s="527"/>
      <c r="AO19" s="527"/>
      <c r="AP19" s="527"/>
      <c r="AQ19" s="527"/>
      <c r="AR19" s="527"/>
      <c r="AS19" s="527"/>
      <c r="AT19" s="527"/>
      <c r="AU19" s="527"/>
      <c r="AV19" s="527"/>
      <c r="AW19" s="527"/>
      <c r="AX19" s="527"/>
      <c r="AY19" s="527"/>
      <c r="AZ19" s="527"/>
      <c r="BA19" s="527"/>
      <c r="BB19" s="527"/>
      <c r="BC19" s="527"/>
    </row>
    <row r="20" spans="1:55" s="564" customFormat="1" ht="25" customHeight="1">
      <c r="A20" s="1149"/>
      <c r="B20" s="1149"/>
      <c r="C20" s="886" t="str">
        <f>IF(Alapanyagok_DID!B23="","",Alapanyagok_DID!B23)</f>
        <v/>
      </c>
      <c r="D20" s="887" t="str">
        <f>IF(Alapanyagok!B23="","",Alapanyagok!H23)</f>
        <v/>
      </c>
      <c r="E20" s="888" t="str">
        <f>IF(Alapanyagok!B23="","",Alapanyagok!N23)</f>
        <v/>
      </c>
      <c r="F20" s="888" t="str">
        <f>IF(Alapanyagok!G23="","",Alapanyagok!G23)</f>
        <v/>
      </c>
      <c r="G20" s="886" t="str">
        <f>IF(Alapanyagok_DID!B23="","",Alapanyagok_DID!E23)</f>
        <v/>
      </c>
      <c r="H20" s="886" t="str">
        <f>IF(Alapanyagok_DID!B23="","",Alapanyagok_DID!G23)</f>
        <v/>
      </c>
      <c r="I20" s="527"/>
      <c r="J20" s="573"/>
      <c r="K20" s="527"/>
      <c r="L20" s="527"/>
      <c r="M20" s="527"/>
      <c r="N20" s="527"/>
      <c r="O20" s="527">
        <f t="shared" si="0"/>
        <v>0</v>
      </c>
      <c r="P20" s="564">
        <f t="shared" si="1"/>
        <v>0</v>
      </c>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27"/>
      <c r="AS20" s="527"/>
      <c r="AT20" s="527"/>
      <c r="AU20" s="527"/>
      <c r="AV20" s="527"/>
      <c r="AW20" s="527"/>
      <c r="AX20" s="527"/>
      <c r="AY20" s="527"/>
      <c r="AZ20" s="527"/>
      <c r="BA20" s="527"/>
      <c r="BB20" s="527"/>
      <c r="BC20" s="527"/>
    </row>
    <row r="21" spans="1:55" s="564" customFormat="1" ht="25" customHeight="1">
      <c r="A21" s="1149"/>
      <c r="B21" s="1149"/>
      <c r="C21" s="886" t="str">
        <f>IF(Alapanyagok_DID!B24="","",Alapanyagok_DID!B24)</f>
        <v/>
      </c>
      <c r="D21" s="887" t="str">
        <f>IF(Alapanyagok!B24="","",Alapanyagok!H24)</f>
        <v/>
      </c>
      <c r="E21" s="888" t="str">
        <f>IF(Alapanyagok!B24="","",Alapanyagok!N24)</f>
        <v/>
      </c>
      <c r="F21" s="888" t="str">
        <f>IF(Alapanyagok!G24="","",Alapanyagok!G24)</f>
        <v/>
      </c>
      <c r="G21" s="886" t="str">
        <f>IF(Alapanyagok_DID!B24="","",Alapanyagok_DID!E24)</f>
        <v/>
      </c>
      <c r="H21" s="886" t="str">
        <f>IF(Alapanyagok_DID!B24="","",Alapanyagok_DID!G24)</f>
        <v/>
      </c>
      <c r="I21" s="527"/>
      <c r="J21" s="574"/>
      <c r="K21" s="527"/>
      <c r="L21" s="527"/>
      <c r="M21" s="527"/>
      <c r="N21" s="527"/>
      <c r="O21" s="527">
        <f t="shared" si="0"/>
        <v>0</v>
      </c>
      <c r="P21" s="564">
        <f t="shared" si="1"/>
        <v>0</v>
      </c>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7"/>
      <c r="AY21" s="527"/>
      <c r="AZ21" s="527"/>
      <c r="BA21" s="527"/>
      <c r="BB21" s="527"/>
      <c r="BC21" s="527"/>
    </row>
    <row r="22" spans="1:55" s="564" customFormat="1" ht="25" customHeight="1">
      <c r="A22" s="1149"/>
      <c r="B22" s="1149"/>
      <c r="C22" s="886" t="str">
        <f>IF(Alapanyagok_DID!B25="","",Alapanyagok_DID!B25)</f>
        <v/>
      </c>
      <c r="D22" s="887" t="str">
        <f>IF(Alapanyagok!B25="","",Alapanyagok!H25)</f>
        <v/>
      </c>
      <c r="E22" s="888" t="str">
        <f>IF(Alapanyagok!B25="","",Alapanyagok!N25)</f>
        <v/>
      </c>
      <c r="F22" s="888" t="str">
        <f>IF(Alapanyagok!G25="","",Alapanyagok!G25)</f>
        <v/>
      </c>
      <c r="G22" s="886" t="str">
        <f>IF(Alapanyagok_DID!B25="","",Alapanyagok_DID!E25)</f>
        <v/>
      </c>
      <c r="H22" s="886" t="str">
        <f>IF(Alapanyagok_DID!B25="","",Alapanyagok_DID!G25)</f>
        <v/>
      </c>
      <c r="I22" s="527"/>
      <c r="J22" s="574"/>
      <c r="K22" s="527"/>
      <c r="L22" s="527"/>
      <c r="M22" s="527"/>
      <c r="N22" s="527"/>
      <c r="O22" s="527">
        <f t="shared" si="0"/>
        <v>0</v>
      </c>
      <c r="P22" s="564">
        <f t="shared" si="1"/>
        <v>0</v>
      </c>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row>
    <row r="23" spans="1:55" s="564" customFormat="1" ht="25" customHeight="1">
      <c r="A23" s="1149"/>
      <c r="B23" s="1149"/>
      <c r="C23" s="886" t="str">
        <f>IF(Alapanyagok_DID!B26="","",Alapanyagok_DID!B26)</f>
        <v/>
      </c>
      <c r="D23" s="887" t="str">
        <f>IF(Alapanyagok!B26="","",Alapanyagok!H26)</f>
        <v/>
      </c>
      <c r="E23" s="888" t="str">
        <f>IF(Alapanyagok!B26="","",Alapanyagok!N26)</f>
        <v/>
      </c>
      <c r="F23" s="888" t="str">
        <f>IF(Alapanyagok!G26="","",Alapanyagok!G26)</f>
        <v/>
      </c>
      <c r="G23" s="886" t="str">
        <f>IF(Alapanyagok_DID!B26="","",Alapanyagok_DID!E26)</f>
        <v/>
      </c>
      <c r="H23" s="886" t="str">
        <f>IF(Alapanyagok_DID!B26="","",Alapanyagok_DID!G26)</f>
        <v/>
      </c>
      <c r="I23" s="527"/>
      <c r="J23" s="573"/>
      <c r="K23" s="527"/>
      <c r="L23" s="527"/>
      <c r="M23" s="527"/>
      <c r="N23" s="527"/>
      <c r="O23" s="527">
        <f t="shared" si="0"/>
        <v>0</v>
      </c>
      <c r="P23" s="564">
        <f t="shared" si="1"/>
        <v>0</v>
      </c>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7"/>
      <c r="AN23" s="527"/>
      <c r="AO23" s="527"/>
      <c r="AP23" s="527"/>
      <c r="AQ23" s="527"/>
      <c r="AR23" s="527"/>
      <c r="AS23" s="527"/>
      <c r="AT23" s="527"/>
      <c r="AU23" s="527"/>
      <c r="AV23" s="527"/>
      <c r="AW23" s="527"/>
      <c r="AX23" s="527"/>
      <c r="AY23" s="527"/>
      <c r="AZ23" s="527"/>
      <c r="BA23" s="527"/>
      <c r="BB23" s="527"/>
      <c r="BC23" s="527"/>
    </row>
    <row r="24" spans="1:55" s="564" customFormat="1" ht="25" customHeight="1">
      <c r="A24" s="1149"/>
      <c r="B24" s="1149"/>
      <c r="C24" s="886" t="str">
        <f>IF(Alapanyagok_DID!B27="","",Alapanyagok_DID!B27)</f>
        <v/>
      </c>
      <c r="D24" s="887" t="str">
        <f>IF(Alapanyagok!B27="","",Alapanyagok!H27)</f>
        <v/>
      </c>
      <c r="E24" s="888" t="str">
        <f>IF(Alapanyagok!B27="","",Alapanyagok!N27)</f>
        <v/>
      </c>
      <c r="F24" s="888" t="str">
        <f>IF(Alapanyagok!G27="","",Alapanyagok!G27)</f>
        <v/>
      </c>
      <c r="G24" s="886" t="str">
        <f>IF(Alapanyagok_DID!B27="","",Alapanyagok_DID!E27)</f>
        <v/>
      </c>
      <c r="H24" s="886" t="str">
        <f>IF(Alapanyagok_DID!B27="","",Alapanyagok_DID!G27)</f>
        <v/>
      </c>
      <c r="I24" s="527"/>
      <c r="J24" s="574" t="s">
        <v>1278</v>
      </c>
      <c r="K24" s="527"/>
      <c r="L24" s="527"/>
      <c r="M24" s="527"/>
      <c r="N24" s="527"/>
      <c r="O24" s="527">
        <f t="shared" si="0"/>
        <v>0</v>
      </c>
      <c r="P24" s="564">
        <f t="shared" si="1"/>
        <v>0</v>
      </c>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27"/>
      <c r="AY24" s="527"/>
      <c r="AZ24" s="527"/>
      <c r="BA24" s="527"/>
      <c r="BB24" s="527"/>
      <c r="BC24" s="527"/>
    </row>
    <row r="25" spans="1:55" s="564" customFormat="1" ht="25" customHeight="1">
      <c r="A25" s="1149"/>
      <c r="B25" s="1149"/>
      <c r="C25" s="886" t="str">
        <f>IF(Alapanyagok_DID!B28="","",Alapanyagok_DID!B28)</f>
        <v/>
      </c>
      <c r="D25" s="887" t="str">
        <f>IF(Alapanyagok!B28="","",Alapanyagok!H28)</f>
        <v/>
      </c>
      <c r="E25" s="888" t="str">
        <f>IF(Alapanyagok!B28="","",Alapanyagok!N28)</f>
        <v/>
      </c>
      <c r="F25" s="888" t="str">
        <f>IF(Alapanyagok!G28="","",Alapanyagok!G28)</f>
        <v/>
      </c>
      <c r="G25" s="886" t="str">
        <f>IF(Alapanyagok_DID!B28="","",Alapanyagok_DID!E28)</f>
        <v/>
      </c>
      <c r="H25" s="886" t="str">
        <f>IF(Alapanyagok_DID!B28="","",Alapanyagok_DID!G28)</f>
        <v/>
      </c>
      <c r="I25" s="527"/>
      <c r="J25" s="573"/>
      <c r="K25" s="527"/>
      <c r="L25" s="527"/>
      <c r="M25" s="527"/>
      <c r="N25" s="527" t="str">
        <f>IF(MAX(P10:P27)=0,"üres",MAX(P10:P27))</f>
        <v>üres</v>
      </c>
      <c r="O25" s="527">
        <f t="shared" si="0"/>
        <v>0</v>
      </c>
      <c r="P25" s="564">
        <f t="shared" si="1"/>
        <v>0</v>
      </c>
      <c r="Q25" s="527"/>
      <c r="R25" s="527"/>
      <c r="S25" s="527"/>
      <c r="T25" s="527"/>
      <c r="U25" s="527"/>
      <c r="V25" s="527"/>
      <c r="W25" s="527"/>
      <c r="X25" s="527"/>
      <c r="Y25" s="527"/>
      <c r="Z25" s="527"/>
      <c r="AA25" s="527"/>
      <c r="AB25" s="527"/>
      <c r="AC25" s="527"/>
      <c r="AD25" s="527"/>
      <c r="AE25" s="527"/>
      <c r="AF25" s="527"/>
      <c r="AG25" s="527"/>
      <c r="AH25" s="527"/>
      <c r="AI25" s="527"/>
      <c r="AJ25" s="527"/>
      <c r="AK25" s="527"/>
      <c r="AL25" s="527"/>
      <c r="AM25" s="527"/>
      <c r="AN25" s="527"/>
      <c r="AO25" s="527"/>
      <c r="AP25" s="527"/>
      <c r="AQ25" s="527"/>
      <c r="AR25" s="527"/>
      <c r="AS25" s="527"/>
      <c r="AT25" s="527"/>
      <c r="AU25" s="527"/>
      <c r="AV25" s="527"/>
      <c r="AW25" s="527"/>
      <c r="AX25" s="527"/>
      <c r="AY25" s="527"/>
      <c r="AZ25" s="527"/>
      <c r="BA25" s="527"/>
      <c r="BB25" s="527"/>
      <c r="BC25" s="527"/>
    </row>
    <row r="26" spans="1:55" s="564" customFormat="1" ht="25" customHeight="1">
      <c r="A26" s="1149"/>
      <c r="B26" s="1149"/>
      <c r="C26" s="886" t="str">
        <f>IF(Alapanyagok_DID!B29="","",Alapanyagok_DID!B29)</f>
        <v/>
      </c>
      <c r="D26" s="887" t="str">
        <f>IF(Alapanyagok!B29="","",Alapanyagok!H29)</f>
        <v/>
      </c>
      <c r="E26" s="888" t="str">
        <f>IF(Alapanyagok!B29="","",Alapanyagok!N29)</f>
        <v/>
      </c>
      <c r="F26" s="888" t="str">
        <f>IF(Alapanyagok!G29="","",Alapanyagok!G29)</f>
        <v/>
      </c>
      <c r="G26" s="886" t="str">
        <f>IF(Alapanyagok_DID!B29="","",Alapanyagok_DID!E29)</f>
        <v/>
      </c>
      <c r="H26" s="886" t="str">
        <f>IF(Alapanyagok_DID!B29="","",Alapanyagok_DID!G29)</f>
        <v/>
      </c>
      <c r="I26" s="527"/>
      <c r="J26" s="573"/>
      <c r="K26" s="527"/>
      <c r="L26" s="527"/>
      <c r="M26" s="527"/>
      <c r="N26" s="527"/>
      <c r="O26" s="527">
        <f t="shared" si="0"/>
        <v>0</v>
      </c>
      <c r="P26" s="564">
        <f t="shared" si="1"/>
        <v>0</v>
      </c>
      <c r="Q26" s="527"/>
      <c r="R26" s="527"/>
      <c r="S26" s="527"/>
      <c r="T26" s="527"/>
      <c r="U26" s="527"/>
      <c r="V26" s="527"/>
      <c r="W26" s="527"/>
      <c r="X26" s="527"/>
      <c r="Y26" s="527"/>
      <c r="Z26" s="527"/>
      <c r="AA26" s="527"/>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527"/>
      <c r="AY26" s="527"/>
      <c r="AZ26" s="527"/>
      <c r="BA26" s="527"/>
      <c r="BB26" s="527"/>
      <c r="BC26" s="527"/>
    </row>
    <row r="27" spans="1:55" s="564" customFormat="1" ht="25" customHeight="1">
      <c r="A27" s="1149"/>
      <c r="B27" s="1149"/>
      <c r="C27" s="886" t="str">
        <f>IF(Alapanyagok_DID!B30="","",Alapanyagok_DID!B30)</f>
        <v/>
      </c>
      <c r="D27" s="887" t="str">
        <f>IF(Alapanyagok!B30="","",Alapanyagok!H30)</f>
        <v/>
      </c>
      <c r="E27" s="888" t="str">
        <f>IF(Alapanyagok!B30="","",Alapanyagok!N30)</f>
        <v/>
      </c>
      <c r="F27" s="888" t="str">
        <f>IF(Alapanyagok!G30="","",Alapanyagok!G30)</f>
        <v/>
      </c>
      <c r="G27" s="886" t="str">
        <f>IF(Alapanyagok_DID!B30="","",Alapanyagok_DID!E30)</f>
        <v/>
      </c>
      <c r="H27" s="886" t="str">
        <f>IF(Alapanyagok_DID!B30="","",Alapanyagok_DID!G30)</f>
        <v/>
      </c>
      <c r="I27" s="527"/>
      <c r="J27" s="573"/>
      <c r="K27" s="527"/>
      <c r="L27" s="527"/>
      <c r="M27" s="527"/>
      <c r="N27" s="527"/>
      <c r="O27" s="527">
        <f t="shared" si="0"/>
        <v>0</v>
      </c>
      <c r="P27" s="564">
        <f t="shared" si="1"/>
        <v>0</v>
      </c>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7"/>
      <c r="AY27" s="527"/>
      <c r="AZ27" s="527"/>
      <c r="BA27" s="527"/>
      <c r="BB27" s="527"/>
      <c r="BC27" s="527"/>
    </row>
    <row r="28" spans="1:55" s="564" customFormat="1" ht="25" customHeight="1">
      <c r="A28" s="1149"/>
      <c r="B28" s="1149"/>
      <c r="C28" s="886" t="str">
        <f>IF(Alapanyagok_DID!B31="","",Alapanyagok_DID!B31)</f>
        <v/>
      </c>
      <c r="D28" s="887" t="str">
        <f>IF(Alapanyagok!B31="","",Alapanyagok!H31)</f>
        <v/>
      </c>
      <c r="E28" s="888" t="str">
        <f>IF(Alapanyagok!B31="","",Alapanyagok!N31)</f>
        <v/>
      </c>
      <c r="F28" s="888" t="str">
        <f>IF(Alapanyagok!G31="","",Alapanyagok!G31)</f>
        <v/>
      </c>
      <c r="G28" s="886" t="str">
        <f>IF(Alapanyagok_DID!B31="","",Alapanyagok_DID!E31)</f>
        <v/>
      </c>
      <c r="H28" s="886" t="str">
        <f>IF(Alapanyagok_DID!B31="","",Alapanyagok_DID!G31)</f>
        <v/>
      </c>
      <c r="I28" s="527"/>
      <c r="J28" s="573"/>
      <c r="K28" s="527"/>
      <c r="L28" s="527"/>
      <c r="M28" s="527"/>
      <c r="N28" s="527"/>
      <c r="O28" s="527">
        <f t="shared" si="0"/>
        <v>0</v>
      </c>
      <c r="P28" s="564">
        <f t="shared" si="1"/>
        <v>0</v>
      </c>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7"/>
      <c r="AY28" s="527"/>
      <c r="AZ28" s="527"/>
      <c r="BA28" s="527"/>
      <c r="BB28" s="527"/>
      <c r="BC28" s="527"/>
    </row>
    <row r="29" spans="1:55" s="564" customFormat="1" ht="25" customHeight="1">
      <c r="A29" s="1149"/>
      <c r="B29" s="1149"/>
      <c r="C29" s="886" t="str">
        <f>IF(Alapanyagok_DID!B32="","",Alapanyagok_DID!B32)</f>
        <v/>
      </c>
      <c r="D29" s="887" t="str">
        <f>IF(Alapanyagok!B32="","",Alapanyagok!H32)</f>
        <v/>
      </c>
      <c r="E29" s="888" t="str">
        <f>IF(Alapanyagok!B32="","",Alapanyagok!N32)</f>
        <v/>
      </c>
      <c r="F29" s="888" t="str">
        <f>IF(Alapanyagok!G32="","",Alapanyagok!G32)</f>
        <v/>
      </c>
      <c r="G29" s="886" t="str">
        <f>IF(Alapanyagok_DID!B32="","",Alapanyagok_DID!E32)</f>
        <v/>
      </c>
      <c r="H29" s="886" t="str">
        <f>IF(Alapanyagok_DID!B32="","",Alapanyagok_DID!G32)</f>
        <v/>
      </c>
      <c r="I29" s="527"/>
      <c r="J29" s="573"/>
      <c r="K29" s="527"/>
      <c r="L29" s="527"/>
      <c r="M29" s="527"/>
      <c r="N29" s="527"/>
      <c r="O29" s="527">
        <f t="shared" si="0"/>
        <v>0</v>
      </c>
      <c r="P29" s="564">
        <f t="shared" si="1"/>
        <v>0</v>
      </c>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7"/>
      <c r="AY29" s="527"/>
      <c r="AZ29" s="527"/>
      <c r="BA29" s="527"/>
      <c r="BB29" s="527"/>
      <c r="BC29" s="527"/>
    </row>
    <row r="30" spans="1:55" s="564" customFormat="1" ht="25" customHeight="1">
      <c r="A30" s="1149"/>
      <c r="B30" s="1149"/>
      <c r="C30" s="886" t="str">
        <f>IF(Alapanyagok_DID!B33="","",Alapanyagok_DID!B33)</f>
        <v/>
      </c>
      <c r="D30" s="887" t="str">
        <f>IF(Alapanyagok!B33="","",Alapanyagok!H33)</f>
        <v/>
      </c>
      <c r="E30" s="888" t="str">
        <f>IF(Alapanyagok!B33="","",Alapanyagok!N33)</f>
        <v/>
      </c>
      <c r="F30" s="888" t="str">
        <f>IF(Alapanyagok!G33="","",Alapanyagok!G33)</f>
        <v/>
      </c>
      <c r="G30" s="886" t="str">
        <f>IF(Alapanyagok_DID!B33="","",Alapanyagok_DID!E33)</f>
        <v/>
      </c>
      <c r="H30" s="886" t="str">
        <f>IF(Alapanyagok_DID!B33="","",Alapanyagok_DID!G33)</f>
        <v/>
      </c>
      <c r="I30" s="527"/>
      <c r="J30" s="573"/>
      <c r="K30" s="527"/>
      <c r="L30" s="527"/>
      <c r="M30" s="527"/>
      <c r="N30" s="527"/>
      <c r="O30" s="527">
        <f t="shared" si="0"/>
        <v>0</v>
      </c>
      <c r="P30" s="564">
        <f t="shared" si="1"/>
        <v>0</v>
      </c>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27"/>
      <c r="AU30" s="527"/>
      <c r="AV30" s="527"/>
      <c r="AW30" s="527"/>
      <c r="AX30" s="527"/>
      <c r="AY30" s="527"/>
      <c r="AZ30" s="527"/>
      <c r="BA30" s="527"/>
      <c r="BB30" s="527"/>
      <c r="BC30" s="527"/>
    </row>
    <row r="31" spans="1:55" s="564" customFormat="1" ht="25" customHeight="1">
      <c r="A31" s="1149"/>
      <c r="B31" s="1149"/>
      <c r="C31" s="886" t="str">
        <f>IF(Alapanyagok_DID!B34="","",Alapanyagok_DID!B34)</f>
        <v/>
      </c>
      <c r="D31" s="887" t="str">
        <f>IF(Alapanyagok!B34="","",Alapanyagok!H34)</f>
        <v/>
      </c>
      <c r="E31" s="888" t="str">
        <f>IF(Alapanyagok!B34="","",Alapanyagok!N34)</f>
        <v/>
      </c>
      <c r="F31" s="888" t="str">
        <f>IF(Alapanyagok!G34="","",Alapanyagok!G34)</f>
        <v/>
      </c>
      <c r="G31" s="886" t="str">
        <f>IF(Alapanyagok_DID!B34="","",Alapanyagok_DID!E34)</f>
        <v/>
      </c>
      <c r="H31" s="886" t="str">
        <f>IF(Alapanyagok_DID!B34="","",Alapanyagok_DID!G34)</f>
        <v/>
      </c>
      <c r="I31" s="527"/>
      <c r="J31" s="573"/>
      <c r="K31" s="527"/>
      <c r="L31" s="527"/>
      <c r="M31" s="527"/>
      <c r="N31" s="527"/>
      <c r="O31" s="527">
        <f t="shared" si="0"/>
        <v>0</v>
      </c>
      <c r="P31" s="564">
        <f t="shared" si="1"/>
        <v>0</v>
      </c>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7"/>
      <c r="AY31" s="527"/>
      <c r="AZ31" s="527"/>
      <c r="BA31" s="527"/>
      <c r="BB31" s="527"/>
      <c r="BC31" s="527"/>
    </row>
    <row r="32" spans="1:55" s="564" customFormat="1" ht="25" customHeight="1">
      <c r="A32" s="1149"/>
      <c r="B32" s="1149"/>
      <c r="C32" s="886" t="str">
        <f>IF(Alapanyagok_DID!B35="","",Alapanyagok_DID!B35)</f>
        <v/>
      </c>
      <c r="D32" s="887" t="str">
        <f>IF(Alapanyagok!B35="","",Alapanyagok!H35)</f>
        <v/>
      </c>
      <c r="E32" s="888" t="str">
        <f>IF(Alapanyagok!B35="","",Alapanyagok!N35)</f>
        <v/>
      </c>
      <c r="F32" s="888" t="str">
        <f>IF(Alapanyagok!G35="","",Alapanyagok!G35)</f>
        <v/>
      </c>
      <c r="G32" s="886" t="str">
        <f>IF(Alapanyagok_DID!B35="","",Alapanyagok_DID!E35)</f>
        <v/>
      </c>
      <c r="H32" s="886" t="str">
        <f>IF(Alapanyagok_DID!B35="","",Alapanyagok_DID!G35)</f>
        <v/>
      </c>
      <c r="I32" s="527"/>
      <c r="J32" s="573"/>
      <c r="K32" s="527"/>
      <c r="L32" s="527"/>
      <c r="M32" s="527"/>
      <c r="N32" s="527"/>
      <c r="O32" s="527">
        <f t="shared" si="0"/>
        <v>0</v>
      </c>
      <c r="P32" s="564">
        <f t="shared" si="1"/>
        <v>0</v>
      </c>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527"/>
      <c r="AP32" s="527"/>
      <c r="AQ32" s="527"/>
      <c r="AR32" s="527"/>
      <c r="AS32" s="527"/>
      <c r="AT32" s="527"/>
      <c r="AU32" s="527"/>
      <c r="AV32" s="527"/>
      <c r="AW32" s="527"/>
      <c r="AX32" s="527"/>
      <c r="AY32" s="527"/>
      <c r="AZ32" s="527"/>
      <c r="BA32" s="527"/>
      <c r="BB32" s="527"/>
      <c r="BC32" s="527"/>
    </row>
    <row r="33" spans="1:55" s="564" customFormat="1" ht="25" customHeight="1">
      <c r="A33" s="1149"/>
      <c r="B33" s="1149"/>
      <c r="C33" s="886" t="str">
        <f>IF(Alapanyagok_DID!B36="","",Alapanyagok_DID!B36)</f>
        <v/>
      </c>
      <c r="D33" s="887" t="str">
        <f>IF(Alapanyagok!B36="","",Alapanyagok!H36)</f>
        <v/>
      </c>
      <c r="E33" s="888" t="str">
        <f>IF(Alapanyagok!B36="","",Alapanyagok!N36)</f>
        <v/>
      </c>
      <c r="F33" s="888" t="str">
        <f>IF(Alapanyagok!G36="","",Alapanyagok!G36)</f>
        <v/>
      </c>
      <c r="G33" s="886" t="str">
        <f>IF(Alapanyagok_DID!B36="","",Alapanyagok_DID!E36)</f>
        <v/>
      </c>
      <c r="H33" s="886" t="str">
        <f>IF(Alapanyagok_DID!B36="","",Alapanyagok_DID!G36)</f>
        <v/>
      </c>
      <c r="I33" s="527"/>
      <c r="J33" s="573"/>
      <c r="K33" s="527"/>
      <c r="L33" s="527"/>
      <c r="M33" s="527"/>
      <c r="N33" s="527"/>
      <c r="O33" s="527">
        <f t="shared" si="0"/>
        <v>0</v>
      </c>
      <c r="P33" s="564">
        <f t="shared" si="1"/>
        <v>0</v>
      </c>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27"/>
      <c r="AO33" s="527"/>
      <c r="AP33" s="527"/>
      <c r="AQ33" s="527"/>
      <c r="AR33" s="527"/>
      <c r="AS33" s="527"/>
      <c r="AT33" s="527"/>
      <c r="AU33" s="527"/>
      <c r="AV33" s="527"/>
      <c r="AW33" s="527"/>
      <c r="AX33" s="527"/>
      <c r="AY33" s="527"/>
      <c r="AZ33" s="527"/>
      <c r="BA33" s="527"/>
      <c r="BB33" s="527"/>
      <c r="BC33" s="527"/>
    </row>
    <row r="34" spans="1:55" s="564" customFormat="1" ht="25" customHeight="1">
      <c r="A34" s="1149"/>
      <c r="B34" s="1149"/>
      <c r="C34" s="886" t="str">
        <f>IF(Alapanyagok_DID!B37="","",Alapanyagok_DID!B37)</f>
        <v/>
      </c>
      <c r="D34" s="887" t="str">
        <f>IF(Alapanyagok!B37="","",Alapanyagok!H37)</f>
        <v/>
      </c>
      <c r="E34" s="888" t="str">
        <f>IF(Alapanyagok!B37="","",Alapanyagok!N37)</f>
        <v/>
      </c>
      <c r="F34" s="888" t="str">
        <f>IF(Alapanyagok!G37="","",Alapanyagok!G37)</f>
        <v/>
      </c>
      <c r="G34" s="886" t="str">
        <f>IF(Alapanyagok_DID!B37="","",Alapanyagok_DID!E37)</f>
        <v/>
      </c>
      <c r="H34" s="886" t="str">
        <f>IF(Alapanyagok_DID!B37="","",Alapanyagok_DID!G37)</f>
        <v/>
      </c>
      <c r="I34" s="527"/>
      <c r="J34" s="573"/>
      <c r="K34" s="527"/>
      <c r="L34" s="527"/>
      <c r="M34" s="527"/>
      <c r="N34" s="527"/>
      <c r="O34" s="527">
        <f t="shared" si="0"/>
        <v>0</v>
      </c>
      <c r="P34" s="564">
        <f t="shared" si="1"/>
        <v>0</v>
      </c>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7"/>
      <c r="BC34" s="527"/>
    </row>
    <row r="35" spans="1:55" s="564" customFormat="1" ht="25" customHeight="1">
      <c r="A35" s="1149"/>
      <c r="B35" s="1149"/>
      <c r="C35" s="886" t="str">
        <f>IF(Alapanyagok_DID!B38="","",Alapanyagok_DID!B38)</f>
        <v/>
      </c>
      <c r="D35" s="887" t="str">
        <f>IF(Alapanyagok!B38="","",Alapanyagok!H38)</f>
        <v/>
      </c>
      <c r="E35" s="888" t="str">
        <f>IF(Alapanyagok!B38="","",Alapanyagok!N38)</f>
        <v/>
      </c>
      <c r="F35" s="888" t="str">
        <f>IF(Alapanyagok!G38="","",Alapanyagok!G38)</f>
        <v/>
      </c>
      <c r="G35" s="886" t="str">
        <f>IF(Alapanyagok_DID!B38="","",Alapanyagok_DID!E38)</f>
        <v/>
      </c>
      <c r="H35" s="886" t="str">
        <f>IF(Alapanyagok_DID!B38="","",Alapanyagok_DID!G38)</f>
        <v/>
      </c>
      <c r="I35" s="527"/>
      <c r="J35" s="573"/>
      <c r="K35" s="527"/>
      <c r="L35" s="527"/>
      <c r="M35" s="527"/>
      <c r="N35" s="527"/>
      <c r="O35" s="527">
        <f t="shared" si="0"/>
        <v>0</v>
      </c>
      <c r="P35" s="564">
        <f t="shared" si="1"/>
        <v>0</v>
      </c>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527"/>
      <c r="AN35" s="527"/>
      <c r="AO35" s="527"/>
      <c r="AP35" s="527"/>
      <c r="AQ35" s="527"/>
      <c r="AR35" s="527"/>
      <c r="AS35" s="527"/>
      <c r="AT35" s="527"/>
      <c r="AU35" s="527"/>
      <c r="AV35" s="527"/>
      <c r="AW35" s="527"/>
      <c r="AX35" s="527"/>
      <c r="AY35" s="527"/>
      <c r="AZ35" s="527"/>
      <c r="BA35" s="527"/>
      <c r="BB35" s="527"/>
      <c r="BC35" s="527"/>
    </row>
    <row r="36" spans="1:55" s="564" customFormat="1" ht="25" customHeight="1">
      <c r="A36" s="1149"/>
      <c r="B36" s="1149"/>
      <c r="C36" s="886" t="str">
        <f>IF(Alapanyagok_DID!B39="","",Alapanyagok_DID!B39)</f>
        <v/>
      </c>
      <c r="D36" s="887" t="str">
        <f>IF(Alapanyagok!B39="","",Alapanyagok!H39)</f>
        <v/>
      </c>
      <c r="E36" s="888" t="str">
        <f>IF(Alapanyagok!B39="","",Alapanyagok!N39)</f>
        <v/>
      </c>
      <c r="F36" s="888" t="str">
        <f>IF(Alapanyagok!G39="","",Alapanyagok!G39)</f>
        <v/>
      </c>
      <c r="G36" s="886" t="str">
        <f>IF(Alapanyagok_DID!B39="","",Alapanyagok_DID!E39)</f>
        <v/>
      </c>
      <c r="H36" s="886" t="str">
        <f>IF(Alapanyagok_DID!B39="","",Alapanyagok_DID!G39)</f>
        <v/>
      </c>
      <c r="I36" s="527"/>
      <c r="J36" s="573"/>
      <c r="K36" s="527"/>
      <c r="L36" s="527"/>
      <c r="M36" s="527"/>
      <c r="N36" s="527"/>
      <c r="O36" s="527">
        <f t="shared" si="0"/>
        <v>0</v>
      </c>
      <c r="P36" s="564">
        <f t="shared" si="1"/>
        <v>0</v>
      </c>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7"/>
    </row>
    <row r="37" spans="1:55" s="564" customFormat="1" ht="25" customHeight="1">
      <c r="A37" s="1149"/>
      <c r="B37" s="1149"/>
      <c r="C37" s="886" t="str">
        <f>IF(Alapanyagok_DID!B40="","",Alapanyagok_DID!B40)</f>
        <v/>
      </c>
      <c r="D37" s="887" t="str">
        <f>IF(Alapanyagok!B40="","",Alapanyagok!H40)</f>
        <v/>
      </c>
      <c r="E37" s="888" t="str">
        <f>IF(Alapanyagok!B40="","",Alapanyagok!N40)</f>
        <v/>
      </c>
      <c r="F37" s="888" t="str">
        <f>IF(Alapanyagok!G40="","",Alapanyagok!G40)</f>
        <v/>
      </c>
      <c r="G37" s="886" t="str">
        <f>IF(Alapanyagok_DID!B40="","",Alapanyagok_DID!E40)</f>
        <v/>
      </c>
      <c r="H37" s="886" t="str">
        <f>IF(Alapanyagok_DID!B40="","",Alapanyagok_DID!G40)</f>
        <v/>
      </c>
      <c r="I37" s="527"/>
      <c r="J37" s="573"/>
      <c r="K37" s="527"/>
      <c r="L37" s="527"/>
      <c r="M37" s="527"/>
      <c r="N37" s="527"/>
      <c r="O37" s="527">
        <f t="shared" si="0"/>
        <v>0</v>
      </c>
      <c r="P37" s="564">
        <f t="shared" si="1"/>
        <v>0</v>
      </c>
      <c r="Q37" s="527"/>
      <c r="R37" s="527"/>
      <c r="S37" s="527"/>
      <c r="T37" s="527"/>
      <c r="U37" s="527"/>
      <c r="V37" s="527"/>
      <c r="W37" s="527"/>
      <c r="X37" s="527"/>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row>
    <row r="38" spans="1:55" s="564" customFormat="1" ht="25" customHeight="1">
      <c r="A38" s="1149"/>
      <c r="B38" s="1149"/>
      <c r="C38" s="886" t="str">
        <f>IF(Alapanyagok_DID!B41="","",Alapanyagok_DID!B41)</f>
        <v/>
      </c>
      <c r="D38" s="887" t="str">
        <f>IF(Alapanyagok!B41="","",Alapanyagok!H41)</f>
        <v/>
      </c>
      <c r="E38" s="888" t="str">
        <f>IF(Alapanyagok!B41="","",Alapanyagok!N41)</f>
        <v/>
      </c>
      <c r="F38" s="888" t="str">
        <f>IF(Alapanyagok!G41="","",Alapanyagok!G41)</f>
        <v/>
      </c>
      <c r="G38" s="886" t="str">
        <f>IF(Alapanyagok_DID!B41="","",Alapanyagok_DID!E41)</f>
        <v/>
      </c>
      <c r="H38" s="886" t="str">
        <f>IF(Alapanyagok_DID!B41="","",Alapanyagok_DID!G41)</f>
        <v/>
      </c>
      <c r="I38" s="527"/>
      <c r="J38" s="573"/>
      <c r="K38" s="527"/>
      <c r="L38" s="527"/>
      <c r="M38" s="527"/>
      <c r="N38" s="527"/>
      <c r="O38" s="527">
        <f t="shared" si="0"/>
        <v>0</v>
      </c>
      <c r="P38" s="564">
        <f t="shared" si="1"/>
        <v>0</v>
      </c>
      <c r="Q38" s="527"/>
      <c r="R38" s="527"/>
      <c r="S38" s="527"/>
      <c r="T38" s="527"/>
      <c r="U38" s="527"/>
      <c r="V38" s="527"/>
      <c r="W38" s="527"/>
      <c r="X38" s="527"/>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27"/>
      <c r="AU38" s="527"/>
      <c r="AV38" s="527"/>
      <c r="AW38" s="527"/>
      <c r="AX38" s="527"/>
      <c r="AY38" s="527"/>
      <c r="AZ38" s="527"/>
      <c r="BA38" s="527"/>
      <c r="BB38" s="527"/>
      <c r="BC38" s="527"/>
    </row>
    <row r="39" spans="1:55" s="564" customFormat="1" ht="25" customHeight="1">
      <c r="A39" s="1149"/>
      <c r="B39" s="1149"/>
      <c r="C39" s="886" t="str">
        <f>IF(Alapanyagok_DID!B42="","",Alapanyagok_DID!B42)</f>
        <v/>
      </c>
      <c r="D39" s="887" t="str">
        <f>IF(Alapanyagok!B42="","",Alapanyagok!H42)</f>
        <v/>
      </c>
      <c r="E39" s="888" t="str">
        <f>IF(Alapanyagok!B42="","",Alapanyagok!N42)</f>
        <v/>
      </c>
      <c r="F39" s="888" t="str">
        <f>IF(Alapanyagok!G42="","",Alapanyagok!G42)</f>
        <v/>
      </c>
      <c r="G39" s="886" t="str">
        <f>IF(Alapanyagok_DID!B42="","",Alapanyagok_DID!E42)</f>
        <v/>
      </c>
      <c r="H39" s="886" t="str">
        <f>IF(Alapanyagok_DID!B42="","",Alapanyagok_DID!G42)</f>
        <v/>
      </c>
      <c r="I39" s="527"/>
      <c r="J39" s="573"/>
      <c r="K39" s="527"/>
      <c r="L39" s="527"/>
      <c r="M39" s="527"/>
      <c r="N39" s="527"/>
      <c r="O39" s="527">
        <f t="shared" si="0"/>
        <v>0</v>
      </c>
      <c r="P39" s="564">
        <f t="shared" si="1"/>
        <v>0</v>
      </c>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527"/>
      <c r="AV39" s="527"/>
      <c r="AW39" s="527"/>
      <c r="AX39" s="527"/>
      <c r="AY39" s="527"/>
      <c r="AZ39" s="527"/>
      <c r="BA39" s="527"/>
      <c r="BB39" s="527"/>
      <c r="BC39" s="527"/>
    </row>
    <row r="40" spans="1:55" s="564" customFormat="1" ht="25" customHeight="1">
      <c r="A40" s="1149"/>
      <c r="B40" s="1149"/>
      <c r="C40" s="886" t="str">
        <f>IF(Alapanyagok_DID!B43="","",Alapanyagok_DID!B43)</f>
        <v/>
      </c>
      <c r="D40" s="887" t="str">
        <f>IF(Alapanyagok!B43="","",Alapanyagok!H43)</f>
        <v/>
      </c>
      <c r="E40" s="888" t="str">
        <f>IF(Alapanyagok!B43="","",Alapanyagok!N43)</f>
        <v/>
      </c>
      <c r="F40" s="888" t="str">
        <f>IF(Alapanyagok!G43="","",Alapanyagok!G43)</f>
        <v/>
      </c>
      <c r="G40" s="886" t="str">
        <f>IF(Alapanyagok_DID!B43="","",Alapanyagok_DID!E43)</f>
        <v/>
      </c>
      <c r="H40" s="886" t="str">
        <f>IF(Alapanyagok_DID!B43="","",Alapanyagok_DID!G43)</f>
        <v/>
      </c>
      <c r="I40" s="527"/>
      <c r="J40" s="573"/>
      <c r="K40" s="527"/>
      <c r="L40" s="527"/>
      <c r="M40" s="527"/>
      <c r="N40" s="527"/>
      <c r="O40" s="527">
        <f t="shared" si="0"/>
        <v>0</v>
      </c>
      <c r="P40" s="564">
        <f t="shared" si="1"/>
        <v>0</v>
      </c>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7"/>
      <c r="AQ40" s="527"/>
      <c r="AR40" s="527"/>
      <c r="AS40" s="527"/>
      <c r="AT40" s="527"/>
      <c r="AU40" s="527"/>
      <c r="AV40" s="527"/>
      <c r="AW40" s="527"/>
      <c r="AX40" s="527"/>
      <c r="AY40" s="527"/>
      <c r="AZ40" s="527"/>
      <c r="BA40" s="527"/>
      <c r="BB40" s="527"/>
      <c r="BC40" s="527"/>
    </row>
    <row r="41" spans="1:55" s="564" customFormat="1" ht="25" customHeight="1">
      <c r="A41" s="1149"/>
      <c r="B41" s="1149"/>
      <c r="C41" s="886" t="str">
        <f>IF(Alapanyagok_DID!B44="","",Alapanyagok_DID!B44)</f>
        <v/>
      </c>
      <c r="D41" s="887" t="str">
        <f>IF(Alapanyagok!B44="","",Alapanyagok!H44)</f>
        <v/>
      </c>
      <c r="E41" s="888" t="str">
        <f>IF(Alapanyagok!B44="","",Alapanyagok!N44)</f>
        <v/>
      </c>
      <c r="F41" s="888" t="str">
        <f>IF(Alapanyagok!G44="","",Alapanyagok!G44)</f>
        <v/>
      </c>
      <c r="G41" s="886" t="str">
        <f>IF(Alapanyagok_DID!B44="","",Alapanyagok_DID!E44)</f>
        <v/>
      </c>
      <c r="H41" s="886" t="str">
        <f>IF(Alapanyagok_DID!B44="","",Alapanyagok_DID!G44)</f>
        <v/>
      </c>
      <c r="I41" s="527"/>
      <c r="J41" s="573"/>
      <c r="K41" s="527"/>
      <c r="L41" s="527"/>
      <c r="M41" s="527"/>
      <c r="N41" s="527"/>
      <c r="O41" s="527">
        <f t="shared" si="0"/>
        <v>0</v>
      </c>
      <c r="P41" s="564">
        <f t="shared" si="1"/>
        <v>0</v>
      </c>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c r="AW41" s="527"/>
      <c r="AX41" s="527"/>
      <c r="AY41" s="527"/>
      <c r="AZ41" s="527"/>
      <c r="BA41" s="527"/>
      <c r="BB41" s="527"/>
      <c r="BC41" s="527"/>
    </row>
    <row r="42" spans="1:55" s="564" customFormat="1" ht="25" customHeight="1">
      <c r="A42" s="1149"/>
      <c r="B42" s="1149"/>
      <c r="C42" s="886" t="str">
        <f>IF(Alapanyagok_DID!B45="","",Alapanyagok_DID!B45)</f>
        <v/>
      </c>
      <c r="D42" s="887" t="str">
        <f>IF(Alapanyagok!B45="","",Alapanyagok!H45)</f>
        <v/>
      </c>
      <c r="E42" s="888" t="str">
        <f>IF(Alapanyagok!B45="","",Alapanyagok!N45)</f>
        <v/>
      </c>
      <c r="F42" s="888" t="str">
        <f>IF(Alapanyagok!G45="","",Alapanyagok!G45)</f>
        <v/>
      </c>
      <c r="G42" s="886" t="str">
        <f>IF(Alapanyagok_DID!B45="","",Alapanyagok_DID!E45)</f>
        <v/>
      </c>
      <c r="H42" s="886" t="str">
        <f>IF(Alapanyagok_DID!B45="","",Alapanyagok_DID!G45)</f>
        <v/>
      </c>
      <c r="I42" s="527"/>
      <c r="J42" s="573"/>
      <c r="K42" s="527"/>
      <c r="L42" s="527"/>
      <c r="M42" s="527"/>
      <c r="N42" s="527"/>
      <c r="O42" s="527">
        <f t="shared" si="0"/>
        <v>0</v>
      </c>
      <c r="P42" s="564">
        <f t="shared" si="1"/>
        <v>0</v>
      </c>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7"/>
      <c r="AY42" s="527"/>
      <c r="AZ42" s="527"/>
      <c r="BA42" s="527"/>
      <c r="BB42" s="527"/>
      <c r="BC42" s="527"/>
    </row>
    <row r="43" spans="1:55" s="564" customFormat="1" ht="25" customHeight="1">
      <c r="A43" s="1149"/>
      <c r="B43" s="1149"/>
      <c r="C43" s="886" t="str">
        <f>IF(Alapanyagok_DID!B46="","",Alapanyagok_DID!B46)</f>
        <v/>
      </c>
      <c r="D43" s="887" t="str">
        <f>IF(Alapanyagok!B46="","",Alapanyagok!H46)</f>
        <v/>
      </c>
      <c r="E43" s="888" t="str">
        <f>IF(Alapanyagok!B46="","",Alapanyagok!N46)</f>
        <v/>
      </c>
      <c r="F43" s="888" t="str">
        <f>IF(Alapanyagok!G46="","",Alapanyagok!G46)</f>
        <v/>
      </c>
      <c r="G43" s="886" t="str">
        <f>IF(Alapanyagok_DID!B46="","",Alapanyagok_DID!E46)</f>
        <v/>
      </c>
      <c r="H43" s="886" t="str">
        <f>IF(Alapanyagok_DID!B46="","",Alapanyagok_DID!G46)</f>
        <v/>
      </c>
      <c r="I43" s="527"/>
      <c r="J43" s="573"/>
      <c r="K43" s="527"/>
      <c r="L43" s="527"/>
      <c r="M43" s="527"/>
      <c r="N43" s="527"/>
      <c r="O43" s="527">
        <f t="shared" si="0"/>
        <v>0</v>
      </c>
      <c r="P43" s="564">
        <f t="shared" si="1"/>
        <v>0</v>
      </c>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7"/>
      <c r="AN43" s="527"/>
      <c r="AO43" s="527"/>
      <c r="AP43" s="527"/>
      <c r="AQ43" s="527"/>
      <c r="AR43" s="527"/>
      <c r="AS43" s="527"/>
      <c r="AT43" s="527"/>
      <c r="AU43" s="527"/>
      <c r="AV43" s="527"/>
      <c r="AW43" s="527"/>
      <c r="AX43" s="527"/>
      <c r="AY43" s="527"/>
      <c r="AZ43" s="527"/>
      <c r="BA43" s="527"/>
      <c r="BB43" s="527"/>
      <c r="BC43" s="527"/>
    </row>
    <row r="44" spans="1:55" s="564" customFormat="1" ht="25" customHeight="1">
      <c r="A44" s="1149"/>
      <c r="B44" s="1149"/>
      <c r="C44" s="886" t="str">
        <f>IF(Alapanyagok_DID!B47="","",Alapanyagok_DID!B47)</f>
        <v/>
      </c>
      <c r="D44" s="887" t="str">
        <f>IF(Alapanyagok!B47="","",Alapanyagok!H47)</f>
        <v/>
      </c>
      <c r="E44" s="888" t="str">
        <f>IF(Alapanyagok!B47="","",Alapanyagok!N47)</f>
        <v/>
      </c>
      <c r="F44" s="888" t="str">
        <f>IF(Alapanyagok!G47="","",Alapanyagok!G47)</f>
        <v/>
      </c>
      <c r="G44" s="886" t="str">
        <f>IF(Alapanyagok_DID!B47="","",Alapanyagok_DID!E47)</f>
        <v/>
      </c>
      <c r="H44" s="886" t="str">
        <f>IF(Alapanyagok_DID!B47="","",Alapanyagok_DID!G47)</f>
        <v/>
      </c>
      <c r="I44" s="527"/>
      <c r="J44" s="573"/>
      <c r="K44" s="527"/>
      <c r="L44" s="527"/>
      <c r="M44" s="527"/>
      <c r="N44" s="527"/>
      <c r="O44" s="527">
        <f t="shared" si="0"/>
        <v>0</v>
      </c>
      <c r="P44" s="564">
        <f t="shared" si="1"/>
        <v>0</v>
      </c>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7"/>
      <c r="AP44" s="527"/>
      <c r="AQ44" s="527"/>
      <c r="AR44" s="527"/>
      <c r="AS44" s="527"/>
      <c r="AT44" s="527"/>
      <c r="AU44" s="527"/>
      <c r="AV44" s="527"/>
      <c r="AW44" s="527"/>
      <c r="AX44" s="527"/>
      <c r="AY44" s="527"/>
      <c r="AZ44" s="527"/>
      <c r="BA44" s="527"/>
      <c r="BB44" s="527"/>
      <c r="BC44" s="527"/>
    </row>
    <row r="45" spans="1:55" s="564" customFormat="1" ht="25" customHeight="1">
      <c r="A45" s="1149"/>
      <c r="B45" s="1149"/>
      <c r="C45" s="886" t="str">
        <f>IF(Alapanyagok_DID!B48="","",Alapanyagok_DID!B48)</f>
        <v/>
      </c>
      <c r="D45" s="887" t="str">
        <f>IF(Alapanyagok!B48="","",Alapanyagok!H48)</f>
        <v/>
      </c>
      <c r="E45" s="888" t="str">
        <f>IF(Alapanyagok!B48="","",Alapanyagok!N48)</f>
        <v/>
      </c>
      <c r="F45" s="888" t="str">
        <f>IF(Alapanyagok!G48="","",Alapanyagok!G48)</f>
        <v/>
      </c>
      <c r="G45" s="886" t="str">
        <f>IF(Alapanyagok_DID!B48="","",Alapanyagok_DID!E48)</f>
        <v/>
      </c>
      <c r="H45" s="886" t="str">
        <f>IF(Alapanyagok_DID!B48="","",Alapanyagok_DID!G48)</f>
        <v/>
      </c>
      <c r="I45" s="527"/>
      <c r="J45" s="573"/>
      <c r="K45" s="527"/>
      <c r="L45" s="527"/>
      <c r="M45" s="527"/>
      <c r="N45" s="527"/>
      <c r="O45" s="527">
        <f t="shared" si="0"/>
        <v>0</v>
      </c>
      <c r="P45" s="564">
        <f t="shared" si="1"/>
        <v>0</v>
      </c>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c r="AN45" s="527"/>
      <c r="AO45" s="527"/>
      <c r="AP45" s="527"/>
      <c r="AQ45" s="527"/>
      <c r="AR45" s="527"/>
      <c r="AS45" s="527"/>
      <c r="AT45" s="527"/>
      <c r="AU45" s="527"/>
      <c r="AV45" s="527"/>
      <c r="AW45" s="527"/>
      <c r="AX45" s="527"/>
      <c r="AY45" s="527"/>
      <c r="AZ45" s="527"/>
      <c r="BA45" s="527"/>
      <c r="BB45" s="527"/>
      <c r="BC45" s="527"/>
    </row>
    <row r="46" spans="1:55" s="564" customFormat="1" ht="25" customHeight="1">
      <c r="A46" s="1149"/>
      <c r="B46" s="1149"/>
      <c r="C46" s="886" t="str">
        <f>IF(Alapanyagok_DID!B49="","",Alapanyagok_DID!B49)</f>
        <v/>
      </c>
      <c r="D46" s="887" t="str">
        <f>IF(Alapanyagok!B49="","",Alapanyagok!H49)</f>
        <v/>
      </c>
      <c r="E46" s="888" t="str">
        <f>IF(Alapanyagok!B49="","",Alapanyagok!N49)</f>
        <v/>
      </c>
      <c r="F46" s="888" t="str">
        <f>IF(Alapanyagok!G49="","",Alapanyagok!G49)</f>
        <v/>
      </c>
      <c r="G46" s="886" t="str">
        <f>IF(Alapanyagok_DID!B49="","",Alapanyagok_DID!E49)</f>
        <v/>
      </c>
      <c r="H46" s="886" t="str">
        <f>IF(Alapanyagok_DID!B49="","",Alapanyagok_DID!G49)</f>
        <v/>
      </c>
      <c r="I46" s="527"/>
      <c r="J46" s="573"/>
      <c r="K46" s="527"/>
      <c r="L46" s="527"/>
      <c r="M46" s="527"/>
      <c r="N46" s="527"/>
      <c r="O46" s="527">
        <f t="shared" si="0"/>
        <v>0</v>
      </c>
      <c r="P46" s="564">
        <f t="shared" si="1"/>
        <v>0</v>
      </c>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27"/>
      <c r="AY46" s="527"/>
      <c r="AZ46" s="527"/>
      <c r="BA46" s="527"/>
      <c r="BB46" s="527"/>
      <c r="BC46" s="527"/>
    </row>
    <row r="47" spans="1:55" s="564" customFormat="1" ht="25" customHeight="1">
      <c r="A47" s="1149"/>
      <c r="B47" s="1149"/>
      <c r="C47" s="886" t="str">
        <f>IF(Alapanyagok_DID!B50="","",Alapanyagok_DID!B50)</f>
        <v/>
      </c>
      <c r="D47" s="887" t="str">
        <f>IF(Alapanyagok!B50="","",Alapanyagok!H50)</f>
        <v/>
      </c>
      <c r="E47" s="888" t="str">
        <f>IF(Alapanyagok!B50="","",Alapanyagok!N50)</f>
        <v/>
      </c>
      <c r="F47" s="888" t="str">
        <f>IF(Alapanyagok!G50="","",Alapanyagok!G50)</f>
        <v/>
      </c>
      <c r="G47" s="886" t="str">
        <f>IF(Alapanyagok_DID!B50="","",Alapanyagok_DID!E50)</f>
        <v/>
      </c>
      <c r="H47" s="886" t="str">
        <f>IF(Alapanyagok_DID!B50="","",Alapanyagok_DID!G50)</f>
        <v/>
      </c>
      <c r="I47" s="527"/>
      <c r="J47" s="573"/>
      <c r="K47" s="527"/>
      <c r="L47" s="527"/>
      <c r="M47" s="527"/>
      <c r="N47" s="527"/>
      <c r="O47" s="527">
        <f t="shared" si="0"/>
        <v>0</v>
      </c>
      <c r="P47" s="564">
        <f t="shared" si="1"/>
        <v>0</v>
      </c>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27"/>
      <c r="AY47" s="527"/>
      <c r="AZ47" s="527"/>
      <c r="BA47" s="527"/>
      <c r="BB47" s="527"/>
      <c r="BC47" s="527"/>
    </row>
    <row r="48" spans="1:55" s="564" customFormat="1" ht="25" customHeight="1">
      <c r="A48" s="1149"/>
      <c r="B48" s="1149"/>
      <c r="C48" s="886" t="str">
        <f>IF(Alapanyagok_DID!B51="","",Alapanyagok_DID!B51)</f>
        <v/>
      </c>
      <c r="D48" s="887" t="str">
        <f>IF(Alapanyagok!B51="","",Alapanyagok!H51)</f>
        <v/>
      </c>
      <c r="E48" s="888" t="str">
        <f>IF(Alapanyagok!B51="","",Alapanyagok!N51)</f>
        <v/>
      </c>
      <c r="F48" s="888" t="str">
        <f>IF(Alapanyagok!G51="","",Alapanyagok!G51)</f>
        <v/>
      </c>
      <c r="G48" s="886" t="str">
        <f>IF(Alapanyagok_DID!B51="","",Alapanyagok_DID!E51)</f>
        <v/>
      </c>
      <c r="H48" s="886" t="str">
        <f>IF(Alapanyagok_DID!B51="","",Alapanyagok_DID!G51)</f>
        <v/>
      </c>
      <c r="I48" s="527"/>
      <c r="J48" s="573"/>
      <c r="K48" s="527"/>
      <c r="L48" s="527"/>
      <c r="M48" s="527"/>
      <c r="N48" s="527"/>
      <c r="O48" s="527">
        <f t="shared" si="0"/>
        <v>0</v>
      </c>
      <c r="P48" s="564">
        <f t="shared" si="1"/>
        <v>0</v>
      </c>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7"/>
      <c r="AW48" s="527"/>
      <c r="AX48" s="527"/>
      <c r="AY48" s="527"/>
      <c r="AZ48" s="527"/>
      <c r="BA48" s="527"/>
      <c r="BB48" s="527"/>
      <c r="BC48" s="527"/>
    </row>
    <row r="49" spans="1:55" s="564" customFormat="1" ht="25" customHeight="1">
      <c r="A49" s="1149"/>
      <c r="B49" s="1149"/>
      <c r="C49" s="886" t="str">
        <f>IF(Alapanyagok_DID!B52="","",Alapanyagok_DID!B52)</f>
        <v/>
      </c>
      <c r="D49" s="887" t="str">
        <f>IF(Alapanyagok!B52="","",Alapanyagok!H52)</f>
        <v/>
      </c>
      <c r="E49" s="888" t="str">
        <f>IF(Alapanyagok!B52="","",Alapanyagok!N52)</f>
        <v/>
      </c>
      <c r="F49" s="888" t="str">
        <f>IF(Alapanyagok!G52="","",Alapanyagok!G52)</f>
        <v/>
      </c>
      <c r="G49" s="886" t="str">
        <f>IF(Alapanyagok_DID!B52="","",Alapanyagok_DID!E52)</f>
        <v/>
      </c>
      <c r="H49" s="886" t="str">
        <f>IF(Alapanyagok_DID!B52="","",Alapanyagok_DID!G52)</f>
        <v/>
      </c>
      <c r="I49" s="527"/>
      <c r="J49" s="573"/>
      <c r="K49" s="527"/>
      <c r="L49" s="527"/>
      <c r="M49" s="527"/>
      <c r="N49" s="527"/>
      <c r="O49" s="527">
        <f t="shared" si="0"/>
        <v>0</v>
      </c>
      <c r="P49" s="564">
        <f t="shared" si="1"/>
        <v>0</v>
      </c>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row>
    <row r="50" spans="1:55" s="564" customFormat="1" ht="25" customHeight="1">
      <c r="A50" s="1149"/>
      <c r="B50" s="1149"/>
      <c r="C50" s="886" t="str">
        <f>IF(Alapanyagok_DID!B53="","",Alapanyagok_DID!B53)</f>
        <v/>
      </c>
      <c r="D50" s="887" t="str">
        <f>IF(Alapanyagok!B53="","",Alapanyagok!H53)</f>
        <v/>
      </c>
      <c r="E50" s="888" t="str">
        <f>IF(Alapanyagok!B53="","",Alapanyagok!N53)</f>
        <v/>
      </c>
      <c r="F50" s="888" t="str">
        <f>IF(Alapanyagok!G53="","",Alapanyagok!G53)</f>
        <v/>
      </c>
      <c r="G50" s="886" t="str">
        <f>IF(Alapanyagok_DID!B53="","",Alapanyagok_DID!E53)</f>
        <v/>
      </c>
      <c r="H50" s="886" t="str">
        <f>IF(Alapanyagok_DID!B53="","",Alapanyagok_DID!G53)</f>
        <v/>
      </c>
      <c r="I50" s="527"/>
      <c r="J50" s="573"/>
      <c r="K50" s="527"/>
      <c r="L50" s="527"/>
      <c r="M50" s="527"/>
      <c r="N50" s="527"/>
      <c r="O50" s="527">
        <f t="shared" si="0"/>
        <v>0</v>
      </c>
      <c r="P50" s="564">
        <f t="shared" si="1"/>
        <v>0</v>
      </c>
      <c r="Q50" s="527"/>
      <c r="R50" s="527"/>
      <c r="S50" s="527"/>
      <c r="T50" s="527"/>
      <c r="U50" s="527"/>
      <c r="V50" s="527"/>
      <c r="W50" s="527"/>
      <c r="X50" s="527"/>
      <c r="Y50" s="527"/>
      <c r="Z50" s="527"/>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row>
    <row r="51" spans="1:55" s="564" customFormat="1" ht="25" customHeight="1">
      <c r="A51" s="1149"/>
      <c r="B51" s="1149"/>
      <c r="C51" s="886" t="str">
        <f>IF(Alapanyagok_DID!B54="","",Alapanyagok_DID!B54)</f>
        <v/>
      </c>
      <c r="D51" s="887" t="str">
        <f>IF(Alapanyagok!B54="","",Alapanyagok!H54)</f>
        <v/>
      </c>
      <c r="E51" s="888" t="str">
        <f>IF(Alapanyagok!B54="","",Alapanyagok!N54)</f>
        <v/>
      </c>
      <c r="F51" s="888" t="str">
        <f>IF(Alapanyagok!G54="","",Alapanyagok!G54)</f>
        <v/>
      </c>
      <c r="G51" s="886" t="str">
        <f>IF(Alapanyagok_DID!B54="","",Alapanyagok_DID!E54)</f>
        <v/>
      </c>
      <c r="H51" s="886" t="str">
        <f>IF(Alapanyagok_DID!B54="","",Alapanyagok_DID!G54)</f>
        <v/>
      </c>
      <c r="I51" s="527"/>
      <c r="J51" s="573"/>
      <c r="K51" s="527"/>
      <c r="L51" s="527"/>
      <c r="M51" s="527"/>
      <c r="N51" s="527"/>
      <c r="O51" s="527">
        <f t="shared" si="0"/>
        <v>0</v>
      </c>
      <c r="P51" s="564">
        <f t="shared" si="1"/>
        <v>0</v>
      </c>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row>
    <row r="52" spans="1:55" s="564" customFormat="1" ht="25" customHeight="1">
      <c r="A52" s="1149"/>
      <c r="B52" s="1149"/>
      <c r="C52" s="886" t="str">
        <f>IF(Alapanyagok_DID!B55="","",Alapanyagok_DID!B55)</f>
        <v/>
      </c>
      <c r="D52" s="887" t="str">
        <f>IF(Alapanyagok!B55="","",Alapanyagok!H55)</f>
        <v/>
      </c>
      <c r="E52" s="888" t="str">
        <f>IF(Alapanyagok!B55="","",Alapanyagok!N55)</f>
        <v/>
      </c>
      <c r="F52" s="888" t="str">
        <f>IF(Alapanyagok!G55="","",Alapanyagok!G55)</f>
        <v/>
      </c>
      <c r="G52" s="886" t="str">
        <f>IF(Alapanyagok_DID!B55="","",Alapanyagok_DID!E55)</f>
        <v/>
      </c>
      <c r="H52" s="886" t="str">
        <f>IF(Alapanyagok_DID!B55="","",Alapanyagok_DID!G55)</f>
        <v/>
      </c>
      <c r="I52" s="527"/>
      <c r="J52" s="573"/>
      <c r="K52" s="527"/>
      <c r="L52" s="527"/>
      <c r="M52" s="527"/>
      <c r="N52" s="527"/>
      <c r="O52" s="527">
        <f t="shared" si="0"/>
        <v>0</v>
      </c>
      <c r="P52" s="564">
        <f t="shared" si="1"/>
        <v>0</v>
      </c>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7"/>
      <c r="AR52" s="527"/>
      <c r="AS52" s="527"/>
      <c r="AT52" s="527"/>
      <c r="AU52" s="527"/>
      <c r="AV52" s="527"/>
      <c r="AW52" s="527"/>
      <c r="AX52" s="527"/>
      <c r="AY52" s="527"/>
      <c r="AZ52" s="527"/>
      <c r="BA52" s="527"/>
      <c r="BB52" s="527"/>
      <c r="BC52" s="527"/>
    </row>
    <row r="53" spans="1:55" s="564" customFormat="1" ht="25" customHeight="1">
      <c r="A53" s="1149"/>
      <c r="B53" s="1149"/>
      <c r="C53" s="886" t="str">
        <f>IF(Alapanyagok_DID!B56="","",Alapanyagok_DID!B56)</f>
        <v/>
      </c>
      <c r="D53" s="887" t="str">
        <f>IF(Alapanyagok!B56="","",Alapanyagok!H56)</f>
        <v/>
      </c>
      <c r="E53" s="888" t="str">
        <f>IF(Alapanyagok!B56="","",Alapanyagok!N56)</f>
        <v/>
      </c>
      <c r="F53" s="888" t="str">
        <f>IF(Alapanyagok!G56="","",Alapanyagok!G56)</f>
        <v/>
      </c>
      <c r="G53" s="886" t="str">
        <f>IF(Alapanyagok_DID!B56="","",Alapanyagok_DID!E56)</f>
        <v/>
      </c>
      <c r="H53" s="886" t="str">
        <f>IF(Alapanyagok_DID!B56="","",Alapanyagok_DID!G56)</f>
        <v/>
      </c>
      <c r="I53" s="527"/>
      <c r="J53" s="573"/>
      <c r="K53" s="527"/>
      <c r="L53" s="527"/>
      <c r="M53" s="527"/>
      <c r="N53" s="527"/>
      <c r="O53" s="527">
        <f t="shared" si="0"/>
        <v>0</v>
      </c>
      <c r="P53" s="564">
        <f t="shared" si="1"/>
        <v>0</v>
      </c>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c r="AO53" s="527"/>
      <c r="AP53" s="527"/>
      <c r="AQ53" s="527"/>
      <c r="AR53" s="527"/>
      <c r="AS53" s="527"/>
      <c r="AT53" s="527"/>
      <c r="AU53" s="527"/>
      <c r="AV53" s="527"/>
      <c r="AW53" s="527"/>
      <c r="AX53" s="527"/>
      <c r="AY53" s="527"/>
      <c r="AZ53" s="527"/>
      <c r="BA53" s="527"/>
      <c r="BB53" s="527"/>
      <c r="BC53" s="527"/>
    </row>
    <row r="54" spans="1:55" s="564" customFormat="1" ht="25" customHeight="1">
      <c r="A54" s="1149"/>
      <c r="B54" s="1149"/>
      <c r="C54" s="886" t="str">
        <f>IF(Alapanyagok_DID!B57="","",Alapanyagok_DID!B57)</f>
        <v/>
      </c>
      <c r="D54" s="887" t="str">
        <f>IF(Alapanyagok!B57="","",Alapanyagok!H57)</f>
        <v/>
      </c>
      <c r="E54" s="888" t="str">
        <f>IF(Alapanyagok!B57="","",Alapanyagok!N57)</f>
        <v/>
      </c>
      <c r="F54" s="888" t="str">
        <f>IF(Alapanyagok!G57="","",Alapanyagok!G57)</f>
        <v/>
      </c>
      <c r="G54" s="886" t="str">
        <f>IF(Alapanyagok_DID!B57="","",Alapanyagok_DID!E57)</f>
        <v/>
      </c>
      <c r="H54" s="886" t="str">
        <f>IF(Alapanyagok_DID!B57="","",Alapanyagok_DID!G57)</f>
        <v/>
      </c>
      <c r="I54" s="527"/>
      <c r="J54" s="573"/>
      <c r="K54" s="527"/>
      <c r="L54" s="527"/>
      <c r="M54" s="527"/>
      <c r="N54" s="527"/>
      <c r="O54" s="527">
        <f t="shared" si="0"/>
        <v>0</v>
      </c>
      <c r="P54" s="564">
        <f t="shared" si="1"/>
        <v>0</v>
      </c>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527"/>
      <c r="AR54" s="527"/>
      <c r="AS54" s="527"/>
      <c r="AT54" s="527"/>
      <c r="AU54" s="527"/>
      <c r="AV54" s="527"/>
      <c r="AW54" s="527"/>
      <c r="AX54" s="527"/>
      <c r="AY54" s="527"/>
      <c r="AZ54" s="527"/>
      <c r="BA54" s="527"/>
      <c r="BB54" s="527"/>
      <c r="BC54" s="527"/>
    </row>
    <row r="55" spans="1:55" s="564" customFormat="1" ht="25" customHeight="1">
      <c r="A55" s="1149"/>
      <c r="B55" s="1149"/>
      <c r="C55" s="886" t="str">
        <f>IF(Alapanyagok_DID!B58="","",Alapanyagok_DID!B58)</f>
        <v/>
      </c>
      <c r="D55" s="887" t="str">
        <f>IF(Alapanyagok!B58="","",Alapanyagok!H58)</f>
        <v/>
      </c>
      <c r="E55" s="888" t="str">
        <f>IF(Alapanyagok!B58="","",Alapanyagok!N58)</f>
        <v/>
      </c>
      <c r="F55" s="888" t="str">
        <f>IF(Alapanyagok!G58="","",Alapanyagok!G58)</f>
        <v/>
      </c>
      <c r="G55" s="886" t="str">
        <f>IF(Alapanyagok_DID!B58="","",Alapanyagok_DID!E58)</f>
        <v/>
      </c>
      <c r="H55" s="886" t="str">
        <f>IF(Alapanyagok_DID!B58="","",Alapanyagok_DID!G58)</f>
        <v/>
      </c>
      <c r="I55" s="527"/>
      <c r="J55" s="573"/>
      <c r="K55" s="527"/>
      <c r="L55" s="527"/>
      <c r="M55" s="527"/>
      <c r="N55" s="527"/>
      <c r="O55" s="527">
        <f t="shared" si="0"/>
        <v>0</v>
      </c>
      <c r="P55" s="564">
        <f t="shared" si="1"/>
        <v>0</v>
      </c>
      <c r="Q55" s="527"/>
      <c r="R55" s="527"/>
      <c r="S55" s="527"/>
      <c r="T55" s="527"/>
      <c r="U55" s="527"/>
      <c r="V55" s="527"/>
      <c r="W55" s="527"/>
      <c r="X55" s="527"/>
      <c r="Y55" s="527"/>
      <c r="Z55" s="527"/>
      <c r="AA55" s="527"/>
      <c r="AB55" s="527"/>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527"/>
      <c r="AY55" s="527"/>
      <c r="AZ55" s="527"/>
      <c r="BA55" s="527"/>
      <c r="BB55" s="527"/>
      <c r="BC55" s="527"/>
    </row>
    <row r="56" spans="1:55" s="564" customFormat="1" ht="25" customHeight="1">
      <c r="A56" s="1149"/>
      <c r="B56" s="1149"/>
      <c r="C56" s="886" t="str">
        <f>IF(Alapanyagok_DID!B59="","",Alapanyagok_DID!B59)</f>
        <v/>
      </c>
      <c r="D56" s="887" t="str">
        <f>IF(Alapanyagok!B59="","",Alapanyagok!H59)</f>
        <v/>
      </c>
      <c r="E56" s="888" t="str">
        <f>IF(Alapanyagok!B59="","",Alapanyagok!N59)</f>
        <v/>
      </c>
      <c r="F56" s="888" t="str">
        <f>IF(Alapanyagok!G59="","",Alapanyagok!G59)</f>
        <v/>
      </c>
      <c r="G56" s="886" t="str">
        <f>IF(Alapanyagok_DID!B59="","",Alapanyagok_DID!E59)</f>
        <v/>
      </c>
      <c r="H56" s="886" t="str">
        <f>IF(Alapanyagok_DID!B59="","",Alapanyagok_DID!G59)</f>
        <v/>
      </c>
      <c r="I56" s="527"/>
      <c r="J56" s="573"/>
      <c r="K56" s="527"/>
      <c r="L56" s="527"/>
      <c r="M56" s="527"/>
      <c r="N56" s="527"/>
      <c r="O56" s="527">
        <f t="shared" si="0"/>
        <v>0</v>
      </c>
      <c r="P56" s="564">
        <f t="shared" si="1"/>
        <v>0</v>
      </c>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7"/>
      <c r="AY56" s="527"/>
      <c r="AZ56" s="527"/>
      <c r="BA56" s="527"/>
      <c r="BB56" s="527"/>
      <c r="BC56" s="527"/>
    </row>
    <row r="57" spans="1:55" s="564" customFormat="1" ht="25" customHeight="1">
      <c r="A57" s="1149"/>
      <c r="B57" s="1149"/>
      <c r="C57" s="886" t="str">
        <f>IF(Alapanyagok_DID!B60="","",Alapanyagok_DID!B60)</f>
        <v/>
      </c>
      <c r="D57" s="887" t="str">
        <f>IF(Alapanyagok!B60="","",Alapanyagok!H60)</f>
        <v/>
      </c>
      <c r="E57" s="888" t="str">
        <f>IF(Alapanyagok!B60="","",Alapanyagok!N60)</f>
        <v/>
      </c>
      <c r="F57" s="888" t="str">
        <f>IF(Alapanyagok!G60="","",Alapanyagok!G60)</f>
        <v/>
      </c>
      <c r="G57" s="886" t="str">
        <f>IF(Alapanyagok_DID!B60="","",Alapanyagok_DID!E60)</f>
        <v/>
      </c>
      <c r="H57" s="886" t="str">
        <f>IF(Alapanyagok_DID!B60="","",Alapanyagok_DID!G60)</f>
        <v/>
      </c>
      <c r="I57" s="527"/>
      <c r="J57" s="573"/>
      <c r="K57" s="527"/>
      <c r="L57" s="527"/>
      <c r="M57" s="527"/>
      <c r="N57" s="527"/>
      <c r="O57" s="527">
        <f t="shared" si="0"/>
        <v>0</v>
      </c>
      <c r="P57" s="564">
        <f t="shared" si="1"/>
        <v>0</v>
      </c>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527"/>
      <c r="AS57" s="527"/>
      <c r="AT57" s="527"/>
      <c r="AU57" s="527"/>
      <c r="AV57" s="527"/>
      <c r="AW57" s="527"/>
      <c r="AX57" s="527"/>
      <c r="AY57" s="527"/>
      <c r="AZ57" s="527"/>
      <c r="BA57" s="527"/>
      <c r="BB57" s="527"/>
      <c r="BC57" s="527"/>
    </row>
    <row r="58" spans="1:55" s="564" customFormat="1" ht="25" customHeight="1">
      <c r="A58" s="1149"/>
      <c r="B58" s="1149"/>
      <c r="C58" s="886" t="str">
        <f>IF(Alapanyagok_DID!B61="","",Alapanyagok_DID!B61)</f>
        <v/>
      </c>
      <c r="D58" s="887" t="str">
        <f>IF(Alapanyagok!B61="","",Alapanyagok!H61)</f>
        <v/>
      </c>
      <c r="E58" s="888" t="str">
        <f>IF(Alapanyagok!B61="","",Alapanyagok!N61)</f>
        <v/>
      </c>
      <c r="F58" s="888" t="str">
        <f>IF(Alapanyagok!G61="","",Alapanyagok!G61)</f>
        <v/>
      </c>
      <c r="G58" s="886" t="str">
        <f>IF(Alapanyagok_DID!B61="","",Alapanyagok_DID!E61)</f>
        <v/>
      </c>
      <c r="H58" s="886" t="str">
        <f>IF(Alapanyagok_DID!B61="","",Alapanyagok_DID!G61)</f>
        <v/>
      </c>
      <c r="I58" s="527"/>
      <c r="J58" s="573"/>
      <c r="K58" s="527"/>
      <c r="L58" s="527"/>
      <c r="M58" s="527"/>
      <c r="N58" s="527"/>
      <c r="O58" s="527">
        <f t="shared" si="0"/>
        <v>0</v>
      </c>
      <c r="P58" s="564">
        <f t="shared" si="1"/>
        <v>0</v>
      </c>
      <c r="Q58" s="527"/>
      <c r="R58" s="527"/>
      <c r="S58" s="527"/>
      <c r="T58" s="527"/>
      <c r="U58" s="527"/>
      <c r="V58" s="527"/>
      <c r="W58" s="527"/>
      <c r="X58" s="527"/>
      <c r="Y58" s="527"/>
      <c r="Z58" s="527"/>
      <c r="AA58" s="527"/>
      <c r="AB58" s="527"/>
      <c r="AC58" s="527"/>
      <c r="AD58" s="527"/>
      <c r="AE58" s="527"/>
      <c r="AF58" s="527"/>
      <c r="AG58" s="527"/>
      <c r="AH58" s="527"/>
      <c r="AI58" s="527"/>
      <c r="AJ58" s="527"/>
      <c r="AK58" s="527"/>
      <c r="AL58" s="527"/>
      <c r="AM58" s="527"/>
      <c r="AN58" s="527"/>
      <c r="AO58" s="527"/>
      <c r="AP58" s="527"/>
      <c r="AQ58" s="527"/>
      <c r="AR58" s="527"/>
      <c r="AS58" s="527"/>
      <c r="AT58" s="527"/>
      <c r="AU58" s="527"/>
      <c r="AV58" s="527"/>
      <c r="AW58" s="527"/>
      <c r="AX58" s="527"/>
      <c r="AY58" s="527"/>
      <c r="AZ58" s="527"/>
      <c r="BA58" s="527"/>
      <c r="BB58" s="527"/>
      <c r="BC58" s="527"/>
    </row>
    <row r="59" spans="1:8" ht="25" customHeight="1">
      <c r="A59" s="1157" t="str">
        <f>IF(Adatlap!L1="Magyar",Fordítások!C355,Fordítások!B355)</f>
        <v>(*) A tartósítószereket, illatanyagokat és színezőanyagokat a koncentrációjuktól függetlenül fel kell tüntetni. Az egyéb felhasznált anyagokat akkor kell feltüntetni, ha koncentrációjuk a termékben legalább 0,010 %(m/m).</v>
      </c>
      <c r="B59" s="1157"/>
      <c r="C59" s="1157"/>
      <c r="D59" s="1157"/>
      <c r="E59" s="1157"/>
      <c r="F59" s="1157"/>
      <c r="G59" s="1157"/>
      <c r="H59" s="1157"/>
    </row>
    <row r="60" spans="1:55" s="559" customFormat="1" ht="33" customHeight="1">
      <c r="A60" s="1155" t="str">
        <f>IF(Adatlap!L1="Magyar",Fordítások!C356,Fordítások!B356)</f>
        <v>(**) A jegyzékben minden, nanoanyag formájában jelen lévő alapanyagot egyértelműen meg kell jelölni a mellette zárójelben lévő „nano” szóval.</v>
      </c>
      <c r="B60" s="1155"/>
      <c r="C60" s="1155"/>
      <c r="D60" s="1155"/>
      <c r="E60" s="1155"/>
      <c r="F60" s="1155"/>
      <c r="G60" s="1155"/>
      <c r="H60" s="1155"/>
      <c r="I60" s="558"/>
      <c r="J60" s="575"/>
      <c r="K60" s="558"/>
      <c r="L60" s="558"/>
      <c r="M60" s="558"/>
      <c r="N60" s="558"/>
      <c r="O60" s="558"/>
      <c r="Q60" s="558"/>
      <c r="R60" s="558"/>
      <c r="S60" s="558"/>
      <c r="T60" s="558"/>
      <c r="U60" s="558"/>
      <c r="V60" s="558"/>
      <c r="W60" s="558"/>
      <c r="X60" s="558"/>
      <c r="Y60" s="558"/>
      <c r="Z60" s="558"/>
      <c r="AA60" s="558"/>
      <c r="AB60" s="558"/>
      <c r="AC60" s="558"/>
      <c r="AD60" s="558"/>
      <c r="AE60" s="558"/>
      <c r="AF60" s="558"/>
      <c r="AG60" s="558"/>
      <c r="AH60" s="558"/>
      <c r="AI60" s="558"/>
      <c r="AJ60" s="558"/>
      <c r="AK60" s="558"/>
      <c r="AL60" s="558"/>
      <c r="AM60" s="558"/>
      <c r="AN60" s="558"/>
      <c r="AO60" s="558"/>
      <c r="AP60" s="558"/>
      <c r="AQ60" s="558"/>
      <c r="AR60" s="558"/>
      <c r="AS60" s="558"/>
      <c r="AT60" s="558"/>
      <c r="AU60" s="558"/>
      <c r="AV60" s="558"/>
      <c r="AW60" s="558"/>
      <c r="AX60" s="558"/>
      <c r="AY60" s="558"/>
      <c r="AZ60" s="558"/>
      <c r="BA60" s="558"/>
      <c r="BB60" s="558"/>
      <c r="BC60" s="558"/>
    </row>
    <row r="61" spans="1:55" s="559" customFormat="1" ht="12.75" customHeight="1">
      <c r="A61" s="568"/>
      <c r="B61" s="1139" t="str">
        <f>IF(J61=FALSE,IF(Adatlap!L1="Magyar","Jelölje be!","Please, check!"),"")</f>
        <v>Jelölje be!</v>
      </c>
      <c r="C61" s="1156" t="str">
        <f>IF(Adatlap!L1="Magyar",Fordítások!C357,Fordítások!B357)</f>
        <v>Csatolom a jegyzékben szereplő minden egyes felhasznált anyagnak az 1907/2006/EK európai parlamenti és tanácsi rendeletnek (1) megfelelő biztonsági adatlapját.</v>
      </c>
      <c r="D61" s="1156"/>
      <c r="E61" s="1156"/>
      <c r="F61" s="1156"/>
      <c r="G61" s="1156"/>
      <c r="H61" s="1156"/>
      <c r="I61" s="558"/>
      <c r="J61" s="575" t="b">
        <v>0</v>
      </c>
      <c r="K61" s="558"/>
      <c r="L61" s="558"/>
      <c r="M61" s="558"/>
      <c r="N61" s="558"/>
      <c r="O61" s="558"/>
      <c r="Q61" s="558"/>
      <c r="R61" s="558"/>
      <c r="S61" s="558"/>
      <c r="T61" s="558"/>
      <c r="U61" s="558"/>
      <c r="V61" s="558"/>
      <c r="W61" s="558"/>
      <c r="X61" s="558"/>
      <c r="Y61" s="558"/>
      <c r="Z61" s="558"/>
      <c r="AA61" s="558"/>
      <c r="AB61" s="558"/>
      <c r="AC61" s="558"/>
      <c r="AD61" s="558"/>
      <c r="AE61" s="558"/>
      <c r="AF61" s="558"/>
      <c r="AG61" s="558"/>
      <c r="AH61" s="558"/>
      <c r="AI61" s="558"/>
      <c r="AJ61" s="558"/>
      <c r="AK61" s="558"/>
      <c r="AL61" s="558"/>
      <c r="AM61" s="558"/>
      <c r="AN61" s="558"/>
      <c r="AO61" s="558"/>
      <c r="AP61" s="558"/>
      <c r="AQ61" s="558"/>
      <c r="AR61" s="558"/>
      <c r="AS61" s="558"/>
      <c r="AT61" s="558"/>
      <c r="AU61" s="558"/>
      <c r="AV61" s="558"/>
      <c r="AW61" s="558"/>
      <c r="AX61" s="558"/>
      <c r="AY61" s="558"/>
      <c r="AZ61" s="558"/>
      <c r="BA61" s="558"/>
      <c r="BB61" s="558"/>
      <c r="BC61" s="558"/>
    </row>
    <row r="62" spans="1:8" ht="12.75">
      <c r="A62" s="523"/>
      <c r="B62" s="1139"/>
      <c r="C62" s="1156"/>
      <c r="D62" s="1156"/>
      <c r="E62" s="1156"/>
      <c r="F62" s="1156"/>
      <c r="G62" s="1156"/>
      <c r="H62" s="1156"/>
    </row>
    <row r="63" spans="1:7" ht="12.75" customHeight="1">
      <c r="A63" s="523"/>
      <c r="B63" s="523"/>
      <c r="C63" s="523"/>
      <c r="D63" s="620"/>
      <c r="E63" s="523"/>
      <c r="F63" s="523"/>
      <c r="G63" s="620"/>
    </row>
    <row r="64" spans="1:10" ht="12.75">
      <c r="A64" s="523"/>
      <c r="B64" s="1139" t="str">
        <f>IF(J64=FALSE,IF(Adatlap!L1="Magyar","Jelölje be!","Please, check!"),"")</f>
        <v>Jelölje be!</v>
      </c>
      <c r="C64" s="1147" t="str">
        <f>IF(Adatlap!L1="Magyar",Fordítások!C358,Fordítások!B358)</f>
        <v>A keverékekben található összetevők esetében csatolom a keverék adatlapját.</v>
      </c>
      <c r="D64" s="1147"/>
      <c r="E64" s="1147"/>
      <c r="F64" s="1147"/>
      <c r="G64" s="1147"/>
      <c r="H64" s="1147"/>
      <c r="J64" s="572" t="b">
        <v>0</v>
      </c>
    </row>
    <row r="65" spans="1:7" ht="12.75">
      <c r="A65" s="523"/>
      <c r="B65" s="1139"/>
      <c r="C65" s="523"/>
      <c r="D65" s="620"/>
      <c r="E65" s="523"/>
      <c r="F65" s="523"/>
      <c r="G65" s="620"/>
    </row>
    <row r="66" spans="1:7" ht="12.75">
      <c r="A66" s="523"/>
      <c r="B66" s="523"/>
      <c r="C66" s="523"/>
      <c r="D66" s="620"/>
      <c r="E66" s="523"/>
      <c r="F66" s="523"/>
      <c r="G66" s="620"/>
    </row>
    <row r="67" spans="1:7" ht="12.75">
      <c r="A67" s="523"/>
      <c r="B67" s="523"/>
      <c r="C67" s="523"/>
      <c r="D67" s="620"/>
      <c r="E67" s="523"/>
      <c r="F67" s="523"/>
      <c r="G67" s="620"/>
    </row>
    <row r="68" spans="1:7" ht="12.75">
      <c r="A68" s="569"/>
      <c r="B68" s="569"/>
      <c r="C68" s="523"/>
      <c r="D68" s="620"/>
      <c r="E68" s="523"/>
      <c r="F68" s="523"/>
      <c r="G68" s="620"/>
    </row>
    <row r="69" spans="1:8" ht="33" customHeight="1">
      <c r="A69" s="1148" t="str">
        <f>IF(Adatlap!L1="Magyar",Fordítások!C359,Fordítások!B359)</f>
        <v>1/ Az Európai Parlament és a Tanács 1907/2006/EK rendelete (2006. december 18.) a vegyi anyagok regisztrálásáról, értékeléséről, engedélyezéséről és korlátozásáról (REACH)  (OJ L 396, 2006.12.30, p. 1).</v>
      </c>
      <c r="B69" s="1148"/>
      <c r="C69" s="1148"/>
      <c r="D69" s="1148"/>
      <c r="E69" s="1148"/>
      <c r="F69" s="1148"/>
      <c r="G69" s="1148"/>
      <c r="H69" s="1148"/>
    </row>
    <row r="70" spans="1:7" ht="12.75">
      <c r="A70" s="523"/>
      <c r="B70" s="523"/>
      <c r="C70" s="523"/>
      <c r="D70" s="620"/>
      <c r="E70" s="523"/>
      <c r="F70" s="523"/>
      <c r="G70" s="620"/>
    </row>
    <row r="71" spans="1:7" ht="12.75">
      <c r="A71" s="523"/>
      <c r="B71" s="523"/>
      <c r="C71" s="523"/>
      <c r="D71" s="620"/>
      <c r="E71" s="523"/>
      <c r="F71" s="523"/>
      <c r="G71" s="620"/>
    </row>
    <row r="72" spans="1:7" ht="12.75">
      <c r="A72" s="523"/>
      <c r="B72" s="523"/>
      <c r="C72" s="523"/>
      <c r="D72" s="620"/>
      <c r="E72" s="523"/>
      <c r="F72" s="523"/>
      <c r="G72" s="620"/>
    </row>
    <row r="73" spans="1:7" ht="12.75">
      <c r="A73" s="523"/>
      <c r="B73" s="523"/>
      <c r="C73" s="523"/>
      <c r="D73" s="620"/>
      <c r="E73" s="523"/>
      <c r="F73" s="523"/>
      <c r="G73" s="620"/>
    </row>
    <row r="281" ht="12" customHeight="1"/>
  </sheetData>
  <sheetProtection algorithmName="SHA-512" hashValue="rqOCIjBsG43uvAfXMnU2qWEFnVOcRDCjE4aWa4cdEZbkvxAvvU+W6NZPh3ViSniFvBQxC8vfeG0WPM/h7yQKEQ==" saltValue="GpROVc2r9oNJtke+R/D1FQ==" spinCount="100000" sheet="1" objects="1" scenarios="1" selectLockedCells="1"/>
  <mergeCells count="66">
    <mergeCell ref="A60:H60"/>
    <mergeCell ref="C61:H62"/>
    <mergeCell ref="A55:B55"/>
    <mergeCell ref="A56:B56"/>
    <mergeCell ref="A57:B57"/>
    <mergeCell ref="A58:B58"/>
    <mergeCell ref="A59:H59"/>
    <mergeCell ref="A50:B50"/>
    <mergeCell ref="A51:B51"/>
    <mergeCell ref="A52:B52"/>
    <mergeCell ref="A53:B53"/>
    <mergeCell ref="A54:B54"/>
    <mergeCell ref="A45:B45"/>
    <mergeCell ref="A46:B46"/>
    <mergeCell ref="A47:B47"/>
    <mergeCell ref="A48:B48"/>
    <mergeCell ref="A49:B49"/>
    <mergeCell ref="A40:B40"/>
    <mergeCell ref="A41:B41"/>
    <mergeCell ref="A42:B42"/>
    <mergeCell ref="A43:B43"/>
    <mergeCell ref="A44:B44"/>
    <mergeCell ref="A25:B25"/>
    <mergeCell ref="A26:B26"/>
    <mergeCell ref="A27:B27"/>
    <mergeCell ref="A20:B20"/>
    <mergeCell ref="A21:B21"/>
    <mergeCell ref="A22:B22"/>
    <mergeCell ref="A23:B23"/>
    <mergeCell ref="A24:B24"/>
    <mergeCell ref="A15:B15"/>
    <mergeCell ref="A16:B16"/>
    <mergeCell ref="A17:B17"/>
    <mergeCell ref="A18:B18"/>
    <mergeCell ref="A19:B19"/>
    <mergeCell ref="A10:B10"/>
    <mergeCell ref="A11:B11"/>
    <mergeCell ref="A12:B12"/>
    <mergeCell ref="A13:B13"/>
    <mergeCell ref="A14:B14"/>
    <mergeCell ref="C1:H1"/>
    <mergeCell ref="A9:B9"/>
    <mergeCell ref="A8:C8"/>
    <mergeCell ref="D8:D9"/>
    <mergeCell ref="E8:E9"/>
    <mergeCell ref="F8:F9"/>
    <mergeCell ref="G8:G9"/>
    <mergeCell ref="H8:H9"/>
    <mergeCell ref="B4:B5"/>
    <mergeCell ref="C4:F5"/>
    <mergeCell ref="C64:H64"/>
    <mergeCell ref="B61:B62"/>
    <mergeCell ref="B64:B65"/>
    <mergeCell ref="A69:H69"/>
    <mergeCell ref="A28:B28"/>
    <mergeCell ref="A29:B29"/>
    <mergeCell ref="A30:B30"/>
    <mergeCell ref="A31:B31"/>
    <mergeCell ref="A32:B32"/>
    <mergeCell ref="A33:B33"/>
    <mergeCell ref="A34:B34"/>
    <mergeCell ref="A35:B35"/>
    <mergeCell ref="A36:B36"/>
    <mergeCell ref="A37:B37"/>
    <mergeCell ref="A38:B38"/>
    <mergeCell ref="A39:B39"/>
  </mergeCells>
  <conditionalFormatting sqref="B4:B5">
    <cfRule type="expression" priority="154" dxfId="0">
      <formula>$J$4=FALSE</formula>
    </cfRule>
  </conditionalFormatting>
  <conditionalFormatting sqref="C2:H2">
    <cfRule type="expression" priority="152" dxfId="236">
      <formula>AND(MAX(P10:P59)=N3,$J$4=TRUE)</formula>
    </cfRule>
  </conditionalFormatting>
  <conditionalFormatting sqref="A10:B10">
    <cfRule type="expression" priority="151" dxfId="0">
      <formula>$O$10=1</formula>
    </cfRule>
  </conditionalFormatting>
  <conditionalFormatting sqref="A10:H10">
    <cfRule type="cellIs" priority="150" dxfId="236" operator="equal">
      <formula>0</formula>
    </cfRule>
  </conditionalFormatting>
  <conditionalFormatting sqref="C11:H11">
    <cfRule type="cellIs" priority="148" dxfId="236" operator="equal">
      <formula>0</formula>
    </cfRule>
  </conditionalFormatting>
  <conditionalFormatting sqref="C12:H12">
    <cfRule type="cellIs" priority="146" dxfId="236" operator="equal">
      <formula>0</formula>
    </cfRule>
  </conditionalFormatting>
  <conditionalFormatting sqref="C13:H13">
    <cfRule type="cellIs" priority="144" dxfId="236" operator="equal">
      <formula>0</formula>
    </cfRule>
  </conditionalFormatting>
  <conditionalFormatting sqref="C14:H14">
    <cfRule type="cellIs" priority="142" dxfId="236" operator="equal">
      <formula>0</formula>
    </cfRule>
  </conditionalFormatting>
  <conditionalFormatting sqref="C15:H15">
    <cfRule type="cellIs" priority="140" dxfId="236" operator="equal">
      <formula>0</formula>
    </cfRule>
  </conditionalFormatting>
  <conditionalFormatting sqref="C16:H16">
    <cfRule type="cellIs" priority="138" dxfId="236" operator="equal">
      <formula>0</formula>
    </cfRule>
  </conditionalFormatting>
  <conditionalFormatting sqref="C17:H17">
    <cfRule type="cellIs" priority="136" dxfId="236" operator="equal">
      <formula>0</formula>
    </cfRule>
  </conditionalFormatting>
  <conditionalFormatting sqref="C18:H18">
    <cfRule type="cellIs" priority="134" dxfId="236" operator="equal">
      <formula>0</formula>
    </cfRule>
  </conditionalFormatting>
  <conditionalFormatting sqref="C19:H19">
    <cfRule type="cellIs" priority="132" dxfId="236" operator="equal">
      <formula>0</formula>
    </cfRule>
  </conditionalFormatting>
  <conditionalFormatting sqref="C20:H20">
    <cfRule type="cellIs" priority="130" dxfId="236" operator="equal">
      <formula>0</formula>
    </cfRule>
  </conditionalFormatting>
  <conditionalFormatting sqref="C21:H21">
    <cfRule type="cellIs" priority="128" dxfId="236" operator="equal">
      <formula>0</formula>
    </cfRule>
  </conditionalFormatting>
  <conditionalFormatting sqref="C22:H22">
    <cfRule type="cellIs" priority="126" dxfId="236" operator="equal">
      <formula>0</formula>
    </cfRule>
  </conditionalFormatting>
  <conditionalFormatting sqref="C23:H23">
    <cfRule type="cellIs" priority="124" dxfId="236" operator="equal">
      <formula>0</formula>
    </cfRule>
  </conditionalFormatting>
  <conditionalFormatting sqref="C24:H24">
    <cfRule type="cellIs" priority="122" dxfId="236" operator="equal">
      <formula>0</formula>
    </cfRule>
  </conditionalFormatting>
  <conditionalFormatting sqref="C25:H25">
    <cfRule type="cellIs" priority="120" dxfId="236" operator="equal">
      <formula>0</formula>
    </cfRule>
  </conditionalFormatting>
  <conditionalFormatting sqref="C26:H26">
    <cfRule type="cellIs" priority="118" dxfId="236" operator="equal">
      <formula>0</formula>
    </cfRule>
  </conditionalFormatting>
  <conditionalFormatting sqref="C27:H27">
    <cfRule type="cellIs" priority="116" dxfId="236" operator="equal">
      <formula>0</formula>
    </cfRule>
  </conditionalFormatting>
  <conditionalFormatting sqref="C28:H28">
    <cfRule type="cellIs" priority="114" dxfId="236" operator="equal">
      <formula>0</formula>
    </cfRule>
  </conditionalFormatting>
  <conditionalFormatting sqref="C29:H29">
    <cfRule type="cellIs" priority="112" dxfId="236" operator="equal">
      <formula>0</formula>
    </cfRule>
  </conditionalFormatting>
  <conditionalFormatting sqref="C30:H30">
    <cfRule type="cellIs" priority="110" dxfId="236" operator="equal">
      <formula>0</formula>
    </cfRule>
  </conditionalFormatting>
  <conditionalFormatting sqref="C31:H31">
    <cfRule type="cellIs" priority="108" dxfId="236" operator="equal">
      <formula>0</formula>
    </cfRule>
  </conditionalFormatting>
  <conditionalFormatting sqref="C32:H32">
    <cfRule type="cellIs" priority="106" dxfId="236" operator="equal">
      <formula>0</formula>
    </cfRule>
  </conditionalFormatting>
  <conditionalFormatting sqref="C33:H33">
    <cfRule type="cellIs" priority="104" dxfId="236" operator="equal">
      <formula>0</formula>
    </cfRule>
  </conditionalFormatting>
  <conditionalFormatting sqref="C34:H34">
    <cfRule type="cellIs" priority="102" dxfId="236" operator="equal">
      <formula>0</formula>
    </cfRule>
  </conditionalFormatting>
  <conditionalFormatting sqref="C35:H35">
    <cfRule type="cellIs" priority="100" dxfId="236" operator="equal">
      <formula>0</formula>
    </cfRule>
  </conditionalFormatting>
  <conditionalFormatting sqref="C36:H36">
    <cfRule type="cellIs" priority="98" dxfId="236" operator="equal">
      <formula>0</formula>
    </cfRule>
  </conditionalFormatting>
  <conditionalFormatting sqref="C37:H37">
    <cfRule type="cellIs" priority="96" dxfId="236" operator="equal">
      <formula>0</formula>
    </cfRule>
  </conditionalFormatting>
  <conditionalFormatting sqref="C38:H38">
    <cfRule type="cellIs" priority="94" dxfId="236" operator="equal">
      <formula>0</formula>
    </cfRule>
  </conditionalFormatting>
  <conditionalFormatting sqref="C39:H39">
    <cfRule type="cellIs" priority="92" dxfId="236" operator="equal">
      <formula>0</formula>
    </cfRule>
  </conditionalFormatting>
  <conditionalFormatting sqref="C40:H40">
    <cfRule type="cellIs" priority="90" dxfId="236" operator="equal">
      <formula>0</formula>
    </cfRule>
  </conditionalFormatting>
  <conditionalFormatting sqref="C41:H41">
    <cfRule type="cellIs" priority="88" dxfId="236" operator="equal">
      <formula>0</formula>
    </cfRule>
  </conditionalFormatting>
  <conditionalFormatting sqref="C42:H42">
    <cfRule type="cellIs" priority="86" dxfId="236" operator="equal">
      <formula>0</formula>
    </cfRule>
  </conditionalFormatting>
  <conditionalFormatting sqref="C43:H43">
    <cfRule type="cellIs" priority="84" dxfId="236" operator="equal">
      <formula>0</formula>
    </cfRule>
  </conditionalFormatting>
  <conditionalFormatting sqref="C44:H44">
    <cfRule type="cellIs" priority="82" dxfId="236" operator="equal">
      <formula>0</formula>
    </cfRule>
  </conditionalFormatting>
  <conditionalFormatting sqref="C45:H45">
    <cfRule type="cellIs" priority="80" dxfId="236" operator="equal">
      <formula>0</formula>
    </cfRule>
  </conditionalFormatting>
  <conditionalFormatting sqref="C46:H46">
    <cfRule type="cellIs" priority="78" dxfId="236" operator="equal">
      <formula>0</formula>
    </cfRule>
  </conditionalFormatting>
  <conditionalFormatting sqref="C47:H47">
    <cfRule type="cellIs" priority="76" dxfId="236" operator="equal">
      <formula>0</formula>
    </cfRule>
  </conditionalFormatting>
  <conditionalFormatting sqref="C48:H48">
    <cfRule type="cellIs" priority="74" dxfId="236" operator="equal">
      <formula>0</formula>
    </cfRule>
  </conditionalFormatting>
  <conditionalFormatting sqref="C49:H49">
    <cfRule type="cellIs" priority="72" dxfId="236" operator="equal">
      <formula>0</formula>
    </cfRule>
  </conditionalFormatting>
  <conditionalFormatting sqref="C50:H50">
    <cfRule type="cellIs" priority="70" dxfId="236" operator="equal">
      <formula>0</formula>
    </cfRule>
  </conditionalFormatting>
  <conditionalFormatting sqref="C51:H51">
    <cfRule type="cellIs" priority="68" dxfId="236" operator="equal">
      <formula>0</formula>
    </cfRule>
  </conditionalFormatting>
  <conditionalFormatting sqref="C52:H52">
    <cfRule type="cellIs" priority="66" dxfId="236" operator="equal">
      <formula>0</formula>
    </cfRule>
  </conditionalFormatting>
  <conditionalFormatting sqref="C53:H53">
    <cfRule type="cellIs" priority="64" dxfId="236" operator="equal">
      <formula>0</formula>
    </cfRule>
  </conditionalFormatting>
  <conditionalFormatting sqref="C54:H54">
    <cfRule type="cellIs" priority="62" dxfId="236" operator="equal">
      <formula>0</formula>
    </cfRule>
  </conditionalFormatting>
  <conditionalFormatting sqref="C55:H55">
    <cfRule type="cellIs" priority="60" dxfId="236" operator="equal">
      <formula>0</formula>
    </cfRule>
  </conditionalFormatting>
  <conditionalFormatting sqref="C56:H56">
    <cfRule type="cellIs" priority="58" dxfId="236" operator="equal">
      <formula>0</formula>
    </cfRule>
  </conditionalFormatting>
  <conditionalFormatting sqref="C57:H57">
    <cfRule type="cellIs" priority="56" dxfId="236" operator="equal">
      <formula>0</formula>
    </cfRule>
  </conditionalFormatting>
  <conditionalFormatting sqref="C58:H58">
    <cfRule type="cellIs" priority="54" dxfId="236" operator="equal">
      <formula>0</formula>
    </cfRule>
  </conditionalFormatting>
  <conditionalFormatting sqref="A11:B11">
    <cfRule type="expression" priority="53" dxfId="0">
      <formula>O11=1</formula>
    </cfRule>
  </conditionalFormatting>
  <conditionalFormatting sqref="A12:B12">
    <cfRule type="expression" priority="51" dxfId="0">
      <formula>$O$12=1</formula>
    </cfRule>
    <cfRule type="cellIs" priority="52" dxfId="236" operator="equal">
      <formula>0</formula>
    </cfRule>
  </conditionalFormatting>
  <conditionalFormatting sqref="A13:B13">
    <cfRule type="expression" priority="49" dxfId="0">
      <formula>$O$13=1</formula>
    </cfRule>
  </conditionalFormatting>
  <conditionalFormatting sqref="A13:H13">
    <cfRule type="cellIs" priority="50" dxfId="236" operator="equal">
      <formula>0</formula>
    </cfRule>
  </conditionalFormatting>
  <conditionalFormatting sqref="A14:B14">
    <cfRule type="expression" priority="48" dxfId="0">
      <formula>$O$14=1</formula>
    </cfRule>
  </conditionalFormatting>
  <conditionalFormatting sqref="A15:B15">
    <cfRule type="expression" priority="47" dxfId="0">
      <formula>$O$15=1</formula>
    </cfRule>
  </conditionalFormatting>
  <conditionalFormatting sqref="A16:B16">
    <cfRule type="expression" priority="46" dxfId="0">
      <formula>$O$16=1</formula>
    </cfRule>
  </conditionalFormatting>
  <conditionalFormatting sqref="A17:B17">
    <cfRule type="expression" priority="45" dxfId="0">
      <formula>$O$17=1</formula>
    </cfRule>
  </conditionalFormatting>
  <conditionalFormatting sqref="A18:B18">
    <cfRule type="expression" priority="44" dxfId="0">
      <formula>$O$18=1</formula>
    </cfRule>
  </conditionalFormatting>
  <conditionalFormatting sqref="A19:B19">
    <cfRule type="expression" priority="43" dxfId="0">
      <formula>$O$19=1</formula>
    </cfRule>
  </conditionalFormatting>
  <conditionalFormatting sqref="A20:B20">
    <cfRule type="expression" priority="42" dxfId="0">
      <formula>$O$20=1</formula>
    </cfRule>
  </conditionalFormatting>
  <conditionalFormatting sqref="A21:B21">
    <cfRule type="expression" priority="41" dxfId="0">
      <formula>$O$21=1</formula>
    </cfRule>
  </conditionalFormatting>
  <conditionalFormatting sqref="A22:B22">
    <cfRule type="expression" priority="40" dxfId="0">
      <formula>$O$22=1</formula>
    </cfRule>
  </conditionalFormatting>
  <conditionalFormatting sqref="A23:B23">
    <cfRule type="expression" priority="39" dxfId="0">
      <formula>$O$23=1</formula>
    </cfRule>
  </conditionalFormatting>
  <conditionalFormatting sqref="A24:B24">
    <cfRule type="expression" priority="38" dxfId="0">
      <formula>$O$24=1</formula>
    </cfRule>
  </conditionalFormatting>
  <conditionalFormatting sqref="A25:B25">
    <cfRule type="expression" priority="37" dxfId="0">
      <formula>$O$25=1</formula>
    </cfRule>
  </conditionalFormatting>
  <conditionalFormatting sqref="A26:B26">
    <cfRule type="expression" priority="36" dxfId="0">
      <formula>$O$26=1</formula>
    </cfRule>
  </conditionalFormatting>
  <conditionalFormatting sqref="A27:B27">
    <cfRule type="expression" priority="35" dxfId="0">
      <formula>$O$27=1</formula>
    </cfRule>
  </conditionalFormatting>
  <conditionalFormatting sqref="A28:B28">
    <cfRule type="expression" priority="34" dxfId="0">
      <formula>$O$28=1</formula>
    </cfRule>
  </conditionalFormatting>
  <conditionalFormatting sqref="A29:B29">
    <cfRule type="expression" priority="33" dxfId="0">
      <formula>$O$29=1</formula>
    </cfRule>
  </conditionalFormatting>
  <conditionalFormatting sqref="A30:B30">
    <cfRule type="expression" priority="32" dxfId="0">
      <formula>$O$30=1</formula>
    </cfRule>
  </conditionalFormatting>
  <conditionalFormatting sqref="A31:B31">
    <cfRule type="expression" priority="31" dxfId="0">
      <formula>$O$31=1</formula>
    </cfRule>
  </conditionalFormatting>
  <conditionalFormatting sqref="A32:B32">
    <cfRule type="expression" priority="30" dxfId="0">
      <formula>$O$32=1</formula>
    </cfRule>
  </conditionalFormatting>
  <conditionalFormatting sqref="A33:B33">
    <cfRule type="expression" priority="29" dxfId="0">
      <formula>$O$33=1</formula>
    </cfRule>
  </conditionalFormatting>
  <conditionalFormatting sqref="A34:B34">
    <cfRule type="expression" priority="28" dxfId="0">
      <formula>$O$34=1</formula>
    </cfRule>
  </conditionalFormatting>
  <conditionalFormatting sqref="A35:B35">
    <cfRule type="expression" priority="27" dxfId="0">
      <formula>$O$35=1</formula>
    </cfRule>
  </conditionalFormatting>
  <conditionalFormatting sqref="A36:B36">
    <cfRule type="expression" priority="26" dxfId="0">
      <formula>$O$36=1</formula>
    </cfRule>
  </conditionalFormatting>
  <conditionalFormatting sqref="A37:B37">
    <cfRule type="expression" priority="25" dxfId="0">
      <formula>$O$37=1</formula>
    </cfRule>
  </conditionalFormatting>
  <conditionalFormatting sqref="A38:B38">
    <cfRule type="expression" priority="24" dxfId="0">
      <formula>$O$38=1</formula>
    </cfRule>
  </conditionalFormatting>
  <conditionalFormatting sqref="A39:B39">
    <cfRule type="expression" priority="23" dxfId="0">
      <formula>$O$39=1</formula>
    </cfRule>
  </conditionalFormatting>
  <conditionalFormatting sqref="A40:B40">
    <cfRule type="expression" priority="22" dxfId="0">
      <formula>$O$40=1</formula>
    </cfRule>
  </conditionalFormatting>
  <conditionalFormatting sqref="A41:B41">
    <cfRule type="expression" priority="21" dxfId="0">
      <formula>$O$41=1</formula>
    </cfRule>
  </conditionalFormatting>
  <conditionalFormatting sqref="A42:B42">
    <cfRule type="expression" priority="20" dxfId="0">
      <formula>$O$42=1</formula>
    </cfRule>
  </conditionalFormatting>
  <conditionalFormatting sqref="A43:B43">
    <cfRule type="expression" priority="19" dxfId="0">
      <formula>$O$43=1</formula>
    </cfRule>
  </conditionalFormatting>
  <conditionalFormatting sqref="A44:B44">
    <cfRule type="expression" priority="18" dxfId="0">
      <formula>$O$44=1</formula>
    </cfRule>
  </conditionalFormatting>
  <conditionalFormatting sqref="A45:B45">
    <cfRule type="expression" priority="17" dxfId="0">
      <formula>$O$45=1</formula>
    </cfRule>
  </conditionalFormatting>
  <conditionalFormatting sqref="A46:B46">
    <cfRule type="expression" priority="16" dxfId="0">
      <formula>$O$46=1</formula>
    </cfRule>
  </conditionalFormatting>
  <conditionalFormatting sqref="A47:B47">
    <cfRule type="expression" priority="15" dxfId="0">
      <formula>$O$47=1</formula>
    </cfRule>
  </conditionalFormatting>
  <conditionalFormatting sqref="A48:B48">
    <cfRule type="expression" priority="14" dxfId="0">
      <formula>$O$48=1</formula>
    </cfRule>
  </conditionalFormatting>
  <conditionalFormatting sqref="A49:B49">
    <cfRule type="expression" priority="13" dxfId="0">
      <formula>$O$49=1</formula>
    </cfRule>
  </conditionalFormatting>
  <conditionalFormatting sqref="A50:B50">
    <cfRule type="expression" priority="12" dxfId="0">
      <formula>$O$50=1</formula>
    </cfRule>
  </conditionalFormatting>
  <conditionalFormatting sqref="A51:B51">
    <cfRule type="expression" priority="11" dxfId="0">
      <formula>$O$51=1</formula>
    </cfRule>
  </conditionalFormatting>
  <conditionalFormatting sqref="A52:B52">
    <cfRule type="expression" priority="10" dxfId="0">
      <formula>$O$52=1</formula>
    </cfRule>
  </conditionalFormatting>
  <conditionalFormatting sqref="A53:B53">
    <cfRule type="expression" priority="9" dxfId="0">
      <formula>$O$53=1</formula>
    </cfRule>
  </conditionalFormatting>
  <conditionalFormatting sqref="A54:B54">
    <cfRule type="expression" priority="8" dxfId="0">
      <formula>$O$54=1</formula>
    </cfRule>
  </conditionalFormatting>
  <conditionalFormatting sqref="A55:B55">
    <cfRule type="expression" priority="7" dxfId="0">
      <formula>$O$55=1</formula>
    </cfRule>
  </conditionalFormatting>
  <conditionalFormatting sqref="A56:B56">
    <cfRule type="expression" priority="6" dxfId="0">
      <formula>$O$56=1</formula>
    </cfRule>
  </conditionalFormatting>
  <conditionalFormatting sqref="A57:B57">
    <cfRule type="expression" priority="5" dxfId="0">
      <formula>$O$57=1</formula>
    </cfRule>
  </conditionalFormatting>
  <conditionalFormatting sqref="A58:B58">
    <cfRule type="expression" priority="4" dxfId="0">
      <formula>$O$58=1</formula>
    </cfRule>
  </conditionalFormatting>
  <conditionalFormatting sqref="B61:B62">
    <cfRule type="expression" priority="2" dxfId="0">
      <formula>$J$61=FALSE</formula>
    </cfRule>
  </conditionalFormatting>
  <conditionalFormatting sqref="B64:B65">
    <cfRule type="expression" priority="1" dxfId="0">
      <formula>$J$64=FALSE</formula>
    </cfRule>
  </conditionalFormatting>
  <printOptions/>
  <pageMargins left="0.7086614173228347" right="0.7086614173228347" top="0.7480314960629921" bottom="0.7480314960629921" header="0.31496062992125984" footer="0.31496062992125984"/>
  <pageSetup firstPageNumber="4" useFirstPageNumber="1" fitToHeight="0" fitToWidth="1" horizontalDpi="600" verticalDpi="600" orientation="landscape" paperSize="9" scale="90" r:id="rId3"/>
  <headerFooter>
    <oddFooter>&amp;C&amp;"-,Normál"&amp;P</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Check Box 1">
              <controlPr defaultSize="0" autoFill="0" autoLine="0" autoPict="0" macro="[0]!Nyilatkozatok2_üres_sorok_eltávolítása">
                <anchor moveWithCells="1">
                  <from>
                    <xdr:col>1</xdr:col>
                    <xdr:colOff>228600</xdr:colOff>
                    <xdr:row>2</xdr:row>
                    <xdr:rowOff>152400</xdr:rowOff>
                  </from>
                  <to>
                    <xdr:col>1</xdr:col>
                    <xdr:colOff>533400</xdr:colOff>
                    <xdr:row>4</xdr:row>
                    <xdr:rowOff>50800</xdr:rowOff>
                  </to>
                </anchor>
              </controlPr>
            </control>
          </mc:Choice>
        </mc:AlternateContent>
        <mc:AlternateContent>
          <mc:Choice Requires="x14">
            <control xmlns:r="http://schemas.openxmlformats.org/officeDocument/2006/relationships" shapeId="3074" r:id="rId5" name="Check Box 2">
              <controlPr defaultSize="0" autoFill="0" autoLine="0" autoPict="0" macro="[0]!Nyilatkozatok2_biztonsági_adatlapok_ellenőrzése">
                <anchor moveWithCells="1">
                  <from>
                    <xdr:col>1</xdr:col>
                    <xdr:colOff>228600</xdr:colOff>
                    <xdr:row>59</xdr:row>
                    <xdr:rowOff>412750</xdr:rowOff>
                  </from>
                  <to>
                    <xdr:col>1</xdr:col>
                    <xdr:colOff>533400</xdr:colOff>
                    <xdr:row>61</xdr:row>
                    <xdr:rowOff>50800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3">
    <tabColor rgb="FFFFFFFF"/>
    <pageSetUpPr fitToPage="1"/>
  </sheetPr>
  <dimension ref="A1:S37"/>
  <sheetViews>
    <sheetView workbookViewId="0" topLeftCell="A1">
      <selection activeCell="A3" sqref="A3:XFD38"/>
    </sheetView>
  </sheetViews>
  <sheetFormatPr defaultColWidth="9.140625" defaultRowHeight="12.75"/>
  <cols>
    <col min="1" max="1" width="7.8515625" style="523" customWidth="1"/>
    <col min="2" max="2" width="9.00390625" style="523" customWidth="1"/>
    <col min="3" max="3" width="15.7109375" style="523" customWidth="1"/>
    <col min="4" max="6" width="9.140625" style="523" customWidth="1"/>
    <col min="7" max="7" width="13.140625" style="523" customWidth="1"/>
    <col min="8" max="8" width="6.57421875" style="523" customWidth="1"/>
    <col min="9" max="9" width="6.421875" style="523" customWidth="1"/>
    <col min="10" max="10" width="13.140625" style="523" customWidth="1"/>
    <col min="11" max="11" width="9.140625" style="523" customWidth="1"/>
    <col min="12" max="12" width="9.140625" style="525" hidden="1" customWidth="1"/>
    <col min="13" max="13" width="9.140625" style="572" hidden="1" customWidth="1"/>
    <col min="14" max="16384" width="9.140625" style="523" customWidth="1"/>
  </cols>
  <sheetData>
    <row r="1" ht="37.5" customHeight="1">
      <c r="A1" s="806" t="str">
        <f>IF(Adatlap!L1="Magyar",Fordítások!C649,Fordítások!B649)</f>
        <v>Ezt a munkalapot csak mosószerek és gépi mosogatószerek esetén kell kitölteni.</v>
      </c>
    </row>
    <row r="3" spans="3:19" s="463" customFormat="1" ht="75" customHeight="1" hidden="1">
      <c r="C3" s="986" t="str">
        <f>IF(Adatlap!$L$1="Magyar",Fordítások!C310,Fordítások!B310)</f>
        <v>MOSÓ- ÉS TISZTÍTÓSZEREK</v>
      </c>
      <c r="D3" s="986"/>
      <c r="E3" s="986"/>
      <c r="F3" s="986"/>
      <c r="G3" s="986"/>
      <c r="H3" s="986"/>
      <c r="I3" s="986"/>
      <c r="J3" s="986"/>
      <c r="K3" s="492"/>
      <c r="L3" s="720"/>
      <c r="M3" s="719"/>
      <c r="N3" s="719"/>
      <c r="O3" s="720"/>
      <c r="P3" s="720"/>
      <c r="Q3" s="720"/>
      <c r="R3" s="720"/>
      <c r="S3" s="720"/>
    </row>
    <row r="4" ht="12.75" hidden="1"/>
    <row r="5" spans="1:2" ht="15.5" hidden="1">
      <c r="A5" s="578" t="str">
        <f>IF(Adatlap!$L$1="Magyar",Fordítások!C648,Fordítások!B648)</f>
        <v>1. kritérium – Adagolási követelmények</v>
      </c>
      <c r="B5" s="525"/>
    </row>
    <row r="6" ht="12.75" hidden="1"/>
    <row r="7" ht="12.75" hidden="1">
      <c r="A7" s="523" t="str">
        <f>IF(Adatlap!$L$1="Magyar",Fordítások!C652,Fordítások!B652)</f>
        <v>A pályázatban szereplő termék</v>
      </c>
    </row>
    <row r="8" ht="12.75" hidden="1"/>
    <row r="9" spans="2:13" ht="12.75" hidden="1">
      <c r="B9" s="1139" t="str">
        <f>IF(AND(L9=FALSE,L12=FALSE),IF(Adatlap!$L$1="Magyar","Jelölje be!","Please, check!"),"")</f>
        <v>Jelölje be!</v>
      </c>
      <c r="C9" s="523" t="str">
        <f>IF(Adatlap!$L$1="Magyar",CONCATENATE(Fordítások!C206," alakú termék"),CONCATENATE(Fordítások!B206," product"))</f>
        <v>Por alakú termék</v>
      </c>
      <c r="L9" s="540" t="b">
        <v>0</v>
      </c>
      <c r="M9" s="540" t="b">
        <v>0</v>
      </c>
    </row>
    <row r="10" spans="2:13" ht="12.75" hidden="1">
      <c r="B10" s="1139"/>
      <c r="L10" s="702"/>
      <c r="M10" s="540"/>
    </row>
    <row r="11" spans="12:13" ht="8.15" customHeight="1" hidden="1">
      <c r="L11" s="702"/>
      <c r="M11" s="540"/>
    </row>
    <row r="12" spans="2:13" ht="12.75" hidden="1">
      <c r="B12" s="1139" t="str">
        <f>IF(AND(L9=FALSE,L12=FALSE),IF(Adatlap!$L$1="Magyar","Jelölje be!","Please, check!"),"")</f>
        <v>Jelölje be!</v>
      </c>
      <c r="C12" s="523" t="str">
        <f>IF(Adatlap!L1="Magyar",Fordítások!C653,Fordítások!B653)</f>
        <v xml:space="preserve">Folyékony/gél állagú termék. </v>
      </c>
      <c r="E12" s="523" t="str">
        <f>IF(Adatlap!L1="Magyar",Fordítások!C654,Fordítások!B654)</f>
        <v>Kijelentem,  hogy a termék sűrűsége</v>
      </c>
      <c r="H12" s="1159"/>
      <c r="I12" s="1160"/>
      <c r="J12" s="807" t="s">
        <v>2025</v>
      </c>
      <c r="L12" s="540" t="b">
        <v>0</v>
      </c>
      <c r="M12" s="540" t="b">
        <v>0</v>
      </c>
    </row>
    <row r="13" spans="2:13" ht="12.75" hidden="1">
      <c r="B13" s="1139"/>
      <c r="L13" s="702"/>
      <c r="M13" s="540"/>
    </row>
    <row r="14" spans="12:13" ht="12.75" hidden="1">
      <c r="L14" s="702"/>
      <c r="M14" s="540"/>
    </row>
    <row r="15" spans="1:13" ht="12.75" hidden="1">
      <c r="A15" s="1139" t="str">
        <f>IF(L15=FALSE,IF(Adatlap!$L$1="Magyar","Jelölje be!","Please, check!"),"")</f>
        <v>Jelölje be!</v>
      </c>
      <c r="B15" s="523" t="str">
        <f>IF(Adatlap!$L$1="Magyar",Fordítások!C655,Fordítások!B655)</f>
        <v>Kijelentem, hogy a termék referenciaadagja nem haladja meg az alábbi határértéket.</v>
      </c>
      <c r="I15" s="1161" t="str">
        <f>IF(L15=TRUE,IF(Adatlap!L1="Magyar","Válassza ki a megfelelőt!","Please, select!"),"")</f>
        <v/>
      </c>
      <c r="J15" s="1161"/>
      <c r="L15" s="702" t="b">
        <v>0</v>
      </c>
      <c r="M15" s="540"/>
    </row>
    <row r="16" spans="1:13" ht="12.75" hidden="1">
      <c r="A16" s="1139"/>
      <c r="L16" s="702"/>
      <c r="M16" s="540"/>
    </row>
    <row r="17" spans="2:13" ht="12.75" hidden="1">
      <c r="B17" s="679"/>
      <c r="L17" s="702"/>
      <c r="M17" s="540"/>
    </row>
    <row r="18" spans="2:13" ht="12.75" hidden="1">
      <c r="B18" s="1139" t="str">
        <f>IF(AND(L18=FALSE,L21=FALSE),IF(Adatlap!$L$1="Magyar","Jelölje be!","Please, check!"),"")</f>
        <v>Jelölje be!</v>
      </c>
      <c r="C18" s="527" t="str">
        <f>IF(Adatlap!$L$1="Magyar",Fordítások!C656,Fordítások!B656)</f>
        <v>A termék intenzív tisztító hatású mosószer, színkímélő mosószer vagy kímélő mosószer.</v>
      </c>
      <c r="D18" s="527"/>
      <c r="E18" s="527"/>
      <c r="F18" s="527"/>
      <c r="G18" s="527"/>
      <c r="H18" s="527"/>
      <c r="I18" s="527"/>
      <c r="J18" s="527"/>
      <c r="L18" s="540" t="b">
        <v>0</v>
      </c>
      <c r="M18" s="540" t="b">
        <v>0</v>
      </c>
    </row>
    <row r="19" spans="2:13" ht="12.75" hidden="1">
      <c r="B19" s="1139"/>
      <c r="C19" s="527" t="str">
        <f>IF(Adatlap!$L$1="Magyar","A referenciaadag","The reference dosage is")</f>
        <v>A referenciaadag</v>
      </c>
      <c r="D19" s="763">
        <f>Termék!C40</f>
        <v>0</v>
      </c>
      <c r="E19" s="527" t="str">
        <f>IF(Adatlap!L$1="Magyar","g/1 kg mosnivaló","g/kg of laundry")</f>
        <v>g/1 kg mosnivaló</v>
      </c>
      <c r="F19" s="527"/>
      <c r="G19" s="527" t="str">
        <f>IF(Adatlap!$L$1="Magyar",Fordítások!C657,Fordítások!B657)</f>
        <v>(A határérték 16,0 g/1 kg mosnivaló.)</v>
      </c>
      <c r="H19" s="527"/>
      <c r="I19" s="527"/>
      <c r="J19" s="527"/>
      <c r="L19" s="702"/>
      <c r="M19" s="540"/>
    </row>
    <row r="20" spans="2:13" ht="12.75" hidden="1">
      <c r="B20" s="679"/>
      <c r="C20" s="527"/>
      <c r="D20" s="527"/>
      <c r="E20" s="527"/>
      <c r="F20" s="527"/>
      <c r="G20" s="527"/>
      <c r="H20" s="527"/>
      <c r="I20" s="527"/>
      <c r="J20" s="527"/>
      <c r="L20" s="702"/>
      <c r="M20" s="540"/>
    </row>
    <row r="21" spans="2:13" ht="12.75" hidden="1">
      <c r="B21" s="1139" t="str">
        <f>IF(AND(L18=FALSE,L21=FALSE),IF(Adatlap!$L$1="Magyar","Jelölje be!","Please, check!"),"")</f>
        <v>Jelölje be!</v>
      </c>
      <c r="C21" s="527" t="str">
        <f>IF(Adatlap!$L$1="Magyar",Fordítások!C658,Fordítások!B658)</f>
        <v>A termék egy folttisztító (csak előkezelésre).</v>
      </c>
      <c r="D21" s="527"/>
      <c r="E21" s="527"/>
      <c r="F21" s="527"/>
      <c r="G21" s="527"/>
      <c r="H21" s="527"/>
      <c r="I21" s="527"/>
      <c r="J21" s="527"/>
      <c r="L21" s="540" t="b">
        <v>0</v>
      </c>
      <c r="M21" s="540" t="b">
        <v>0</v>
      </c>
    </row>
    <row r="22" spans="2:13" ht="12.75" hidden="1">
      <c r="B22" s="1139"/>
      <c r="C22" s="527" t="str">
        <f>C19</f>
        <v>A referenciaadag</v>
      </c>
      <c r="D22" s="763">
        <f>Termék!C40</f>
        <v>0</v>
      </c>
      <c r="E22" s="527" t="str">
        <f>E19</f>
        <v>g/1 kg mosnivaló</v>
      </c>
      <c r="F22" s="527"/>
      <c r="G22" s="527" t="str">
        <f>IF(Adatlap!$L$1="Magyar",Fordítások!C659,Fordítások!B659)</f>
        <v>(A határérték 2,7 g/1 kg mosnivaló.)</v>
      </c>
      <c r="H22" s="527"/>
      <c r="I22" s="527"/>
      <c r="J22" s="527"/>
      <c r="L22" s="702"/>
      <c r="M22" s="540"/>
    </row>
    <row r="23" spans="12:13" ht="12.75" hidden="1">
      <c r="L23" s="702"/>
      <c r="M23" s="540"/>
    </row>
    <row r="24" spans="2:13" ht="12.75" hidden="1">
      <c r="B24" s="1139" t="str">
        <f>IF(AND(L21=FALSE,L24=FALSE),IF(Adatlap!$L$1="Magyar","Jelölje be!","Please, check!"),"")</f>
        <v>Jelölje be!</v>
      </c>
      <c r="C24" s="527" t="str">
        <f>IF(Adatlap!$L$1="Magyar",Fordítások!C698,Fordítások!B698)</f>
        <v>A termék egy egyfunkciós gépi mosogatószer.</v>
      </c>
      <c r="D24" s="527"/>
      <c r="E24" s="527"/>
      <c r="F24" s="527"/>
      <c r="G24" s="527"/>
      <c r="H24" s="527"/>
      <c r="I24" s="527"/>
      <c r="J24" s="527"/>
      <c r="L24" s="702" t="b">
        <v>0</v>
      </c>
      <c r="M24" s="540" t="b">
        <v>0</v>
      </c>
    </row>
    <row r="25" spans="2:13" ht="12.75" hidden="1">
      <c r="B25" s="1139"/>
      <c r="C25" s="527" t="str">
        <f>IF(Adatlap!$L$1="Magyar","A referenciaadag","The reference dosage is")</f>
        <v>A referenciaadag</v>
      </c>
      <c r="D25" s="919">
        <f>Termék!C40</f>
        <v>0</v>
      </c>
      <c r="E25" s="527" t="str">
        <f>IF(Adatlap!$L$1="Magyar",Fordítások!C701,Fordítások!B701)</f>
        <v>g/mosogatás      (A határérték 19,0 g/mosogatás).</v>
      </c>
      <c r="F25" s="527"/>
      <c r="G25" s="527"/>
      <c r="H25" s="527"/>
      <c r="I25" s="527"/>
      <c r="J25" s="527"/>
      <c r="L25" s="702"/>
      <c r="M25" s="540"/>
    </row>
    <row r="26" spans="12:13" ht="12.75" hidden="1">
      <c r="L26" s="702"/>
      <c r="M26" s="540"/>
    </row>
    <row r="27" spans="2:13" ht="12.75" hidden="1">
      <c r="B27" s="1139" t="str">
        <f>IF(AND(L24=FALSE,L27=FALSE),IF(Adatlap!$L$1="Magyar","Jelölje be!","Please, check!"),"")</f>
        <v>Jelölje be!</v>
      </c>
      <c r="C27" s="527" t="str">
        <f>IF(Adatlap!$L$1="Magyar",Fordítások!C699,Fordítások!B699)</f>
        <v>A termék egy többfunkciós gépi mosogatószer.</v>
      </c>
      <c r="D27" s="527"/>
      <c r="E27" s="527"/>
      <c r="F27" s="527"/>
      <c r="G27" s="527"/>
      <c r="H27" s="527"/>
      <c r="I27" s="527"/>
      <c r="J27" s="527"/>
      <c r="L27" s="702" t="b">
        <v>0</v>
      </c>
      <c r="M27" s="540" t="b">
        <v>0</v>
      </c>
    </row>
    <row r="28" spans="2:13" ht="12.75" hidden="1">
      <c r="B28" s="1139"/>
      <c r="C28" s="527" t="str">
        <f>IF(Adatlap!$L$1="Magyar","A referenciaadag","The reference dosage is")</f>
        <v>A referenciaadag</v>
      </c>
      <c r="D28" s="919">
        <f>Termék!C40</f>
        <v>0</v>
      </c>
      <c r="E28" s="527" t="str">
        <f>IF(Adatlap!$L$1="Magyar",Fordítások!C702,Fordítások!B702)</f>
        <v>g/mosogatás      (A határérték 21,0 g/mosogatás).</v>
      </c>
      <c r="F28" s="527"/>
      <c r="G28" s="527"/>
      <c r="H28" s="527"/>
      <c r="I28" s="527"/>
      <c r="J28" s="527"/>
      <c r="L28" s="702"/>
      <c r="M28" s="540"/>
    </row>
    <row r="29" spans="12:13" ht="12.75" hidden="1">
      <c r="L29" s="702"/>
      <c r="M29" s="540"/>
    </row>
    <row r="30" spans="2:13" ht="12.75" hidden="1">
      <c r="B30" s="1139" t="str">
        <f>IF(AND(L27=FALSE,L30=FALSE),IF(Adatlap!$L$1="Magyar","Jelölje be!","Please, check!"),"")</f>
        <v>Jelölje be!</v>
      </c>
      <c r="C30" s="527" t="str">
        <f>IF(Adatlap!$L$1="Magyar",Fordítások!C700,Fordítások!B700)</f>
        <v>A termék egy öblítő, és az öblítők mentesülnek az adagolási követelmény alól.</v>
      </c>
      <c r="D30" s="527"/>
      <c r="E30" s="527"/>
      <c r="F30" s="527"/>
      <c r="G30" s="527"/>
      <c r="H30" s="527"/>
      <c r="I30" s="527"/>
      <c r="J30" s="527"/>
      <c r="L30" s="702" t="b">
        <v>0</v>
      </c>
      <c r="M30" s="540" t="b">
        <v>0</v>
      </c>
    </row>
    <row r="31" spans="2:13" ht="12.75" hidden="1">
      <c r="B31" s="1139"/>
      <c r="C31" s="527"/>
      <c r="D31" s="919"/>
      <c r="E31" s="527"/>
      <c r="F31" s="527"/>
      <c r="G31" s="527"/>
      <c r="H31" s="527"/>
      <c r="I31" s="527"/>
      <c r="J31" s="527"/>
      <c r="L31" s="702"/>
      <c r="M31" s="540"/>
    </row>
    <row r="32" spans="12:13" ht="12.75" hidden="1">
      <c r="L32" s="702"/>
      <c r="M32" s="540"/>
    </row>
    <row r="33" spans="12:13" ht="12.75" hidden="1">
      <c r="L33" s="702"/>
      <c r="M33" s="540"/>
    </row>
    <row r="34" spans="1:13" ht="12.75" hidden="1">
      <c r="A34" s="1139" t="str">
        <f>IF(L34=FALSE,IF(Adatlap!$L$1="Magyar","Jelölje be!","Please, check!"),"")</f>
        <v>Jelölje be!</v>
      </c>
      <c r="B34" s="1158" t="str">
        <f>IF(Adatlap!L1="Magyar",Fordítások!C660,Fordítások!B660)</f>
        <v>Csatolom az adagolási utasításokat tartalmazó termékcímkét, valamint a folyékony és a gél állagú termékek sűrűségét (g/ml) igazoló dokumentációt.</v>
      </c>
      <c r="C34" s="1158"/>
      <c r="D34" s="1158"/>
      <c r="E34" s="1158"/>
      <c r="F34" s="1158"/>
      <c r="G34" s="1158"/>
      <c r="H34" s="1158"/>
      <c r="I34" s="1158"/>
      <c r="J34" s="1158"/>
      <c r="L34" s="702" t="b">
        <v>0</v>
      </c>
      <c r="M34" s="540"/>
    </row>
    <row r="35" spans="1:13" ht="12.75" hidden="1">
      <c r="A35" s="1139"/>
      <c r="B35" s="1158"/>
      <c r="C35" s="1158"/>
      <c r="D35" s="1158"/>
      <c r="E35" s="1158"/>
      <c r="F35" s="1158"/>
      <c r="G35" s="1158"/>
      <c r="H35" s="1158"/>
      <c r="I35" s="1158"/>
      <c r="J35" s="1158"/>
      <c r="L35" s="702"/>
      <c r="M35" s="540"/>
    </row>
    <row r="36" spans="12:13" ht="12.75" hidden="1">
      <c r="L36" s="702"/>
      <c r="M36" s="540"/>
    </row>
    <row r="37" ht="13" hidden="1">
      <c r="A37" s="717" t="str">
        <f>IF(AND(D19="",D22=""),IF(Adatlap!$L$1="Magyar",Fordítások!C661,Fordítások!B661),"")</f>
        <v/>
      </c>
    </row>
    <row r="38" ht="12.75" hidden="1"/>
    <row r="39" ht="12.75"/>
    <row r="40" ht="12.75"/>
    <row r="41" ht="12.75"/>
    <row r="42" ht="12.75"/>
  </sheetData>
  <sheetProtection algorithmName="SHA-512" hashValue="AC5TZ2z19BKfRbAzndvTJUt6dBE6u+6pEBDhrHwA8k7P1cYbUGDs+5FAO45T6TChvVVEW0NzoftESxv0Fs6bag==" saltValue="99uLAssJ/JEtB4q7VU4kCw==" spinCount="100000" sheet="1" objects="1" scenarios="1" selectLockedCells="1"/>
  <mergeCells count="13">
    <mergeCell ref="B21:B22"/>
    <mergeCell ref="B18:B19"/>
    <mergeCell ref="A34:A35"/>
    <mergeCell ref="B34:J35"/>
    <mergeCell ref="C3:J3"/>
    <mergeCell ref="B9:B10"/>
    <mergeCell ref="B12:B13"/>
    <mergeCell ref="H12:I12"/>
    <mergeCell ref="A15:A16"/>
    <mergeCell ref="B24:B25"/>
    <mergeCell ref="B27:B28"/>
    <mergeCell ref="B30:B31"/>
    <mergeCell ref="I15:J15"/>
  </mergeCells>
  <conditionalFormatting sqref="B9">
    <cfRule type="expression" priority="10" dxfId="0">
      <formula>AND(L9=FALSE,L12=FALSE)</formula>
    </cfRule>
  </conditionalFormatting>
  <conditionalFormatting sqref="B12:B13">
    <cfRule type="expression" priority="9" dxfId="0">
      <formula>AND(L9=FALSE,L12=FALSE)</formula>
    </cfRule>
  </conditionalFormatting>
  <conditionalFormatting sqref="A15:A16">
    <cfRule type="expression" priority="8" dxfId="0">
      <formula>$L$15=FALSE</formula>
    </cfRule>
  </conditionalFormatting>
  <conditionalFormatting sqref="B21">
    <cfRule type="expression" priority="6" dxfId="0">
      <formula>AND($L$18=FALSE,$L$21=FALSE)</formula>
    </cfRule>
  </conditionalFormatting>
  <conditionalFormatting sqref="B18:B19">
    <cfRule type="expression" priority="5" dxfId="0">
      <formula>AND($L$18=FALSE,$L$21=FALSE)</formula>
    </cfRule>
  </conditionalFormatting>
  <conditionalFormatting sqref="A34:A35">
    <cfRule type="expression" priority="4" dxfId="0">
      <formula>$L$34=FALSE</formula>
    </cfRule>
  </conditionalFormatting>
  <conditionalFormatting sqref="B24">
    <cfRule type="expression" priority="3" dxfId="0">
      <formula>AND($L$18=FALSE,$L$21=FALSE)</formula>
    </cfRule>
  </conditionalFormatting>
  <conditionalFormatting sqref="B27">
    <cfRule type="expression" priority="2" dxfId="0">
      <formula>AND($L$18=FALSE,$L$21=FALSE)</formula>
    </cfRule>
  </conditionalFormatting>
  <conditionalFormatting sqref="B30">
    <cfRule type="expression" priority="1" dxfId="0">
      <formula>AND($L$18=FALSE,$L$21=FALSE)</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90" r:id="rId3"/>
  <drawing r:id="rId2"/>
  <legacyDrawing r:id="rId1"/>
  <mc:AlternateContent xmlns:mc="http://schemas.openxmlformats.org/markup-compatibility/2006">
    <mc:Choice Requires="x14">
      <controls>
        <mc:AlternateContent>
          <mc:Choice Requires="x14">
            <control xmlns:r="http://schemas.openxmlformats.org/officeDocument/2006/relationships" shapeId="56321" r:id="rId4" name="Check Box 1">
              <controlPr defaultSize="0" autoFill="0" autoLine="0" autoPict="0" macro="[0]!LD_halmazállapot">
                <anchor moveWithCells="1">
                  <from>
                    <xdr:col>1</xdr:col>
                    <xdr:colOff>222250</xdr:colOff>
                    <xdr:row>7</xdr:row>
                    <xdr:rowOff>133350</xdr:rowOff>
                  </from>
                  <to>
                    <xdr:col>2</xdr:col>
                    <xdr:colOff>146050</xdr:colOff>
                    <xdr:row>39</xdr:row>
                    <xdr:rowOff>57150</xdr:rowOff>
                  </to>
                </anchor>
              </controlPr>
            </control>
          </mc:Choice>
        </mc:AlternateContent>
        <mc:AlternateContent>
          <mc:Choice Requires="x14">
            <control xmlns:r="http://schemas.openxmlformats.org/officeDocument/2006/relationships" shapeId="56322" r:id="rId5" name="Check Box 2">
              <controlPr defaultSize="0" autoFill="0" autoLine="0" autoPict="0" macro="[0]!LD_halmazállapot">
                <anchor moveWithCells="1">
                  <from>
                    <xdr:col>1</xdr:col>
                    <xdr:colOff>222250</xdr:colOff>
                    <xdr:row>10</xdr:row>
                    <xdr:rowOff>88900</xdr:rowOff>
                  </from>
                  <to>
                    <xdr:col>2</xdr:col>
                    <xdr:colOff>146050</xdr:colOff>
                    <xdr:row>39</xdr:row>
                    <xdr:rowOff>57150</xdr:rowOff>
                  </to>
                </anchor>
              </controlPr>
            </control>
          </mc:Choice>
        </mc:AlternateContent>
        <mc:AlternateContent>
          <mc:Choice Requires="x14">
            <control xmlns:r="http://schemas.openxmlformats.org/officeDocument/2006/relationships" shapeId="56324" r:id="rId7" name="Check Box 4">
              <controlPr defaultSize="0" autoFill="0" autoLine="0" autoPict="0" macro="[0]!LD_refadag">
                <anchor moveWithCells="1">
                  <from>
                    <xdr:col>1</xdr:col>
                    <xdr:colOff>222250</xdr:colOff>
                    <xdr:row>16</xdr:row>
                    <xdr:rowOff>146050</xdr:rowOff>
                  </from>
                  <to>
                    <xdr:col>2</xdr:col>
                    <xdr:colOff>146050</xdr:colOff>
                    <xdr:row>39</xdr:row>
                    <xdr:rowOff>69850</xdr:rowOff>
                  </to>
                </anchor>
              </controlPr>
            </control>
          </mc:Choice>
        </mc:AlternateContent>
        <mc:AlternateContent>
          <mc:Choice Requires="x14">
            <control xmlns:r="http://schemas.openxmlformats.org/officeDocument/2006/relationships" shapeId="56325" r:id="rId8" name="Check Box 5">
              <controlPr defaultSize="0" autoFill="0" autoLine="0" autoPict="0" macro="[0]!LD_refadag">
                <anchor moveWithCells="1">
                  <from>
                    <xdr:col>1</xdr:col>
                    <xdr:colOff>222250</xdr:colOff>
                    <xdr:row>19</xdr:row>
                    <xdr:rowOff>152400</xdr:rowOff>
                  </from>
                  <to>
                    <xdr:col>2</xdr:col>
                    <xdr:colOff>57150</xdr:colOff>
                    <xdr:row>39</xdr:row>
                    <xdr:rowOff>88900</xdr:rowOff>
                  </to>
                </anchor>
              </controlPr>
            </control>
          </mc:Choice>
        </mc:AlternateContent>
        <mc:AlternateContent>
          <mc:Choice Requires="x14">
            <control xmlns:r="http://schemas.openxmlformats.org/officeDocument/2006/relationships" shapeId="56327" r:id="rId10" name="Check Box 7">
              <controlPr defaultSize="0" autoFill="0" autoLine="0" autoPict="0" macro="[0]!LD_refadag">
                <anchor moveWithCells="1">
                  <from>
                    <xdr:col>1</xdr:col>
                    <xdr:colOff>222250</xdr:colOff>
                    <xdr:row>22</xdr:row>
                    <xdr:rowOff>146050</xdr:rowOff>
                  </from>
                  <to>
                    <xdr:col>2</xdr:col>
                    <xdr:colOff>146050</xdr:colOff>
                    <xdr:row>39</xdr:row>
                    <xdr:rowOff>69850</xdr:rowOff>
                  </to>
                </anchor>
              </controlPr>
            </control>
          </mc:Choice>
        </mc:AlternateContent>
        <mc:AlternateContent>
          <mc:Choice Requires="x14">
            <control xmlns:r="http://schemas.openxmlformats.org/officeDocument/2006/relationships" shapeId="56328" r:id="rId11" name="Check Box 8">
              <controlPr defaultSize="0" autoFill="0" autoLine="0" autoPict="0" macro="[0]!LD_refadag">
                <anchor moveWithCells="1">
                  <from>
                    <xdr:col>1</xdr:col>
                    <xdr:colOff>222250</xdr:colOff>
                    <xdr:row>25</xdr:row>
                    <xdr:rowOff>146050</xdr:rowOff>
                  </from>
                  <to>
                    <xdr:col>2</xdr:col>
                    <xdr:colOff>146050</xdr:colOff>
                    <xdr:row>39</xdr:row>
                    <xdr:rowOff>69850</xdr:rowOff>
                  </to>
                </anchor>
              </controlPr>
            </control>
          </mc:Choice>
        </mc:AlternateContent>
        <mc:AlternateContent>
          <mc:Choice Requires="x14">
            <control xmlns:r="http://schemas.openxmlformats.org/officeDocument/2006/relationships" shapeId="56329" r:id="rId12" name="Check Box 9">
              <controlPr defaultSize="0" autoFill="0" autoLine="0" autoPict="0" macro="[0]!LD_refadag">
                <anchor moveWithCells="1">
                  <from>
                    <xdr:col>1</xdr:col>
                    <xdr:colOff>222250</xdr:colOff>
                    <xdr:row>28</xdr:row>
                    <xdr:rowOff>146050</xdr:rowOff>
                  </from>
                  <to>
                    <xdr:col>2</xdr:col>
                    <xdr:colOff>146050</xdr:colOff>
                    <xdr:row>39</xdr:row>
                    <xdr:rowOff>69850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1">
    <tabColor rgb="FF92D050"/>
    <pageSetUpPr fitToPage="1"/>
  </sheetPr>
  <dimension ref="A1:CI807"/>
  <sheetViews>
    <sheetView workbookViewId="0" topLeftCell="A359">
      <selection activeCell="E476" sqref="E476:G476"/>
    </sheetView>
  </sheetViews>
  <sheetFormatPr defaultColWidth="9.140625" defaultRowHeight="12.75"/>
  <cols>
    <col min="1" max="1" width="9.140625" style="523" customWidth="1"/>
    <col min="2" max="2" width="9.00390625" style="523" customWidth="1"/>
    <col min="3" max="3" width="15.28125" style="523" customWidth="1"/>
    <col min="4" max="4" width="8.57421875" style="523" customWidth="1"/>
    <col min="5" max="5" width="8.8515625" style="523" customWidth="1"/>
    <col min="6" max="6" width="8.8515625" style="535" customWidth="1"/>
    <col min="7" max="8" width="8.8515625" style="813" customWidth="1"/>
    <col min="9" max="9" width="8.8515625" style="523" customWidth="1"/>
    <col min="10" max="10" width="11.8515625" style="523" customWidth="1"/>
    <col min="11" max="11" width="8.7109375" style="523" customWidth="1"/>
    <col min="12" max="12" width="8.7109375" style="572" hidden="1" customWidth="1"/>
    <col min="13" max="18" width="8.7109375" style="835" hidden="1" customWidth="1"/>
    <col min="19" max="19" width="8.28125" style="835" hidden="1" customWidth="1"/>
    <col min="20" max="20" width="9.140625" style="844" hidden="1" customWidth="1"/>
    <col min="21" max="21" width="9.140625" style="523" customWidth="1"/>
    <col min="22" max="69" width="8.7109375" style="523" customWidth="1"/>
  </cols>
  <sheetData>
    <row r="1" spans="3:20" s="463" customFormat="1" ht="90" customHeight="1">
      <c r="C1" s="986" t="str">
        <f>IF(Adatlap!L1="Magyar",Fordítások!C310,Fordítások!B310)</f>
        <v>MOSÓ- ÉS TISZTÍTÓSZEREK</v>
      </c>
      <c r="D1" s="986"/>
      <c r="E1" s="986"/>
      <c r="F1" s="986"/>
      <c r="G1" s="986"/>
      <c r="H1" s="986"/>
      <c r="I1" s="986"/>
      <c r="J1" s="986"/>
      <c r="K1" s="492"/>
      <c r="L1" s="719"/>
      <c r="M1" s="833"/>
      <c r="N1" s="833"/>
      <c r="O1" s="833"/>
      <c r="P1" s="833"/>
      <c r="Q1" s="833"/>
      <c r="R1" s="833"/>
      <c r="S1" s="833"/>
      <c r="T1" s="834"/>
    </row>
    <row r="2" spans="1:23" ht="21.75" customHeight="1">
      <c r="A2" s="572"/>
      <c r="B2" s="572"/>
      <c r="C2" s="572"/>
      <c r="D2" s="572"/>
      <c r="E2" s="572"/>
      <c r="F2" s="627"/>
      <c r="G2" s="635"/>
      <c r="H2" s="635"/>
      <c r="I2" s="572"/>
      <c r="J2" s="572"/>
      <c r="K2" s="572"/>
      <c r="T2" s="835"/>
      <c r="U2" s="572"/>
      <c r="V2" s="572"/>
      <c r="W2" s="572"/>
    </row>
    <row r="3" spans="1:69" s="524" customFormat="1" ht="19.5" customHeight="1">
      <c r="A3" s="1304" t="str">
        <f>IF(OR(Adatlap!$M$3=3,Adatlap!$M$3=4),IF(Adatlap!L1="Magyar",Fordítások!C663,Fordítások!B663),IF(Adatlap!L1="Magyar",Fordítások!C662,Fordítások!B662))</f>
        <v xml:space="preserve">1. kritérium - </v>
      </c>
      <c r="B3" s="1304"/>
      <c r="C3" s="1305" t="str">
        <f>IF(Adatlap!L1="Magyar",Fordítások!C360,Fordítások!B360)</f>
        <v>Vízi szervezetekre gyakorolt mérgező hatás</v>
      </c>
      <c r="D3" s="1305"/>
      <c r="E3" s="1305"/>
      <c r="F3" s="1305"/>
      <c r="G3" s="1305"/>
      <c r="H3" s="1305"/>
      <c r="I3" s="1305"/>
      <c r="J3" s="1305"/>
      <c r="K3" s="715"/>
      <c r="L3" s="715"/>
      <c r="M3" s="836"/>
      <c r="N3" s="837"/>
      <c r="O3" s="837"/>
      <c r="P3" s="837"/>
      <c r="Q3" s="837"/>
      <c r="R3" s="837"/>
      <c r="S3" s="837"/>
      <c r="T3" s="837"/>
      <c r="U3" s="716"/>
      <c r="V3" s="716"/>
      <c r="W3" s="716"/>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row>
    <row r="4" spans="1:23" ht="12.75">
      <c r="A4" s="572"/>
      <c r="B4" s="572"/>
      <c r="C4" s="572"/>
      <c r="D4" s="572"/>
      <c r="E4" s="572"/>
      <c r="F4" s="627"/>
      <c r="G4" s="635"/>
      <c r="H4" s="635"/>
      <c r="I4" s="572"/>
      <c r="J4" s="572"/>
      <c r="K4" s="572"/>
      <c r="T4" s="835"/>
      <c r="U4" s="572"/>
      <c r="V4" s="572"/>
      <c r="W4" s="572"/>
    </row>
    <row r="5" spans="1:23" ht="27" customHeight="1">
      <c r="A5" s="596" t="str">
        <f>IF(L5=FALSE,IF(Adatlap!$L$1="Magyar","Jelölje be!","Please, check!"),"")</f>
        <v>Jelölje be!</v>
      </c>
      <c r="B5" s="1283" t="str">
        <f>IF(Adatlap!$L$1="Magyar",Fordítások!C361,Fordítások!B361)</f>
        <v>Kijelentem, hogy a termék kritikus hígítási térfogata (KHTkrónikus) nem haladja meg a referenciaadagra vonatkozó határértékeket.</v>
      </c>
      <c r="C5" s="1283"/>
      <c r="D5" s="1283"/>
      <c r="E5" s="1283"/>
      <c r="F5" s="1283"/>
      <c r="G5" s="1283"/>
      <c r="H5" s="1283"/>
      <c r="I5" s="1283"/>
      <c r="J5" s="1283"/>
      <c r="K5" s="572"/>
      <c r="L5" s="718" t="b">
        <v>0</v>
      </c>
      <c r="M5" s="1321" t="s">
        <v>2072</v>
      </c>
      <c r="N5" s="1321"/>
      <c r="O5" s="1321"/>
      <c r="T5" s="835"/>
      <c r="U5" s="572"/>
      <c r="V5" s="572"/>
      <c r="W5" s="572"/>
    </row>
    <row r="6" spans="1:23" ht="12.75" customHeight="1">
      <c r="A6" s="572"/>
      <c r="B6" s="572"/>
      <c r="C6" s="572"/>
      <c r="D6" s="572"/>
      <c r="E6" s="572"/>
      <c r="F6" s="627"/>
      <c r="G6" s="635"/>
      <c r="H6" s="635"/>
      <c r="I6" s="572"/>
      <c r="J6" s="572"/>
      <c r="K6" s="572"/>
      <c r="M6" s="1321" t="s">
        <v>2073</v>
      </c>
      <c r="N6" s="1322" t="s">
        <v>2074</v>
      </c>
      <c r="O6" s="1323" t="s">
        <v>2075</v>
      </c>
      <c r="P6" s="925" t="s">
        <v>2189</v>
      </c>
      <c r="T6" s="835"/>
      <c r="U6" s="572"/>
      <c r="V6" s="572"/>
      <c r="W6" s="572"/>
    </row>
    <row r="7" spans="1:87" ht="12.75" customHeight="1">
      <c r="A7" s="1317" t="str">
        <f>IF(Adatlap!$L$1="Magyar",Fordítások!C7,Fordítások!B7)</f>
        <v>A termék fajtája:</v>
      </c>
      <c r="B7" s="1318"/>
      <c r="C7" s="1318"/>
      <c r="D7" s="1318"/>
      <c r="E7" s="1318"/>
      <c r="F7" s="1318"/>
      <c r="G7" s="1290" t="str">
        <f>IF(Adatlap!$L$1="Magyar",Fordítások!C91,Fordítások!B91)</f>
        <v>KHT krónikus</v>
      </c>
      <c r="H7" s="1291"/>
      <c r="I7" s="1290" t="str">
        <f>IF(Adatlap!$L$1="Magyar",Fordítások!C364,Fordítások!B364)</f>
        <v>A KHT határértéke</v>
      </c>
      <c r="J7" s="1291"/>
      <c r="K7" s="572"/>
      <c r="L7" s="1314" t="s">
        <v>1329</v>
      </c>
      <c r="M7" s="1321"/>
      <c r="N7" s="1322"/>
      <c r="O7" s="1323"/>
      <c r="P7" s="926" t="s">
        <v>2190</v>
      </c>
      <c r="S7" s="721"/>
      <c r="T7" s="835"/>
      <c r="U7" s="572"/>
      <c r="V7" s="572"/>
      <c r="W7" s="572"/>
      <c r="BZ7" s="2"/>
      <c r="CA7" s="2"/>
      <c r="CB7" s="2"/>
      <c r="CC7" s="2"/>
      <c r="CD7" s="2"/>
      <c r="CE7" s="2"/>
      <c r="CF7" s="2"/>
      <c r="CG7" s="2"/>
      <c r="CH7" s="2"/>
      <c r="CI7" s="2"/>
    </row>
    <row r="8" spans="1:87" ht="12.75" customHeight="1">
      <c r="A8" s="1319"/>
      <c r="B8" s="1320"/>
      <c r="C8" s="1320"/>
      <c r="D8" s="1320"/>
      <c r="E8" s="1320"/>
      <c r="F8" s="1320"/>
      <c r="G8" s="1292" t="str">
        <f>IF(Adatlap!$L$1="Magyar",CONCATENATE("(l/l ",Fordítások!C362,")"),CONCATENATE("l6l of ",Fordítások!B362,")"))</f>
        <v>(l/l tisztítószer oldat)</v>
      </c>
      <c r="H8" s="1293"/>
      <c r="I8" s="1292" t="str">
        <f>IF(Adatlap!$L$1="Magyar",CONCATENATE("(l/l ",Fordítások!C362,")"),CONCATENATE("l6l of ",Fordítások!B362,")"))</f>
        <v>(l/l tisztítószer oldat)</v>
      </c>
      <c r="J8" s="1293"/>
      <c r="K8" s="572"/>
      <c r="L8" s="1314"/>
      <c r="M8" s="1321"/>
      <c r="N8" s="1322"/>
      <c r="O8" s="838"/>
      <c r="P8" s="838"/>
      <c r="T8" s="835"/>
      <c r="U8" s="572"/>
      <c r="V8" s="572"/>
      <c r="W8" s="572"/>
      <c r="BZ8" s="2"/>
      <c r="CA8" s="2"/>
      <c r="CB8" s="2"/>
      <c r="CC8" s="2"/>
      <c r="CD8" s="2"/>
      <c r="CE8" s="2"/>
      <c r="CF8" s="2"/>
      <c r="CG8" s="2"/>
      <c r="CH8" s="2"/>
      <c r="CI8" s="2"/>
    </row>
    <row r="9" spans="1:87" s="662" customFormat="1" ht="12.75" customHeight="1">
      <c r="A9" s="1315" t="s">
        <v>992</v>
      </c>
      <c r="B9" s="1316"/>
      <c r="C9" s="1316"/>
      <c r="D9" s="1316"/>
      <c r="E9" s="1316"/>
      <c r="F9" s="1316"/>
      <c r="G9" s="1313" t="str">
        <f>IF(M9=TRUE,IF(ISERROR('Eredmények-1'!E62=TRUE),"",'Eredmények-1'!E62),"")</f>
        <v/>
      </c>
      <c r="H9" s="1169"/>
      <c r="I9" s="1294">
        <v>2500</v>
      </c>
      <c r="J9" s="1295"/>
      <c r="K9" s="820"/>
      <c r="L9" s="893" t="str">
        <f>IF(G9="","",IF(G9&gt;I9,FALSE,TRUE))</f>
        <v/>
      </c>
      <c r="M9" s="839" t="b">
        <f>IF(Termék!$C$24=A9,TRUE,FALSE)</f>
        <v>0</v>
      </c>
      <c r="N9" s="840" t="b">
        <f>IF(Nyilatkozatok_1!L17=TRUE,TRUE,FALSE)</f>
        <v>0</v>
      </c>
      <c r="O9" s="839"/>
      <c r="P9" s="839" t="b">
        <f>IF(Nyilatkozatok_LD!L24=TRUE,TRUE,FALSE)</f>
        <v>0</v>
      </c>
      <c r="Q9" s="839"/>
      <c r="R9" s="839"/>
      <c r="S9" s="839"/>
      <c r="T9" s="839"/>
      <c r="U9" s="820"/>
      <c r="V9" s="820"/>
      <c r="W9" s="820"/>
      <c r="X9" s="653"/>
      <c r="Y9" s="653"/>
      <c r="Z9" s="653"/>
      <c r="AA9" s="653"/>
      <c r="AB9" s="653"/>
      <c r="AC9" s="653"/>
      <c r="AD9" s="653"/>
      <c r="AE9" s="653"/>
      <c r="AF9" s="653"/>
      <c r="AG9" s="653"/>
      <c r="AH9" s="653"/>
      <c r="AI9" s="653"/>
      <c r="AJ9" s="653"/>
      <c r="AK9" s="653"/>
      <c r="AL9" s="653"/>
      <c r="AM9" s="653"/>
      <c r="AN9" s="653"/>
      <c r="AO9" s="653"/>
      <c r="AP9" s="653"/>
      <c r="AQ9" s="653"/>
      <c r="AR9" s="653"/>
      <c r="AS9" s="653"/>
      <c r="AT9" s="653"/>
      <c r="AU9" s="653"/>
      <c r="AV9" s="653"/>
      <c r="AW9" s="653"/>
      <c r="AX9" s="653"/>
      <c r="AY9" s="653"/>
      <c r="AZ9" s="653"/>
      <c r="BA9" s="653"/>
      <c r="BB9" s="653"/>
      <c r="BC9" s="653"/>
      <c r="BD9" s="653"/>
      <c r="BE9" s="653"/>
      <c r="BF9" s="653"/>
      <c r="BG9" s="653"/>
      <c r="BH9" s="653"/>
      <c r="BI9" s="653"/>
      <c r="BJ9" s="653"/>
      <c r="BK9" s="653"/>
      <c r="BL9" s="653"/>
      <c r="BM9" s="653"/>
      <c r="BN9" s="653"/>
      <c r="BO9" s="653"/>
      <c r="BP9" s="653"/>
      <c r="BQ9" s="653"/>
      <c r="BZ9" s="2"/>
      <c r="CA9" s="2"/>
      <c r="CB9" s="2"/>
      <c r="CC9" s="2"/>
      <c r="CD9" s="2"/>
      <c r="CE9" s="2"/>
      <c r="CF9" s="2"/>
      <c r="CG9" s="2"/>
      <c r="CH9" s="2"/>
      <c r="CI9" s="2"/>
    </row>
    <row r="10" spans="1:87" ht="12.75" customHeight="1" hidden="1">
      <c r="A10" s="1315" t="s">
        <v>1139</v>
      </c>
      <c r="B10" s="1316"/>
      <c r="C10" s="1316"/>
      <c r="D10" s="1316"/>
      <c r="E10" s="1316"/>
      <c r="F10" s="1316"/>
      <c r="G10" s="1313" t="str">
        <f>IF(M10=TRUE,IF(ISERROR('Eredmények-1'!E62=TRUE),"",'Eredmények-1'!E62),"")</f>
        <v/>
      </c>
      <c r="H10" s="1169"/>
      <c r="I10" s="1294">
        <v>20000</v>
      </c>
      <c r="J10" s="1295"/>
      <c r="K10" s="572"/>
      <c r="L10" s="598" t="str">
        <f>IF(G10="","",IF(G10&gt;I10,FALSE,TRUE))</f>
        <v/>
      </c>
      <c r="M10" s="835" t="b">
        <f>IF(Termék!$C$24=A10,TRUE,FALSE)</f>
        <v>0</v>
      </c>
      <c r="N10" s="838" t="b">
        <f>IF(Nyilatkozatok_1!L19=TRUE,TRUE,FALSE)</f>
        <v>0</v>
      </c>
      <c r="P10" s="839" t="b">
        <f>IF(Nyilatkozatok_LD!L25=TRUE,TRUE,FALSE)</f>
        <v>0</v>
      </c>
      <c r="T10" s="835"/>
      <c r="U10" s="572"/>
      <c r="V10" s="572"/>
      <c r="W10" s="572"/>
      <c r="BZ10" s="2"/>
      <c r="CA10" s="2"/>
      <c r="CB10" s="2"/>
      <c r="CC10" s="2"/>
      <c r="CD10" s="2"/>
      <c r="CE10" s="2"/>
      <c r="CF10" s="2"/>
      <c r="CG10" s="2"/>
      <c r="CH10" s="2"/>
      <c r="CI10" s="2"/>
    </row>
    <row r="11" spans="1:23" ht="12.75" customHeight="1" hidden="1">
      <c r="A11" s="1315" t="s">
        <v>1035</v>
      </c>
      <c r="B11" s="1316"/>
      <c r="C11" s="1316"/>
      <c r="D11" s="1316"/>
      <c r="E11" s="1316"/>
      <c r="F11" s="1316"/>
      <c r="G11" s="1313" t="str">
        <f>IF(M11=TRUE,IF(ISERROR('Eredmények-1'!E62=TRUE),"",'Eredmények-1'!E62),"")</f>
        <v/>
      </c>
      <c r="H11" s="1169"/>
      <c r="I11" s="1294">
        <v>3500</v>
      </c>
      <c r="J11" s="1295"/>
      <c r="K11" s="572"/>
      <c r="L11" s="598" t="str">
        <f>IF(G11="","",IF(G11&gt;I11,FALSE,TRUE))</f>
        <v/>
      </c>
      <c r="M11" s="835" t="b">
        <f>IF(Termék!$C$24=A11,TRUE,FALSE)</f>
        <v>0</v>
      </c>
      <c r="N11" s="838" t="b">
        <f>IF(Nyilatkozatok_1!L21=TRUE,TRUE,FALSE)</f>
        <v>0</v>
      </c>
      <c r="P11" s="839" t="b">
        <f>IF(Nyilatkozatok_LD!L26=TRUE,TRUE,FALSE)</f>
        <v>0</v>
      </c>
      <c r="T11" s="835"/>
      <c r="U11" s="572"/>
      <c r="V11" s="572"/>
      <c r="W11" s="572"/>
    </row>
    <row r="12" spans="1:23" ht="12.75" customHeight="1" hidden="1">
      <c r="A12" s="1315" t="s">
        <v>1251</v>
      </c>
      <c r="B12" s="1316"/>
      <c r="C12" s="1316"/>
      <c r="D12" s="1316"/>
      <c r="E12" s="1316"/>
      <c r="F12" s="1316"/>
      <c r="G12" s="1313" t="str">
        <f>IF(M12=TRUE,IF(ISERROR('Eredmények-1'!E62=TRUE),"",'Eredmények-1'!E62),"")</f>
        <v/>
      </c>
      <c r="H12" s="1169"/>
      <c r="I12" s="1294">
        <v>45000</v>
      </c>
      <c r="J12" s="1295"/>
      <c r="K12" s="572"/>
      <c r="L12" s="598" t="str">
        <f aca="true" t="shared" si="0" ref="L12:L16">IF(G12="","",IF(G12&gt;I12,FALSE,TRUE))</f>
        <v/>
      </c>
      <c r="M12" s="835" t="b">
        <f>IF(Termék!$C$24=A12,TRUE,FALSE)</f>
        <v>0</v>
      </c>
      <c r="N12" s="835" t="b">
        <f>IF(Nyilatkozatok_1!L23=TRUE,TRUE,FALSE)</f>
        <v>0</v>
      </c>
      <c r="O12" s="841"/>
      <c r="P12" s="841"/>
      <c r="Q12" s="841"/>
      <c r="T12" s="835"/>
      <c r="U12" s="572"/>
      <c r="V12" s="572"/>
      <c r="W12" s="572"/>
    </row>
    <row r="13" spans="1:23" ht="12.75" customHeight="1" hidden="1">
      <c r="A13" s="1315" t="s">
        <v>1252</v>
      </c>
      <c r="B13" s="1316"/>
      <c r="C13" s="1316"/>
      <c r="D13" s="1316"/>
      <c r="E13" s="1316"/>
      <c r="F13" s="1316"/>
      <c r="G13" s="1313" t="str">
        <f>IF(M13=TRUE,IF(ISERROR('Eredmények-1'!E62=TRUE),"",'Eredmények-1'!E62),"")</f>
        <v/>
      </c>
      <c r="H13" s="1169"/>
      <c r="I13" s="1294">
        <v>48000</v>
      </c>
      <c r="J13" s="1295"/>
      <c r="K13" s="572"/>
      <c r="L13" s="598" t="str">
        <f t="shared" si="0"/>
        <v/>
      </c>
      <c r="M13" s="835" t="b">
        <f>IF(Termék!$C$24=A13,TRUE,FALSE)</f>
        <v>0</v>
      </c>
      <c r="N13" s="838"/>
      <c r="T13" s="835"/>
      <c r="U13" s="572"/>
      <c r="V13" s="572"/>
      <c r="W13" s="572"/>
    </row>
    <row r="14" spans="1:23" ht="12.75" customHeight="1" hidden="1">
      <c r="A14" s="1315" t="s">
        <v>1253</v>
      </c>
      <c r="B14" s="1316"/>
      <c r="C14" s="1316"/>
      <c r="D14" s="1316"/>
      <c r="E14" s="1316"/>
      <c r="F14" s="1316"/>
      <c r="G14" s="1313" t="str">
        <f>IF(M14=TRUE,IF(ISERROR('Eredmények-1'!E62=TRUE),"",'Eredmények-1'!E62),"")</f>
        <v/>
      </c>
      <c r="H14" s="1169"/>
      <c r="I14" s="1294">
        <v>18000</v>
      </c>
      <c r="J14" s="1295"/>
      <c r="K14" s="572"/>
      <c r="L14" s="598" t="str">
        <f t="shared" si="0"/>
        <v/>
      </c>
      <c r="M14" s="835" t="b">
        <f>IF(Termék!$C$24=A14,TRUE,FALSE)</f>
        <v>0</v>
      </c>
      <c r="N14" s="838"/>
      <c r="T14" s="835"/>
      <c r="U14" s="572"/>
      <c r="V14" s="572"/>
      <c r="W14" s="572"/>
    </row>
    <row r="15" spans="1:23" ht="12.75" customHeight="1" hidden="1">
      <c r="A15" s="1315" t="s">
        <v>1490</v>
      </c>
      <c r="B15" s="1316"/>
      <c r="C15" s="1316"/>
      <c r="D15" s="1316"/>
      <c r="E15" s="1316"/>
      <c r="F15" s="1316"/>
      <c r="G15" s="1313" t="str">
        <f>IF(M15=TRUE,IF(ISERROR('Eredmények-1'!E62=TRUE),"",'Eredmények-1'!E62),"")</f>
        <v/>
      </c>
      <c r="H15" s="1169"/>
      <c r="I15" s="1294">
        <v>600000</v>
      </c>
      <c r="J15" s="1295"/>
      <c r="K15" s="572"/>
      <c r="L15" s="598" t="str">
        <f t="shared" si="0"/>
        <v/>
      </c>
      <c r="M15" s="835" t="b">
        <f>IF(Termék!$C$24=A15,TRUE,FALSE)</f>
        <v>0</v>
      </c>
      <c r="N15" s="838"/>
      <c r="T15" s="835"/>
      <c r="U15" s="572"/>
      <c r="V15" s="572"/>
      <c r="W15" s="572"/>
    </row>
    <row r="16" spans="1:23" ht="12.75" customHeight="1" hidden="1">
      <c r="A16" s="1315" t="s">
        <v>1491</v>
      </c>
      <c r="B16" s="1316"/>
      <c r="C16" s="1316"/>
      <c r="D16" s="1316"/>
      <c r="E16" s="1316"/>
      <c r="F16" s="1316"/>
      <c r="G16" s="1313" t="str">
        <f>IF(M16=TRUE,IF(ISERROR('Eredmények-1'!E62=TRUE),"",'Eredmények-1'!E62),"")</f>
        <v/>
      </c>
      <c r="H16" s="1169"/>
      <c r="I16" s="1294">
        <v>45000</v>
      </c>
      <c r="J16" s="1295"/>
      <c r="K16" s="572"/>
      <c r="L16" s="598" t="str">
        <f t="shared" si="0"/>
        <v/>
      </c>
      <c r="M16" s="835" t="b">
        <f>IF(Termék!$C$24=A16,TRUE,FALSE)</f>
        <v>0</v>
      </c>
      <c r="T16" s="835"/>
      <c r="U16" s="572"/>
      <c r="V16" s="572"/>
      <c r="W16" s="572"/>
    </row>
    <row r="17" spans="1:23" ht="16.5" customHeight="1">
      <c r="A17" s="572"/>
      <c r="B17" s="572"/>
      <c r="C17" s="572"/>
      <c r="D17" s="572"/>
      <c r="E17" s="572"/>
      <c r="F17" s="627"/>
      <c r="G17" s="635"/>
      <c r="H17" s="635"/>
      <c r="I17" s="572"/>
      <c r="J17" s="572"/>
      <c r="K17" s="572"/>
      <c r="P17" s="1351" t="s">
        <v>2119</v>
      </c>
      <c r="Q17" s="1352"/>
      <c r="R17" s="721" t="s">
        <v>2121</v>
      </c>
      <c r="S17" s="721"/>
      <c r="T17" s="835"/>
      <c r="U17" s="572"/>
      <c r="V17" s="572"/>
      <c r="W17" s="572"/>
    </row>
    <row r="18" spans="1:23" ht="26.25" customHeight="1">
      <c r="A18" s="596" t="str">
        <f>IF(L18=FALSE,IF(Adatlap!$L$1="Magyar","Jelölje be!","Please, check!"),"")</f>
        <v>Jelölje be!</v>
      </c>
      <c r="B18" s="1283" t="str">
        <f>IF(Adatlap!$L1="Magyar",Fordítások!C363,Fordítások!B363)</f>
        <v>Csatolom a a termék kritikus hígítási térfogatára vonatkozó számítást tartalmazó munkalapot.</v>
      </c>
      <c r="C18" s="1283"/>
      <c r="D18" s="1283"/>
      <c r="E18" s="1283"/>
      <c r="F18" s="1283"/>
      <c r="G18" s="1283"/>
      <c r="H18" s="1283"/>
      <c r="I18" s="1283"/>
      <c r="J18" s="1283"/>
      <c r="K18" s="572"/>
      <c r="L18" s="572" t="b">
        <v>0</v>
      </c>
      <c r="P18" s="1353" t="s">
        <v>2120</v>
      </c>
      <c r="Q18" s="1354"/>
      <c r="R18" s="721" t="s">
        <v>2117</v>
      </c>
      <c r="S18" s="721"/>
      <c r="T18" s="835"/>
      <c r="U18" s="572"/>
      <c r="V18" s="572"/>
      <c r="W18" s="572"/>
    </row>
    <row r="19" spans="1:23" ht="5.15" customHeight="1">
      <c r="A19" s="572"/>
      <c r="B19" s="572"/>
      <c r="C19" s="572"/>
      <c r="D19" s="572"/>
      <c r="E19" s="572"/>
      <c r="F19" s="627"/>
      <c r="G19" s="635"/>
      <c r="H19" s="635"/>
      <c r="I19" s="572"/>
      <c r="J19" s="572"/>
      <c r="K19" s="572"/>
      <c r="P19" s="889"/>
      <c r="Q19" s="890"/>
      <c r="R19" s="721"/>
      <c r="S19" s="721"/>
      <c r="T19" s="835"/>
      <c r="U19" s="572"/>
      <c r="V19" s="572"/>
      <c r="W19" s="572"/>
    </row>
    <row r="20" spans="1:69" s="497" customFormat="1" ht="13">
      <c r="A20" s="597" t="str">
        <f>IF(AND(L22=FALSE,L24=FALSE),IF(Adatlap!L1="Magyar",Fordítások!C365,Fordítások!B365),"")</f>
        <v>Válasszon az alábbi két válasz közül:</v>
      </c>
      <c r="B20" s="598"/>
      <c r="C20" s="598"/>
      <c r="D20" s="598"/>
      <c r="E20" s="598"/>
      <c r="F20" s="628"/>
      <c r="G20" s="636"/>
      <c r="H20" s="636"/>
      <c r="I20" s="598"/>
      <c r="J20" s="598"/>
      <c r="K20" s="598"/>
      <c r="L20" s="598"/>
      <c r="M20" s="721"/>
      <c r="N20" s="721"/>
      <c r="O20" s="721"/>
      <c r="P20" s="1355" t="s">
        <v>2118</v>
      </c>
      <c r="Q20" s="1356"/>
      <c r="R20" s="721" t="s">
        <v>2122</v>
      </c>
      <c r="S20" s="721"/>
      <c r="T20" s="721"/>
      <c r="U20" s="598"/>
      <c r="V20" s="598"/>
      <c r="W20" s="598"/>
      <c r="X20" s="525"/>
      <c r="Y20" s="525"/>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5"/>
      <c r="BA20" s="525"/>
      <c r="BB20" s="525"/>
      <c r="BC20" s="525"/>
      <c r="BD20" s="525"/>
      <c r="BE20" s="525"/>
      <c r="BF20" s="525"/>
      <c r="BG20" s="525"/>
      <c r="BH20" s="525"/>
      <c r="BI20" s="525"/>
      <c r="BJ20" s="525"/>
      <c r="BK20" s="525"/>
      <c r="BL20" s="525"/>
      <c r="BM20" s="525"/>
      <c r="BN20" s="525"/>
      <c r="BO20" s="525"/>
      <c r="BP20" s="525"/>
      <c r="BQ20" s="525"/>
    </row>
    <row r="21" spans="1:23" ht="5.15" customHeight="1">
      <c r="A21" s="572"/>
      <c r="B21" s="572"/>
      <c r="C21" s="572"/>
      <c r="D21" s="572"/>
      <c r="E21" s="572"/>
      <c r="F21" s="627"/>
      <c r="G21" s="635"/>
      <c r="H21" s="635"/>
      <c r="I21" s="572"/>
      <c r="J21" s="572"/>
      <c r="K21" s="572"/>
      <c r="P21" s="889"/>
      <c r="Q21" s="890"/>
      <c r="R21" s="721"/>
      <c r="S21" s="721"/>
      <c r="T21" s="835"/>
      <c r="U21" s="572"/>
      <c r="V21" s="572"/>
      <c r="W21" s="572"/>
    </row>
    <row r="22" spans="1:23" ht="27" customHeight="1">
      <c r="A22" s="596" t="str">
        <f>IF(AND(L22=FALSE,L24=FALSE),IF(Adatlap!$L$1="Magyar","Jelölje be!","Please, check!"),"")</f>
        <v>Jelölje be!</v>
      </c>
      <c r="B22" s="1283" t="str">
        <f>IF(Adatlap!L1="Magyar",Fordítások!C366,Fordítások!B366)</f>
        <v>A termék valamennyi összetevője szerepel a DID-jegyzék A. részében.</v>
      </c>
      <c r="C22" s="1283"/>
      <c r="D22" s="1283"/>
      <c r="E22" s="1283"/>
      <c r="F22" s="1283"/>
      <c r="G22" s="1283"/>
      <c r="H22" s="1283"/>
      <c r="I22" s="1283"/>
      <c r="J22" s="1283"/>
      <c r="K22" s="572"/>
      <c r="L22" s="572" t="b">
        <v>0</v>
      </c>
      <c r="N22" s="835" t="b">
        <v>0</v>
      </c>
      <c r="O22" s="842" t="s">
        <v>1351</v>
      </c>
      <c r="P22" s="892">
        <f>COUNTIF(Alapanyagok_DID!E13:E61,'DID List'!A7)</f>
        <v>0</v>
      </c>
      <c r="Q22" s="891"/>
      <c r="R22" s="721" t="b">
        <f>OR(AND(P22&gt;0,L22=TRUE),AND(L24=TRUE,P22=0))</f>
        <v>0</v>
      </c>
      <c r="S22" s="721"/>
      <c r="T22" s="717"/>
      <c r="U22" s="572"/>
      <c r="V22" s="572"/>
      <c r="W22" s="572"/>
    </row>
    <row r="23" spans="1:23" ht="12.75">
      <c r="A23" s="572"/>
      <c r="B23" s="721" t="str">
        <f>IF(R22=TRUE,IF(Adatlap!L1="Magyar",Fordítások!C688,Fordítások!B688),"")</f>
        <v/>
      </c>
      <c r="C23" s="572"/>
      <c r="D23" s="572"/>
      <c r="E23" s="572"/>
      <c r="F23" s="627"/>
      <c r="G23" s="635"/>
      <c r="H23" s="635"/>
      <c r="I23" s="572"/>
      <c r="J23" s="572"/>
      <c r="K23" s="572"/>
      <c r="O23" s="843" t="s">
        <v>1352</v>
      </c>
      <c r="P23" s="721"/>
      <c r="Q23" s="721"/>
      <c r="R23" s="721"/>
      <c r="S23" s="721"/>
      <c r="T23" s="835"/>
      <c r="U23" s="572"/>
      <c r="V23" s="572"/>
      <c r="W23" s="572"/>
    </row>
    <row r="24" spans="1:23" ht="27" customHeight="1">
      <c r="A24" s="596" t="str">
        <f>IF(AND(L22=FALSE,L24=FALSE),IF(Adatlap!$L$1="Magyar","Jelölje be!","Please, check!"),"")</f>
        <v>Jelölje be!</v>
      </c>
      <c r="B24" s="1283" t="str">
        <f>IF(Adatlap!L1="Magyar",Fordítások!C367,Fordítások!B367)</f>
        <v>A termék összetevői közül az alábbi táblázatban feltüntetettek nem szerepelnek a DID-jegyzék A. részében.</v>
      </c>
      <c r="C24" s="1283"/>
      <c r="D24" s="1283"/>
      <c r="E24" s="1283"/>
      <c r="F24" s="1283"/>
      <c r="G24" s="1283"/>
      <c r="H24" s="1283"/>
      <c r="I24" s="1283"/>
      <c r="J24" s="1283"/>
      <c r="K24" s="572"/>
      <c r="L24" s="572" t="b">
        <v>0</v>
      </c>
      <c r="N24" s="721" t="b">
        <v>0</v>
      </c>
      <c r="S24" s="721" t="s">
        <v>2130</v>
      </c>
      <c r="T24" s="529" t="s">
        <v>2131</v>
      </c>
      <c r="U24" s="572"/>
      <c r="V24" s="572"/>
      <c r="W24" s="572"/>
    </row>
    <row r="25" spans="1:23" ht="12.75">
      <c r="A25" s="572"/>
      <c r="B25" s="572"/>
      <c r="C25" s="572"/>
      <c r="D25" s="572"/>
      <c r="E25" s="572"/>
      <c r="F25" s="627"/>
      <c r="G25" s="635"/>
      <c r="H25" s="635"/>
      <c r="I25" s="572"/>
      <c r="J25" s="572"/>
      <c r="K25" s="572"/>
      <c r="T25" s="835"/>
      <c r="U25" s="572"/>
      <c r="V25" s="572"/>
      <c r="W25" s="572"/>
    </row>
    <row r="26" spans="1:23" ht="16.5" customHeight="1">
      <c r="A26" s="572"/>
      <c r="B26" s="1284" t="str">
        <f>IF(Adatlap!L1="Magyar",Fordítások!C368,Fordítások!B368)</f>
        <v>Az összetevő neve</v>
      </c>
      <c r="C26" s="1284"/>
      <c r="D26" s="1284"/>
      <c r="E26" s="1288" t="str">
        <f>IF(Adatlap!L1="Magyar",Fordítások!C38,Fordítások!B38)</f>
        <v>Aerob</v>
      </c>
      <c r="F26" s="1288"/>
      <c r="G26" s="1286" t="str">
        <f>IF(Adatlap!L1="Magyar",Fordítások!C369,Fordítások!B369)</f>
        <v>Krónikus  vagy akut toxicitási tényező</v>
      </c>
      <c r="H26" s="1286"/>
      <c r="I26" s="1286" t="str">
        <f>IF(Adatlap!L1="Magyar",Fordítások!C370,Fordítások!B370)</f>
        <v>Vízben nem oldódó vagy nehezen oldható szervetlen anyag</v>
      </c>
      <c r="J26" s="1286"/>
      <c r="K26" s="572"/>
      <c r="N26" s="721"/>
      <c r="P26" s="721" t="s">
        <v>1399</v>
      </c>
      <c r="S26" s="835">
        <f>MATCH("utolsó_sor _1",N1:N100)</f>
        <v>39</v>
      </c>
      <c r="T26" s="835">
        <f>MATCH("utolso_sor_2",N1:N100)</f>
        <v>70</v>
      </c>
      <c r="U26" s="572"/>
      <c r="V26" s="572"/>
      <c r="W26" s="572"/>
    </row>
    <row r="27" spans="1:23" ht="20.25" customHeight="1">
      <c r="A27" s="572"/>
      <c r="B27" s="1285"/>
      <c r="C27" s="1285"/>
      <c r="D27" s="1285"/>
      <c r="E27" s="1289" t="str">
        <f>IF(Adatlap!L1="Magyar","lebonthatóság","degradability")</f>
        <v>lebonthatóság</v>
      </c>
      <c r="F27" s="1289"/>
      <c r="G27" s="1287"/>
      <c r="H27" s="1287"/>
      <c r="I27" s="1287"/>
      <c r="J27" s="1287"/>
      <c r="K27" s="572"/>
      <c r="N27" s="835" t="b">
        <v>0</v>
      </c>
      <c r="T27" s="835"/>
      <c r="U27" s="572"/>
      <c r="V27" s="572"/>
      <c r="W27" s="572"/>
    </row>
    <row r="28" spans="1:20" ht="25" customHeight="1">
      <c r="A28" s="572"/>
      <c r="B28" s="1275"/>
      <c r="C28" s="1276"/>
      <c r="D28" s="1276"/>
      <c r="E28" s="1277"/>
      <c r="F28" s="1278"/>
      <c r="G28" s="1279"/>
      <c r="H28" s="1280"/>
      <c r="I28" s="1281"/>
      <c r="J28" s="1282"/>
      <c r="S28" s="721"/>
      <c r="T28" s="529"/>
    </row>
    <row r="29" spans="1:14" ht="25" customHeight="1">
      <c r="A29" s="572"/>
      <c r="B29" s="1275"/>
      <c r="C29" s="1276"/>
      <c r="D29" s="1276"/>
      <c r="E29" s="1277"/>
      <c r="F29" s="1278"/>
      <c r="G29" s="1279"/>
      <c r="H29" s="1280"/>
      <c r="I29" s="1281"/>
      <c r="J29" s="1282"/>
      <c r="N29" s="835" t="b">
        <v>0</v>
      </c>
    </row>
    <row r="30" spans="1:69" s="559" customFormat="1" ht="25" customHeight="1">
      <c r="A30" s="618"/>
      <c r="B30" s="1296"/>
      <c r="C30" s="1297"/>
      <c r="D30" s="1297"/>
      <c r="E30" s="1298"/>
      <c r="F30" s="1299"/>
      <c r="G30" s="1300"/>
      <c r="H30" s="1301"/>
      <c r="I30" s="1302"/>
      <c r="J30" s="1303"/>
      <c r="K30" s="575"/>
      <c r="L30" s="575"/>
      <c r="M30" s="845"/>
      <c r="N30" s="845"/>
      <c r="O30" s="845"/>
      <c r="P30" s="845"/>
      <c r="Q30" s="845"/>
      <c r="R30" s="845"/>
      <c r="S30" s="845"/>
      <c r="T30" s="846"/>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8"/>
      <c r="AY30" s="558"/>
      <c r="AZ30" s="558"/>
      <c r="BA30" s="558"/>
      <c r="BB30" s="558"/>
      <c r="BC30" s="558"/>
      <c r="BD30" s="558"/>
      <c r="BE30" s="558"/>
      <c r="BF30" s="558"/>
      <c r="BG30" s="558"/>
      <c r="BH30" s="558"/>
      <c r="BI30" s="558"/>
      <c r="BJ30" s="558"/>
      <c r="BK30" s="558"/>
      <c r="BL30" s="558"/>
      <c r="BM30" s="558"/>
      <c r="BN30" s="558"/>
      <c r="BO30" s="558"/>
      <c r="BP30" s="558"/>
      <c r="BQ30" s="558"/>
    </row>
    <row r="31" spans="1:11" ht="25" customHeight="1">
      <c r="A31" s="618"/>
      <c r="B31" s="1306"/>
      <c r="C31" s="1307"/>
      <c r="D31" s="1307"/>
      <c r="E31" s="1308"/>
      <c r="F31" s="1309"/>
      <c r="G31" s="1310"/>
      <c r="H31" s="1311"/>
      <c r="I31" s="1312"/>
      <c r="J31" s="1267"/>
      <c r="K31" s="572"/>
    </row>
    <row r="32" spans="1:11" ht="25" customHeight="1">
      <c r="A32" s="619"/>
      <c r="B32" s="1260"/>
      <c r="C32" s="1261"/>
      <c r="D32" s="1261"/>
      <c r="E32" s="1262"/>
      <c r="F32" s="1263"/>
      <c r="G32" s="1264"/>
      <c r="H32" s="1265"/>
      <c r="I32" s="1266"/>
      <c r="J32" s="1267"/>
      <c r="K32" s="572"/>
    </row>
    <row r="33" spans="1:11" ht="25" customHeight="1">
      <c r="A33" s="619"/>
      <c r="B33" s="1275"/>
      <c r="C33" s="1276"/>
      <c r="D33" s="1276"/>
      <c r="E33" s="1277"/>
      <c r="F33" s="1278"/>
      <c r="G33" s="1279"/>
      <c r="H33" s="1280"/>
      <c r="I33" s="1281"/>
      <c r="J33" s="1303"/>
      <c r="K33" s="572"/>
    </row>
    <row r="34" spans="1:11" ht="25" customHeight="1">
      <c r="A34" s="617"/>
      <c r="B34" s="1275"/>
      <c r="C34" s="1276"/>
      <c r="D34" s="1276"/>
      <c r="E34" s="1277"/>
      <c r="F34" s="1278"/>
      <c r="G34" s="1279"/>
      <c r="H34" s="1280"/>
      <c r="I34" s="1281"/>
      <c r="J34" s="1303"/>
      <c r="K34" s="572"/>
    </row>
    <row r="35" spans="1:11" ht="25" customHeight="1">
      <c r="A35" s="619"/>
      <c r="B35" s="1275"/>
      <c r="C35" s="1276"/>
      <c r="D35" s="1276"/>
      <c r="E35" s="1277"/>
      <c r="F35" s="1278"/>
      <c r="G35" s="1279"/>
      <c r="H35" s="1280"/>
      <c r="I35" s="1281"/>
      <c r="J35" s="1303"/>
      <c r="K35" s="572"/>
    </row>
    <row r="36" spans="1:11" ht="25" customHeight="1">
      <c r="A36" s="619"/>
      <c r="B36" s="1275"/>
      <c r="C36" s="1276"/>
      <c r="D36" s="1276"/>
      <c r="E36" s="1277"/>
      <c r="F36" s="1278"/>
      <c r="G36" s="1279"/>
      <c r="H36" s="1280"/>
      <c r="I36" s="1281"/>
      <c r="J36" s="1303"/>
      <c r="K36" s="572"/>
    </row>
    <row r="37" spans="1:11" ht="25" customHeight="1">
      <c r="A37" s="619"/>
      <c r="B37" s="1275"/>
      <c r="C37" s="1276"/>
      <c r="D37" s="1276"/>
      <c r="E37" s="1277"/>
      <c r="F37" s="1278"/>
      <c r="G37" s="1279"/>
      <c r="H37" s="1280"/>
      <c r="I37" s="1281"/>
      <c r="J37" s="1303"/>
      <c r="K37" s="572"/>
    </row>
    <row r="38" spans="1:11" ht="25" customHeight="1">
      <c r="A38" s="617"/>
      <c r="B38" s="1275"/>
      <c r="C38" s="1276"/>
      <c r="D38" s="1276"/>
      <c r="E38" s="1277"/>
      <c r="F38" s="1278"/>
      <c r="G38" s="1279"/>
      <c r="H38" s="1280"/>
      <c r="I38" s="1281"/>
      <c r="J38" s="1303"/>
      <c r="K38" s="572"/>
    </row>
    <row r="39" spans="1:14" ht="25" customHeight="1">
      <c r="A39" s="619"/>
      <c r="B39" s="1324"/>
      <c r="C39" s="1325"/>
      <c r="D39" s="1325"/>
      <c r="E39" s="1326"/>
      <c r="F39" s="1327"/>
      <c r="G39" s="1150"/>
      <c r="H39" s="1328"/>
      <c r="I39" s="1284"/>
      <c r="J39" s="1329"/>
      <c r="K39" s="572"/>
      <c r="N39" s="721" t="s">
        <v>1398</v>
      </c>
    </row>
    <row r="40" spans="1:10" ht="12.75">
      <c r="A40" s="572"/>
      <c r="B40" s="572"/>
      <c r="C40" s="572"/>
      <c r="D40" s="572"/>
      <c r="E40" s="572"/>
      <c r="F40" s="627"/>
      <c r="G40" s="635"/>
      <c r="H40" s="635"/>
      <c r="I40" s="572"/>
      <c r="J40" s="572"/>
    </row>
    <row r="41" spans="1:18" ht="30.75" customHeight="1">
      <c r="A41" s="528" t="str">
        <f>IF(AND(L41=FALSE,L24=TRUE),IF(Adatlap!L1="Magyar","Jelölje be!","Please, check!"),"")</f>
        <v/>
      </c>
      <c r="B41" s="1202" t="str">
        <f>IF(Adatlap!L1="Magyar",Fordítások!C371,Fordítások!B371)</f>
        <v>Csatolom a DID-jegyzék A. részében nem szereplő összetevők akut és krónikus toxicitási értékeit, valamint az aerob módon történő biológiai lebonthatóságát tartalmazó aláírt nyilatkozatot. Csatolom továbbá az akut és krónikus toxicitási tényező, illetve a biológiai lebonthatósági tényező kiszámítását, továbbá a számításhoz használt adatokat alátámasztó dokumentációt.</v>
      </c>
      <c r="C41" s="1202"/>
      <c r="D41" s="1202"/>
      <c r="E41" s="1202"/>
      <c r="F41" s="1202"/>
      <c r="G41" s="1202"/>
      <c r="H41" s="1202"/>
      <c r="I41" s="1202"/>
      <c r="J41" s="1202"/>
      <c r="L41" s="572" t="b">
        <v>0</v>
      </c>
      <c r="R41" s="723"/>
    </row>
    <row r="42" spans="2:10" ht="22.5" customHeight="1">
      <c r="B42" s="1202"/>
      <c r="C42" s="1202"/>
      <c r="D42" s="1202"/>
      <c r="E42" s="1202"/>
      <c r="F42" s="1202"/>
      <c r="G42" s="1202"/>
      <c r="H42" s="1202"/>
      <c r="I42" s="1202"/>
      <c r="J42" s="1202"/>
    </row>
    <row r="43" spans="2:10" ht="12.75" customHeight="1">
      <c r="B43" s="810"/>
      <c r="C43" s="810"/>
      <c r="D43" s="810"/>
      <c r="E43" s="810"/>
      <c r="F43" s="629"/>
      <c r="G43" s="637"/>
      <c r="H43" s="637"/>
      <c r="I43" s="810"/>
      <c r="J43" s="810"/>
    </row>
    <row r="44" spans="1:15" ht="17.25" customHeight="1">
      <c r="A44" s="1333" t="str">
        <f>IF(OR(Adatlap!$M$3=3,Adatlap!$M$3=4),IF(Adatlap!L1="Magyar",Fordítások!C664,Fordítások!B664),IF(Adatlap!L1="Magyar",Fordítások!C663,Fordítások!B663))</f>
        <v xml:space="preserve">2. kritérium - </v>
      </c>
      <c r="B44" s="1333"/>
      <c r="C44" s="808" t="str">
        <f>IF(Adatlap!L1="Magyar",Fordítások!C374,Fordítások!B374)</f>
        <v>Biológiai lebonthatóság</v>
      </c>
      <c r="D44" s="808"/>
      <c r="E44" s="808"/>
      <c r="F44" s="808"/>
      <c r="G44" s="808"/>
      <c r="H44" s="808"/>
      <c r="I44" s="808"/>
      <c r="J44" s="808"/>
      <c r="O44" s="721" t="s">
        <v>1042</v>
      </c>
    </row>
    <row r="45" spans="2:15" ht="12.75" customHeight="1">
      <c r="B45" s="810"/>
      <c r="C45" s="810"/>
      <c r="D45" s="810"/>
      <c r="E45" s="810"/>
      <c r="F45" s="629"/>
      <c r="G45" s="637"/>
      <c r="H45" s="637"/>
      <c r="I45" s="810"/>
      <c r="J45" s="810"/>
      <c r="O45" s="835" t="str">
        <f>IF(AND(COUNTIFS(Alapanyagok!H13:H61,Auswahldaten!A16)&gt;COUNTIFS(Alapanyagok!AC13:AC61,TRUE),Nyilatkozatok_3!L48=TRUE),IF(Adatlap!L1="Magyar",Fordítások!C377,Fordítások!B377),"")</f>
        <v/>
      </c>
    </row>
    <row r="46" spans="1:16" ht="12.75" customHeight="1">
      <c r="A46" s="599" t="str">
        <f>IF(Adatlap!L1="Magyar","a)","(a)")</f>
        <v>a)</v>
      </c>
      <c r="B46" s="1336" t="str">
        <f>IF(Adatlap!L1="Magyar",Fordítások!C375,Fordítások!B375)</f>
        <v>A felületaktív anyagok biológiai lebonthatósága</v>
      </c>
      <c r="C46" s="1336"/>
      <c r="D46" s="1336"/>
      <c r="E46" s="1336"/>
      <c r="F46" s="1336"/>
      <c r="G46" s="1336"/>
      <c r="H46" s="1336"/>
      <c r="I46" s="1336"/>
      <c r="J46" s="1336"/>
      <c r="N46" s="721"/>
      <c r="P46" s="721"/>
    </row>
    <row r="47" spans="2:14" ht="12.75" customHeight="1">
      <c r="B47" s="810"/>
      <c r="C47" s="810"/>
      <c r="D47" s="810"/>
      <c r="E47" s="810"/>
      <c r="F47" s="629"/>
      <c r="G47" s="637"/>
      <c r="H47" s="637"/>
      <c r="I47" s="810"/>
      <c r="J47" s="810"/>
      <c r="N47" s="721"/>
    </row>
    <row r="48" spans="1:18" ht="28.5" customHeight="1">
      <c r="A48" s="528" t="str">
        <f>IF(L48=FALSE,IF(Adatlap!$L$1="Magyar","Jelölje be!","Please, check!"),"")</f>
        <v>Jelölje be!</v>
      </c>
      <c r="B48" s="1202" t="str">
        <f>IF(Adatlap!L$1="Magyar",Fordítások!C376,Fordítások!B376)</f>
        <v>Kijelentem, hogy a termék kizárólag (aerob körülmények között) biológiailag könnyen lebomló felületaktív anyagokat tartalmaz.</v>
      </c>
      <c r="C48" s="1202"/>
      <c r="D48" s="1202"/>
      <c r="E48" s="1202"/>
      <c r="F48" s="1202"/>
      <c r="G48" s="1202"/>
      <c r="H48" s="1202"/>
      <c r="I48" s="1202"/>
      <c r="J48" s="1202"/>
      <c r="L48" s="718" t="b">
        <v>0</v>
      </c>
      <c r="N48" s="721"/>
      <c r="R48" s="723"/>
    </row>
    <row r="49" spans="2:10" ht="12.75">
      <c r="B49" s="1337" t="str">
        <f>IF(AND(COUNTIFS(Alapanyagok!H13:H61,Auswahldaten!A16)&gt;COUNTIFS(Alapanyagok!AC13:AC61,TRUE),Nyilatkozatok_3!L48=TRUE),IF(Adatlap!L1="Magyar",Fordítások!C377,Fordítások!B377),"")</f>
        <v/>
      </c>
      <c r="C49" s="1337"/>
      <c r="D49" s="1337"/>
      <c r="E49" s="1337"/>
      <c r="F49" s="1337"/>
      <c r="G49" s="1337"/>
      <c r="H49" s="1337"/>
      <c r="I49" s="1337"/>
      <c r="J49" s="1337"/>
    </row>
    <row r="50" spans="1:18" ht="24.75" customHeight="1">
      <c r="A50" s="528" t="str">
        <f>IF(L50=FALSE,IF(Adatlap!$L$1="Magyar","Jelölje be!","Please, check!"),"")</f>
        <v>Jelölje be!</v>
      </c>
      <c r="B50" s="1202" t="str">
        <f>IF(Adatlap!L$1="Magyar",Fordítások!C378,Fordítások!B378)</f>
        <v>Kijelentem, hogy a termékben található minden olyan felületaktív anyag, amely az 1272/2008/EK európai parlamenti és tanácsi rendelet szerint veszélyes a vízi környezetre (H400 vagy H412 besorolású), anaerob körülmények között is biológiailag lebontható.</v>
      </c>
      <c r="C50" s="1202"/>
      <c r="D50" s="1202"/>
      <c r="E50" s="1202"/>
      <c r="F50" s="1202"/>
      <c r="G50" s="1202"/>
      <c r="H50" s="1202"/>
      <c r="I50" s="1202"/>
      <c r="J50" s="1202"/>
      <c r="L50" s="718" t="b">
        <v>0</v>
      </c>
      <c r="R50" s="723"/>
    </row>
    <row r="51" spans="2:10" ht="15.75" customHeight="1">
      <c r="B51" s="1202"/>
      <c r="C51" s="1202"/>
      <c r="D51" s="1202"/>
      <c r="E51" s="1202"/>
      <c r="F51" s="1202"/>
      <c r="G51" s="1202"/>
      <c r="H51" s="1202"/>
      <c r="I51" s="1202"/>
      <c r="J51" s="1202"/>
    </row>
    <row r="52" ht="5.15" customHeight="1"/>
    <row r="53" ht="13">
      <c r="A53" s="597" t="str">
        <f>IF(AND(L55=FALSE,L57=FALSE),IF(Adatlap!L1="Magyar",Fordítások!C365,Fordítások!B365),"")</f>
        <v>Válasszon az alábbi két válasz közül:</v>
      </c>
    </row>
    <row r="54" ht="5.15" customHeight="1"/>
    <row r="55" spans="1:18" ht="24" customHeight="1">
      <c r="A55" s="596" t="str">
        <f>IF(L55=FALSE,IF(Adatlap!$L$1="Magyar","Jelölje be!","Please, check!"),"")</f>
        <v>Jelölje be!</v>
      </c>
      <c r="B55" s="1202" t="str">
        <f>IF(Adatlap!L1="Magyar",Fordítások!C379,Fordítások!B379)</f>
        <v>A termékben található minden felületaktív anyag szerepel a DID-jegyzék A. részében.</v>
      </c>
      <c r="C55" s="1202"/>
      <c r="D55" s="1202"/>
      <c r="E55" s="1202"/>
      <c r="F55" s="1202"/>
      <c r="G55" s="1202"/>
      <c r="H55" s="1202"/>
      <c r="I55" s="1202"/>
      <c r="J55" s="1202"/>
      <c r="L55" s="718" t="b">
        <v>0</v>
      </c>
      <c r="N55" s="849" t="b">
        <v>0</v>
      </c>
      <c r="O55" s="849" t="b">
        <v>0</v>
      </c>
      <c r="R55" s="723"/>
    </row>
    <row r="56" spans="12:15" ht="16.5" customHeight="1">
      <c r="L56" s="718"/>
      <c r="N56" s="849"/>
      <c r="O56" s="849"/>
    </row>
    <row r="57" spans="1:18" ht="26.25" customHeight="1">
      <c r="A57" s="596" t="str">
        <f>IF(L57=FALSE,IF(Adatlap!$L$1="Magyar","Jelölje be!","Please, check!"),"")</f>
        <v>Jelölje be!</v>
      </c>
      <c r="B57" s="1158" t="str">
        <f>IF(Adatlap!L1="Magyar",Fordítások!C380,Fordítások!B380)</f>
        <v>A termékben található felületaktív anyagok közül az alábbi táblázatban felsorolt anyagok nem szerepelnek a DID-jegyzék A. részében.</v>
      </c>
      <c r="C57" s="1158"/>
      <c r="D57" s="1158"/>
      <c r="E57" s="1158"/>
      <c r="F57" s="1158"/>
      <c r="G57" s="1158"/>
      <c r="H57" s="1158"/>
      <c r="I57" s="1158"/>
      <c r="J57" s="1158"/>
      <c r="L57" s="718" t="b">
        <v>0</v>
      </c>
      <c r="N57" s="849" t="b">
        <v>0</v>
      </c>
      <c r="O57" s="849" t="b">
        <v>0</v>
      </c>
      <c r="R57" s="723"/>
    </row>
    <row r="59" spans="1:69" s="564" customFormat="1" ht="53.25" customHeight="1">
      <c r="A59" s="527"/>
      <c r="B59" s="1209" t="str">
        <f>IF(Adatlap!$L$1="Magyar",Fordítások!C381,Fordítások!B381)</f>
        <v>A felületaktív anyag neve</v>
      </c>
      <c r="C59" s="1209"/>
      <c r="D59" s="1209"/>
      <c r="E59" s="1209" t="str">
        <f>IF(Adatlap!$L$1="Magyar",Fordítások!C382,Fordítások!B382)</f>
        <v>A vízi környezetre veszélyes besorolású anyag (H400, H412)</v>
      </c>
      <c r="F59" s="1209"/>
      <c r="G59" s="1209"/>
      <c r="H59" s="1198" t="str">
        <f>IF(Adatlap!$L$1="Magyar",Fordítások!C383,Fordítások!B383)</f>
        <v>Anaerob körülmények között biológiailag lebontható</v>
      </c>
      <c r="I59" s="1334"/>
      <c r="J59" s="600"/>
      <c r="K59" s="527"/>
      <c r="L59" s="573"/>
      <c r="M59" s="847"/>
      <c r="N59" s="847"/>
      <c r="O59" s="847"/>
      <c r="P59" s="847"/>
      <c r="Q59" s="847"/>
      <c r="R59" s="847"/>
      <c r="S59" s="847"/>
      <c r="T59" s="848"/>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527"/>
      <c r="AS59" s="527"/>
      <c r="AT59" s="527"/>
      <c r="AU59" s="527"/>
      <c r="AV59" s="527"/>
      <c r="AW59" s="527"/>
      <c r="AX59" s="527"/>
      <c r="AY59" s="527"/>
      <c r="AZ59" s="527"/>
      <c r="BA59" s="527"/>
      <c r="BB59" s="527"/>
      <c r="BC59" s="527"/>
      <c r="BD59" s="527"/>
      <c r="BE59" s="527"/>
      <c r="BF59" s="527"/>
      <c r="BG59" s="527"/>
      <c r="BH59" s="527"/>
      <c r="BI59" s="527"/>
      <c r="BJ59" s="527"/>
      <c r="BK59" s="527"/>
      <c r="BL59" s="527"/>
      <c r="BM59" s="527"/>
      <c r="BN59" s="527"/>
      <c r="BO59" s="527"/>
      <c r="BP59" s="527"/>
      <c r="BQ59" s="527"/>
    </row>
    <row r="60" spans="2:10" ht="25" customHeight="1">
      <c r="B60" s="1332"/>
      <c r="C60" s="1332"/>
      <c r="D60" s="1332"/>
      <c r="E60" s="1332"/>
      <c r="F60" s="1332"/>
      <c r="G60" s="1332"/>
      <c r="H60" s="1330"/>
      <c r="I60" s="1331"/>
      <c r="J60" s="601"/>
    </row>
    <row r="61" spans="2:10" ht="25" customHeight="1">
      <c r="B61" s="1332"/>
      <c r="C61" s="1332"/>
      <c r="D61" s="1332"/>
      <c r="E61" s="1332"/>
      <c r="F61" s="1332"/>
      <c r="G61" s="1332"/>
      <c r="H61" s="1330"/>
      <c r="I61" s="1331"/>
      <c r="J61" s="601"/>
    </row>
    <row r="62" spans="2:10" ht="25" customHeight="1">
      <c r="B62" s="1332"/>
      <c r="C62" s="1332"/>
      <c r="D62" s="1332"/>
      <c r="E62" s="1332"/>
      <c r="F62" s="1332"/>
      <c r="G62" s="1332"/>
      <c r="H62" s="1330"/>
      <c r="I62" s="1331"/>
      <c r="J62" s="601"/>
    </row>
    <row r="63" spans="2:10" ht="25" customHeight="1">
      <c r="B63" s="1332"/>
      <c r="C63" s="1332"/>
      <c r="D63" s="1332"/>
      <c r="E63" s="1332"/>
      <c r="F63" s="1332"/>
      <c r="G63" s="1332"/>
      <c r="H63" s="1330"/>
      <c r="I63" s="1331"/>
      <c r="J63" s="601"/>
    </row>
    <row r="64" spans="2:10" ht="25" customHeight="1">
      <c r="B64" s="1332"/>
      <c r="C64" s="1332"/>
      <c r="D64" s="1332"/>
      <c r="E64" s="1332"/>
      <c r="F64" s="1332"/>
      <c r="G64" s="1332"/>
      <c r="H64" s="1330"/>
      <c r="I64" s="1331"/>
      <c r="J64" s="601"/>
    </row>
    <row r="65" spans="2:10" ht="25" customHeight="1">
      <c r="B65" s="1332"/>
      <c r="C65" s="1332"/>
      <c r="D65" s="1332"/>
      <c r="E65" s="1332"/>
      <c r="F65" s="1332"/>
      <c r="G65" s="1332"/>
      <c r="H65" s="1330"/>
      <c r="I65" s="1331"/>
      <c r="J65" s="601"/>
    </row>
    <row r="66" spans="2:10" ht="25" customHeight="1">
      <c r="B66" s="1332"/>
      <c r="C66" s="1332"/>
      <c r="D66" s="1332"/>
      <c r="E66" s="1332"/>
      <c r="F66" s="1332"/>
      <c r="G66" s="1332"/>
      <c r="H66" s="1330"/>
      <c r="I66" s="1331"/>
      <c r="J66" s="601"/>
    </row>
    <row r="67" spans="2:10" ht="25" customHeight="1">
      <c r="B67" s="1332"/>
      <c r="C67" s="1332"/>
      <c r="D67" s="1332"/>
      <c r="E67" s="1332"/>
      <c r="F67" s="1332"/>
      <c r="G67" s="1332"/>
      <c r="H67" s="1330"/>
      <c r="I67" s="1331"/>
      <c r="J67" s="601"/>
    </row>
    <row r="68" spans="2:10" ht="25" customHeight="1">
      <c r="B68" s="1332"/>
      <c r="C68" s="1332"/>
      <c r="D68" s="1332"/>
      <c r="E68" s="1332"/>
      <c r="F68" s="1332"/>
      <c r="G68" s="1332"/>
      <c r="H68" s="1330"/>
      <c r="I68" s="1331"/>
      <c r="J68" s="601"/>
    </row>
    <row r="69" spans="2:17" ht="25" customHeight="1">
      <c r="B69" s="1332"/>
      <c r="C69" s="1332"/>
      <c r="D69" s="1332"/>
      <c r="E69" s="1332"/>
      <c r="F69" s="1332"/>
      <c r="G69" s="1332"/>
      <c r="H69" s="1330"/>
      <c r="I69" s="1331"/>
      <c r="J69" s="601"/>
      <c r="Q69" s="721" t="s">
        <v>2126</v>
      </c>
    </row>
    <row r="70" spans="2:17" ht="25" customHeight="1">
      <c r="B70" s="1332"/>
      <c r="C70" s="1332"/>
      <c r="D70" s="1332"/>
      <c r="E70" s="1332"/>
      <c r="F70" s="1332"/>
      <c r="G70" s="1332"/>
      <c r="H70" s="1330"/>
      <c r="I70" s="1331"/>
      <c r="J70" s="601"/>
      <c r="N70" s="721" t="s">
        <v>2125</v>
      </c>
      <c r="Q70" s="835">
        <f>MATCH("utolso_sor_2",N55:N87)+54</f>
        <v>70</v>
      </c>
    </row>
    <row r="72" spans="1:12" ht="27" customHeight="1">
      <c r="A72" s="528" t="str">
        <f>IF(L72=FALSE,IF(Adatlap!L1="Magyar","Jelölje be!","Please, check!"),"")</f>
        <v>Jelölje be!</v>
      </c>
      <c r="B72" s="1202" t="str">
        <f>IF(Adatlap!L1="Magyar",Fordítások!C384,Fordítások!B384)</f>
        <v>Csatolom a DID-jegyzék A. részében nem szereplő felületaktív anyagok biológiai lebonthatóságára vonatkozó dokumentációt.</v>
      </c>
      <c r="C72" s="1202"/>
      <c r="D72" s="1202"/>
      <c r="E72" s="1202"/>
      <c r="F72" s="1202"/>
      <c r="G72" s="1202"/>
      <c r="H72" s="1202"/>
      <c r="I72" s="1202"/>
      <c r="J72" s="1202"/>
      <c r="L72" s="572" t="b">
        <v>0</v>
      </c>
    </row>
    <row r="73" spans="2:10" ht="22.5" customHeight="1">
      <c r="B73" s="818"/>
      <c r="C73" s="818"/>
      <c r="D73" s="818"/>
      <c r="E73" s="818"/>
      <c r="F73" s="629"/>
      <c r="G73" s="637"/>
      <c r="H73" s="637"/>
      <c r="I73" s="818"/>
      <c r="J73" s="818"/>
    </row>
    <row r="74" spans="1:2" ht="13">
      <c r="A74" s="599" t="str">
        <f>IF(Adatlap!L1="Magyar","b)","(b)")</f>
        <v>b)</v>
      </c>
      <c r="B74" s="602" t="str">
        <f>IF(Adatlap!L1="Magyar",Fordítások!C385,Fordítások!B385)</f>
        <v>A szerves vegyületek biológiai lebonthatósága</v>
      </c>
    </row>
    <row r="76" spans="1:14" ht="28.5" customHeight="1">
      <c r="A76" s="528" t="str">
        <f>IF(L76=FALSE,IF(Adatlap!$L$1="Magyar","Jelölje be!","Please, check!"),"")</f>
        <v>Jelölje be!</v>
      </c>
      <c r="B76" s="1202" t="str">
        <f>IF(Adatlap!L$1="Magyar",Fordítások!C386,Fordítások!B386)</f>
        <v>Kijelentem, hogy  a termék aerob úton biológiailag nehezen lebontható  (aNBO) vagy anaerob módon biológiailag nem lebontható (anNBO) szervesanyag-tartalma a referenciaadagban a következő határértékek alatt marad:</v>
      </c>
      <c r="C76" s="1202"/>
      <c r="D76" s="1202"/>
      <c r="E76" s="1202"/>
      <c r="F76" s="1202"/>
      <c r="G76" s="1202"/>
      <c r="H76" s="1202"/>
      <c r="I76" s="1202"/>
      <c r="J76" s="1202"/>
      <c r="L76" s="572" t="b">
        <v>0</v>
      </c>
      <c r="N76" s="721"/>
    </row>
    <row r="77" spans="2:10" ht="23.25" customHeight="1">
      <c r="B77" s="1202"/>
      <c r="C77" s="1202"/>
      <c r="D77" s="1202"/>
      <c r="E77" s="1202"/>
      <c r="F77" s="1202"/>
      <c r="G77" s="1202"/>
      <c r="H77" s="1202"/>
      <c r="I77" s="1202"/>
      <c r="J77" s="1202"/>
    </row>
    <row r="78" spans="1:69" s="809" customFormat="1" ht="12.75" customHeight="1">
      <c r="A78" s="1359" t="s">
        <v>1043</v>
      </c>
      <c r="B78" s="1360"/>
      <c r="C78" s="1412" t="s">
        <v>816</v>
      </c>
      <c r="D78" s="1413"/>
      <c r="E78" s="1412" t="s">
        <v>1020</v>
      </c>
      <c r="F78" s="1413"/>
      <c r="G78" s="1412" t="s">
        <v>817</v>
      </c>
      <c r="H78" s="1413"/>
      <c r="I78" s="1412" t="s">
        <v>1020</v>
      </c>
      <c r="J78" s="1413"/>
      <c r="K78" s="602"/>
      <c r="L78" s="611"/>
      <c r="M78" s="723"/>
      <c r="N78" s="723"/>
      <c r="O78" s="723"/>
      <c r="P78" s="723"/>
      <c r="Q78" s="723"/>
      <c r="R78" s="723"/>
      <c r="S78" s="723"/>
      <c r="T78" s="717"/>
      <c r="U78" s="602"/>
      <c r="V78" s="602"/>
      <c r="W78" s="602"/>
      <c r="X78" s="602"/>
      <c r="Y78" s="602"/>
      <c r="Z78" s="602"/>
      <c r="AA78" s="602"/>
      <c r="AB78" s="602"/>
      <c r="AC78" s="602"/>
      <c r="AD78" s="602"/>
      <c r="AE78" s="602"/>
      <c r="AF78" s="602"/>
      <c r="AG78" s="602"/>
      <c r="AH78" s="602"/>
      <c r="AI78" s="602"/>
      <c r="AJ78" s="602"/>
      <c r="AK78" s="602"/>
      <c r="AL78" s="602"/>
      <c r="AM78" s="602"/>
      <c r="AN78" s="602"/>
      <c r="AO78" s="602"/>
      <c r="AP78" s="602"/>
      <c r="AQ78" s="602"/>
      <c r="AR78" s="602"/>
      <c r="AS78" s="602"/>
      <c r="AT78" s="602"/>
      <c r="AU78" s="602"/>
      <c r="AV78" s="602"/>
      <c r="AW78" s="602"/>
      <c r="AX78" s="602"/>
      <c r="AY78" s="602"/>
      <c r="AZ78" s="602"/>
      <c r="BA78" s="602"/>
      <c r="BB78" s="602"/>
      <c r="BC78" s="602"/>
      <c r="BD78" s="602"/>
      <c r="BE78" s="602"/>
      <c r="BF78" s="602"/>
      <c r="BG78" s="602"/>
      <c r="BH78" s="602"/>
      <c r="BI78" s="602"/>
      <c r="BJ78" s="602"/>
      <c r="BK78" s="602"/>
      <c r="BL78" s="602"/>
      <c r="BM78" s="602"/>
      <c r="BN78" s="602"/>
      <c r="BO78" s="602"/>
      <c r="BP78" s="602"/>
      <c r="BQ78" s="602"/>
    </row>
    <row r="79" spans="1:69" s="563" customFormat="1" ht="25.5" customHeight="1">
      <c r="A79" s="1361"/>
      <c r="B79" s="1362"/>
      <c r="C79" s="1412" t="s">
        <v>1085</v>
      </c>
      <c r="D79" s="1413"/>
      <c r="E79" s="1412" t="s">
        <v>1085</v>
      </c>
      <c r="F79" s="1413"/>
      <c r="G79" s="1412" t="s">
        <v>1085</v>
      </c>
      <c r="H79" s="1413"/>
      <c r="I79" s="1412" t="s">
        <v>1085</v>
      </c>
      <c r="J79" s="1413"/>
      <c r="K79" s="646"/>
      <c r="L79" s="718"/>
      <c r="M79" s="849"/>
      <c r="N79" s="849"/>
      <c r="O79" s="849"/>
      <c r="P79" s="849"/>
      <c r="Q79" s="897" t="s">
        <v>2132</v>
      </c>
      <c r="R79" s="849"/>
      <c r="S79" s="849"/>
      <c r="T79" s="850"/>
      <c r="U79" s="646"/>
      <c r="V79" s="646"/>
      <c r="W79" s="646"/>
      <c r="X79" s="646"/>
      <c r="Y79" s="646"/>
      <c r="Z79" s="646"/>
      <c r="AA79" s="646"/>
      <c r="AB79" s="646"/>
      <c r="AC79" s="646"/>
      <c r="AD79" s="646"/>
      <c r="AE79" s="646"/>
      <c r="AF79" s="646"/>
      <c r="AG79" s="646"/>
      <c r="AH79" s="646"/>
      <c r="AI79" s="646"/>
      <c r="AJ79" s="646"/>
      <c r="AK79" s="646"/>
      <c r="AL79" s="646"/>
      <c r="AM79" s="646"/>
      <c r="AN79" s="646"/>
      <c r="AO79" s="646"/>
      <c r="AP79" s="646"/>
      <c r="AQ79" s="646"/>
      <c r="AR79" s="646"/>
      <c r="AS79" s="646"/>
      <c r="AT79" s="646"/>
      <c r="AU79" s="646"/>
      <c r="AV79" s="646"/>
      <c r="AW79" s="646"/>
      <c r="AX79" s="646"/>
      <c r="AY79" s="646"/>
      <c r="AZ79" s="646"/>
      <c r="BA79" s="646"/>
      <c r="BB79" s="646"/>
      <c r="BC79" s="646"/>
      <c r="BD79" s="646"/>
      <c r="BE79" s="646"/>
      <c r="BF79" s="646"/>
      <c r="BG79" s="646"/>
      <c r="BH79" s="646"/>
      <c r="BI79" s="646"/>
      <c r="BJ79" s="646"/>
      <c r="BK79" s="646"/>
      <c r="BL79" s="646"/>
      <c r="BM79" s="646"/>
      <c r="BN79" s="646"/>
      <c r="BO79" s="646"/>
      <c r="BP79" s="646"/>
      <c r="BQ79" s="646"/>
    </row>
    <row r="80" spans="1:17" ht="25" customHeight="1">
      <c r="A80" s="1196" t="s">
        <v>992</v>
      </c>
      <c r="B80" s="1197"/>
      <c r="C80" s="1198">
        <v>0</v>
      </c>
      <c r="D80" s="1199"/>
      <c r="E80" s="1200" t="s">
        <v>2253</v>
      </c>
      <c r="F80" s="1199"/>
      <c r="G80" s="1198">
        <v>0</v>
      </c>
      <c r="H80" s="1199"/>
      <c r="I80" s="1200" t="s">
        <v>2254</v>
      </c>
      <c r="J80" s="1199"/>
      <c r="Q80" s="835" t="b">
        <f>IF(Termék!$C$24=Auswahldaten!A125,TRUE,FALSE)</f>
        <v>0</v>
      </c>
    </row>
    <row r="81" spans="1:69" s="564" customFormat="1" ht="37.5" customHeight="1" hidden="1">
      <c r="A81" s="1416"/>
      <c r="B81" s="1416"/>
      <c r="C81" s="1416"/>
      <c r="D81" s="1416"/>
      <c r="E81" s="1415"/>
      <c r="F81" s="1416"/>
      <c r="G81" s="1416"/>
      <c r="H81" s="1416"/>
      <c r="I81" s="1415"/>
      <c r="J81" s="1416"/>
      <c r="K81" s="527"/>
      <c r="L81" s="573"/>
      <c r="M81" s="847"/>
      <c r="N81" s="847"/>
      <c r="O81" s="847"/>
      <c r="P81" s="847"/>
      <c r="Q81" s="835" t="b">
        <f>IF(Termék!$C$24=Auswahldaten!A126,TRUE,FALSE)</f>
        <v>0</v>
      </c>
      <c r="R81" s="847"/>
      <c r="S81" s="847"/>
      <c r="T81" s="848"/>
      <c r="U81" s="527"/>
      <c r="V81" s="527"/>
      <c r="W81" s="527"/>
      <c r="X81" s="527"/>
      <c r="Y81" s="527"/>
      <c r="Z81" s="527"/>
      <c r="AA81" s="527"/>
      <c r="AB81" s="527"/>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27"/>
      <c r="AY81" s="527"/>
      <c r="AZ81" s="527"/>
      <c r="BA81" s="527"/>
      <c r="BB81" s="527"/>
      <c r="BC81" s="527"/>
      <c r="BD81" s="527"/>
      <c r="BE81" s="527"/>
      <c r="BF81" s="527"/>
      <c r="BG81" s="527"/>
      <c r="BH81" s="527"/>
      <c r="BI81" s="527"/>
      <c r="BJ81" s="527"/>
      <c r="BK81" s="527"/>
      <c r="BL81" s="527"/>
      <c r="BM81" s="527"/>
      <c r="BN81" s="527"/>
      <c r="BO81" s="527"/>
      <c r="BP81" s="527"/>
      <c r="BQ81" s="527"/>
    </row>
    <row r="82" spans="1:69" s="564" customFormat="1" ht="37.5" customHeight="1" hidden="1">
      <c r="A82" s="1269" t="s">
        <v>1139</v>
      </c>
      <c r="B82" s="1270"/>
      <c r="C82" s="1270"/>
      <c r="D82" s="1271"/>
      <c r="E82" s="1268" t="s">
        <v>2078</v>
      </c>
      <c r="F82" s="1197"/>
      <c r="G82" s="956"/>
      <c r="H82" s="956" t="s">
        <v>2242</v>
      </c>
      <c r="I82" s="957"/>
      <c r="J82" s="956" t="s">
        <v>2242</v>
      </c>
      <c r="K82" s="527"/>
      <c r="L82" s="573"/>
      <c r="M82" s="847"/>
      <c r="N82" s="847"/>
      <c r="O82" s="847"/>
      <c r="P82" s="847"/>
      <c r="Q82" s="835" t="b">
        <f>IF(Termék!$C$24=Auswahldaten!A127,TRUE,FALSE)</f>
        <v>0</v>
      </c>
      <c r="R82" s="847"/>
      <c r="S82" s="847"/>
      <c r="T82" s="848"/>
      <c r="U82" s="527"/>
      <c r="V82" s="527"/>
      <c r="W82" s="527"/>
      <c r="X82" s="527"/>
      <c r="Y82" s="527"/>
      <c r="Z82" s="527"/>
      <c r="AA82" s="527"/>
      <c r="AB82" s="527"/>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7"/>
      <c r="AY82" s="527"/>
      <c r="AZ82" s="527"/>
      <c r="BA82" s="527"/>
      <c r="BB82" s="527"/>
      <c r="BC82" s="527"/>
      <c r="BD82" s="527"/>
      <c r="BE82" s="527"/>
      <c r="BF82" s="527"/>
      <c r="BG82" s="527"/>
      <c r="BH82" s="527"/>
      <c r="BI82" s="527"/>
      <c r="BJ82" s="527"/>
      <c r="BK82" s="527"/>
      <c r="BL82" s="527"/>
      <c r="BM82" s="527"/>
      <c r="BN82" s="527"/>
      <c r="BO82" s="527"/>
      <c r="BP82" s="527"/>
      <c r="BQ82" s="527"/>
    </row>
    <row r="83" spans="1:69" s="564" customFormat="1" ht="37.5" customHeight="1" hidden="1">
      <c r="A83" s="1272"/>
      <c r="B83" s="1273"/>
      <c r="C83" s="1273"/>
      <c r="D83" s="1274"/>
      <c r="E83" s="1268" t="s">
        <v>2079</v>
      </c>
      <c r="F83" s="1197"/>
      <c r="G83" s="956"/>
      <c r="H83" s="956" t="s">
        <v>2243</v>
      </c>
      <c r="I83" s="957"/>
      <c r="J83" s="956" t="s">
        <v>2243</v>
      </c>
      <c r="K83" s="527"/>
      <c r="L83" s="573"/>
      <c r="M83" s="847"/>
      <c r="N83" s="847"/>
      <c r="O83" s="847"/>
      <c r="P83" s="847"/>
      <c r="Q83" s="835" t="b">
        <f>IF(Termék!$C$24=Auswahldaten!A128,TRUE,FALSE)</f>
        <v>0</v>
      </c>
      <c r="R83" s="847"/>
      <c r="S83" s="847"/>
      <c r="T83" s="848"/>
      <c r="U83" s="527"/>
      <c r="V83" s="527"/>
      <c r="W83" s="527"/>
      <c r="X83" s="527"/>
      <c r="Y83" s="527"/>
      <c r="Z83" s="527"/>
      <c r="AA83" s="527"/>
      <c r="AB83" s="527"/>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7"/>
      <c r="AY83" s="527"/>
      <c r="AZ83" s="527"/>
      <c r="BA83" s="527"/>
      <c r="BB83" s="527"/>
      <c r="BC83" s="527"/>
      <c r="BD83" s="527"/>
      <c r="BE83" s="527"/>
      <c r="BF83" s="527"/>
      <c r="BG83" s="527"/>
      <c r="BH83" s="527"/>
      <c r="BI83" s="527"/>
      <c r="BJ83" s="527"/>
      <c r="BK83" s="527"/>
      <c r="BL83" s="527"/>
      <c r="BM83" s="527"/>
      <c r="BN83" s="527"/>
      <c r="BO83" s="527"/>
      <c r="BP83" s="527"/>
      <c r="BQ83" s="527"/>
    </row>
    <row r="84" spans="1:69" s="564" customFormat="1" ht="37.5" customHeight="1" hidden="1">
      <c r="A84" s="1269" t="s">
        <v>1035</v>
      </c>
      <c r="B84" s="1270"/>
      <c r="C84" s="1270"/>
      <c r="D84" s="1271"/>
      <c r="E84" s="1268" t="s">
        <v>2078</v>
      </c>
      <c r="F84" s="1197"/>
      <c r="G84" s="956"/>
      <c r="H84" s="956" t="s">
        <v>2244</v>
      </c>
      <c r="I84" s="957"/>
      <c r="J84" s="956" t="s">
        <v>2244</v>
      </c>
      <c r="K84" s="527"/>
      <c r="L84" s="573"/>
      <c r="M84" s="847"/>
      <c r="N84" s="847"/>
      <c r="O84" s="847"/>
      <c r="P84" s="847"/>
      <c r="Q84" s="835" t="b">
        <f>IF(Termék!$C$24=Auswahldaten!A129,TRUE,FALSE)</f>
        <v>0</v>
      </c>
      <c r="R84" s="847"/>
      <c r="S84" s="847"/>
      <c r="T84" s="848"/>
      <c r="U84" s="527"/>
      <c r="V84" s="527"/>
      <c r="W84" s="527"/>
      <c r="X84" s="527"/>
      <c r="Y84" s="527"/>
      <c r="Z84" s="527"/>
      <c r="AA84" s="527"/>
      <c r="AB84" s="527"/>
      <c r="AC84" s="527"/>
      <c r="AD84" s="527"/>
      <c r="AE84" s="527"/>
      <c r="AF84" s="527"/>
      <c r="AG84" s="527"/>
      <c r="AH84" s="527"/>
      <c r="AI84" s="527"/>
      <c r="AJ84" s="527"/>
      <c r="AK84" s="527"/>
      <c r="AL84" s="527"/>
      <c r="AM84" s="527"/>
      <c r="AN84" s="527"/>
      <c r="AO84" s="527"/>
      <c r="AP84" s="527"/>
      <c r="AQ84" s="527"/>
      <c r="AR84" s="527"/>
      <c r="AS84" s="527"/>
      <c r="AT84" s="527"/>
      <c r="AU84" s="527"/>
      <c r="AV84" s="527"/>
      <c r="AW84" s="527"/>
      <c r="AX84" s="527"/>
      <c r="AY84" s="527"/>
      <c r="AZ84" s="527"/>
      <c r="BA84" s="527"/>
      <c r="BB84" s="527"/>
      <c r="BC84" s="527"/>
      <c r="BD84" s="527"/>
      <c r="BE84" s="527"/>
      <c r="BF84" s="527"/>
      <c r="BG84" s="527"/>
      <c r="BH84" s="527"/>
      <c r="BI84" s="527"/>
      <c r="BJ84" s="527"/>
      <c r="BK84" s="527"/>
      <c r="BL84" s="527"/>
      <c r="BM84" s="527"/>
      <c r="BN84" s="527"/>
      <c r="BO84" s="527"/>
      <c r="BP84" s="527"/>
      <c r="BQ84" s="527"/>
    </row>
    <row r="85" spans="1:69" s="564" customFormat="1" ht="37.5" customHeight="1" hidden="1">
      <c r="A85" s="1272"/>
      <c r="B85" s="1273"/>
      <c r="C85" s="1273"/>
      <c r="D85" s="1274"/>
      <c r="E85" s="1268" t="s">
        <v>2079</v>
      </c>
      <c r="F85" s="1197"/>
      <c r="G85" s="956"/>
      <c r="H85" s="956" t="s">
        <v>2244</v>
      </c>
      <c r="I85" s="957"/>
      <c r="J85" s="956" t="s">
        <v>2244</v>
      </c>
      <c r="K85" s="527"/>
      <c r="L85" s="573"/>
      <c r="M85" s="847"/>
      <c r="N85" s="847"/>
      <c r="O85" s="847"/>
      <c r="P85" s="847"/>
      <c r="Q85" s="835" t="b">
        <f>IF(Termék!$C$24=Auswahldaten!A130,TRUE,FALSE)</f>
        <v>0</v>
      </c>
      <c r="R85" s="847"/>
      <c r="S85" s="847"/>
      <c r="T85" s="848"/>
      <c r="U85" s="527"/>
      <c r="V85" s="527"/>
      <c r="W85" s="527"/>
      <c r="X85" s="527"/>
      <c r="Y85" s="527"/>
      <c r="Z85" s="527"/>
      <c r="AA85" s="527"/>
      <c r="AB85" s="527"/>
      <c r="AC85" s="527"/>
      <c r="AD85" s="527"/>
      <c r="AE85" s="527"/>
      <c r="AF85" s="527"/>
      <c r="AG85" s="527"/>
      <c r="AH85" s="527"/>
      <c r="AI85" s="527"/>
      <c r="AJ85" s="527"/>
      <c r="AK85" s="527"/>
      <c r="AL85" s="527"/>
      <c r="AM85" s="527"/>
      <c r="AN85" s="527"/>
      <c r="AO85" s="527"/>
      <c r="AP85" s="527"/>
      <c r="AQ85" s="527"/>
      <c r="AR85" s="527"/>
      <c r="AS85" s="527"/>
      <c r="AT85" s="527"/>
      <c r="AU85" s="527"/>
      <c r="AV85" s="527"/>
      <c r="AW85" s="527"/>
      <c r="AX85" s="527"/>
      <c r="AY85" s="527"/>
      <c r="AZ85" s="527"/>
      <c r="BA85" s="527"/>
      <c r="BB85" s="527"/>
      <c r="BC85" s="527"/>
      <c r="BD85" s="527"/>
      <c r="BE85" s="527"/>
      <c r="BF85" s="527"/>
      <c r="BG85" s="527"/>
      <c r="BH85" s="527"/>
      <c r="BI85" s="527"/>
      <c r="BJ85" s="527"/>
      <c r="BK85" s="527"/>
      <c r="BL85" s="527"/>
      <c r="BM85" s="527"/>
      <c r="BN85" s="527"/>
      <c r="BO85" s="527"/>
      <c r="BP85" s="527"/>
      <c r="BQ85" s="527"/>
    </row>
    <row r="86" spans="1:69" s="564" customFormat="1" ht="37.5" customHeight="1" hidden="1">
      <c r="A86" s="1196" t="s">
        <v>1490</v>
      </c>
      <c r="B86" s="1197"/>
      <c r="C86" s="1198"/>
      <c r="D86" s="1199"/>
      <c r="E86" s="1200">
        <v>5</v>
      </c>
      <c r="F86" s="1199"/>
      <c r="G86" s="1198"/>
      <c r="H86" s="1199"/>
      <c r="I86" s="1200">
        <v>35</v>
      </c>
      <c r="J86" s="1199"/>
      <c r="K86" s="527"/>
      <c r="L86" s="573"/>
      <c r="M86" s="847"/>
      <c r="N86" s="847"/>
      <c r="O86" s="847"/>
      <c r="P86" s="847"/>
      <c r="Q86" s="835" t="b">
        <f>IF(Termék!$C$24=Auswahldaten!A131,TRUE,FALSE)</f>
        <v>0</v>
      </c>
      <c r="R86" s="847"/>
      <c r="S86" s="847"/>
      <c r="T86" s="848"/>
      <c r="U86" s="527"/>
      <c r="V86" s="527"/>
      <c r="W86" s="527"/>
      <c r="X86" s="527"/>
      <c r="Y86" s="527"/>
      <c r="Z86" s="527"/>
      <c r="AA86" s="527"/>
      <c r="AB86" s="527"/>
      <c r="AC86" s="527"/>
      <c r="AD86" s="527"/>
      <c r="AE86" s="527"/>
      <c r="AF86" s="527"/>
      <c r="AG86" s="527"/>
      <c r="AH86" s="527"/>
      <c r="AI86" s="527"/>
      <c r="AJ86" s="527"/>
      <c r="AK86" s="527"/>
      <c r="AL86" s="527"/>
      <c r="AM86" s="527"/>
      <c r="AN86" s="527"/>
      <c r="AO86" s="527"/>
      <c r="AP86" s="527"/>
      <c r="AQ86" s="527"/>
      <c r="AR86" s="527"/>
      <c r="AS86" s="527"/>
      <c r="AT86" s="527"/>
      <c r="AU86" s="527"/>
      <c r="AV86" s="527"/>
      <c r="AW86" s="527"/>
      <c r="AX86" s="527"/>
      <c r="AY86" s="527"/>
      <c r="AZ86" s="527"/>
      <c r="BA86" s="527"/>
      <c r="BB86" s="527"/>
      <c r="BC86" s="527"/>
      <c r="BD86" s="527"/>
      <c r="BE86" s="527"/>
      <c r="BF86" s="527"/>
      <c r="BG86" s="527"/>
      <c r="BH86" s="527"/>
      <c r="BI86" s="527"/>
      <c r="BJ86" s="527"/>
      <c r="BK86" s="527"/>
      <c r="BL86" s="527"/>
      <c r="BM86" s="527"/>
      <c r="BN86" s="527"/>
      <c r="BO86" s="527"/>
      <c r="BP86" s="527"/>
      <c r="BQ86" s="527"/>
    </row>
    <row r="87" spans="1:69" s="564" customFormat="1" ht="25" customHeight="1" hidden="1">
      <c r="A87" s="1196" t="s">
        <v>1491</v>
      </c>
      <c r="B87" s="1197"/>
      <c r="C87" s="1198"/>
      <c r="D87" s="1199"/>
      <c r="E87" s="1200">
        <v>0.2</v>
      </c>
      <c r="F87" s="1199"/>
      <c r="G87" s="1198"/>
      <c r="H87" s="1199"/>
      <c r="I87" s="1200">
        <v>0.5</v>
      </c>
      <c r="J87" s="1199"/>
      <c r="K87" s="527"/>
      <c r="L87" s="573"/>
      <c r="M87" s="847"/>
      <c r="N87" s="847"/>
      <c r="O87" s="847"/>
      <c r="P87" s="847"/>
      <c r="Q87" s="835" t="b">
        <f>IF(Termék!$C$24=Auswahldaten!A132,TRUE,FALSE)</f>
        <v>0</v>
      </c>
      <c r="R87" s="847"/>
      <c r="S87" s="847"/>
      <c r="T87" s="848"/>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7"/>
      <c r="BC87" s="527"/>
      <c r="BD87" s="527"/>
      <c r="BE87" s="527"/>
      <c r="BF87" s="527"/>
      <c r="BG87" s="527"/>
      <c r="BH87" s="527"/>
      <c r="BI87" s="527"/>
      <c r="BJ87" s="527"/>
      <c r="BK87" s="527"/>
      <c r="BL87" s="527"/>
      <c r="BM87" s="527"/>
      <c r="BN87" s="527"/>
      <c r="BO87" s="527"/>
      <c r="BP87" s="527"/>
      <c r="BQ87" s="527"/>
    </row>
    <row r="88" spans="1:69" s="564" customFormat="1" ht="12.75" customHeight="1">
      <c r="A88" s="1236"/>
      <c r="B88" s="1236"/>
      <c r="C88" s="527"/>
      <c r="D88" s="527"/>
      <c r="E88" s="527"/>
      <c r="F88" s="630"/>
      <c r="G88" s="638"/>
      <c r="H88" s="638"/>
      <c r="I88" s="527"/>
      <c r="J88" s="527"/>
      <c r="K88" s="527"/>
      <c r="L88" s="573"/>
      <c r="M88" s="847"/>
      <c r="N88" s="847"/>
      <c r="O88" s="847"/>
      <c r="P88" s="847"/>
      <c r="Q88" s="847"/>
      <c r="R88" s="847"/>
      <c r="S88" s="847"/>
      <c r="T88" s="848"/>
      <c r="U88" s="527"/>
      <c r="V88" s="527"/>
      <c r="W88" s="527"/>
      <c r="X88" s="527"/>
      <c r="Y88" s="527"/>
      <c r="Z88" s="527"/>
      <c r="AA88" s="527"/>
      <c r="AB88" s="527"/>
      <c r="AC88" s="527"/>
      <c r="AD88" s="527"/>
      <c r="AE88" s="527"/>
      <c r="AF88" s="527"/>
      <c r="AG88" s="527"/>
      <c r="AH88" s="527"/>
      <c r="AI88" s="527"/>
      <c r="AJ88" s="527"/>
      <c r="AK88" s="527"/>
      <c r="AL88" s="527"/>
      <c r="AM88" s="527"/>
      <c r="AN88" s="527"/>
      <c r="AO88" s="527"/>
      <c r="AP88" s="527"/>
      <c r="AQ88" s="527"/>
      <c r="AR88" s="527"/>
      <c r="AS88" s="527"/>
      <c r="AT88" s="527"/>
      <c r="AU88" s="527"/>
      <c r="AV88" s="527"/>
      <c r="AW88" s="527"/>
      <c r="AX88" s="527"/>
      <c r="AY88" s="527"/>
      <c r="AZ88" s="527"/>
      <c r="BA88" s="527"/>
      <c r="BB88" s="527"/>
      <c r="BC88" s="527"/>
      <c r="BD88" s="527"/>
      <c r="BE88" s="527"/>
      <c r="BF88" s="527"/>
      <c r="BG88" s="527"/>
      <c r="BH88" s="527"/>
      <c r="BI88" s="527"/>
      <c r="BJ88" s="527"/>
      <c r="BK88" s="527"/>
      <c r="BL88" s="527"/>
      <c r="BM88" s="527"/>
      <c r="BN88" s="527"/>
      <c r="BO88" s="527"/>
      <c r="BP88" s="527"/>
      <c r="BQ88" s="527"/>
    </row>
    <row r="89" spans="1:12" ht="24" customHeight="1">
      <c r="A89" s="528" t="str">
        <f>IF(L89=FALSE,IF(Adatlap!$L$1="Magyar","Jelölje be!","Please, check!"),"")</f>
        <v>Jelölje be!</v>
      </c>
      <c r="B89" s="1158" t="str">
        <f>IF(Adatlap!L$1="Magyar",Fordítások!C387,Fordítások!B387)</f>
        <v>Csatolom a termék szervesanyag-tartalmára vonatkozó aNBO és anNBO számításokat tartalmazó munkalapot.</v>
      </c>
      <c r="C89" s="1158"/>
      <c r="D89" s="1158"/>
      <c r="E89" s="1158"/>
      <c r="F89" s="1158"/>
      <c r="G89" s="1158"/>
      <c r="H89" s="1158"/>
      <c r="I89" s="1158"/>
      <c r="J89" s="1158"/>
      <c r="L89" s="572" t="b">
        <v>0</v>
      </c>
    </row>
    <row r="90" ht="5.15" customHeight="1"/>
    <row r="91" ht="13">
      <c r="A91" s="597" t="str">
        <f>IF(AND(L93=FALSE,L95=FALSE),IF(Adatlap!L1="Magyar",Fordítások!C365,Fordítások!B365),"")</f>
        <v>Válasszon az alábbi két válasz közül:</v>
      </c>
    </row>
    <row r="92" ht="5.15" customHeight="1"/>
    <row r="93" spans="1:14" ht="24" customHeight="1">
      <c r="A93" s="596" t="str">
        <f>IF(L93=FALSE,IF(Adatlap!$L$1="Magyar","Jelölje be!","Please, check!"),"")</f>
        <v>Jelölje be!</v>
      </c>
      <c r="B93" s="1202" t="str">
        <f>IF(Adatlap!L1="Magyar",Fordítások!C388,Fordítások!B388)</f>
        <v>Kijelentem, hogy a termékben található minden szervesanyag szerepel a DID-jegyzék A. részében.</v>
      </c>
      <c r="C93" s="1202"/>
      <c r="D93" s="1202"/>
      <c r="E93" s="1202"/>
      <c r="F93" s="1202"/>
      <c r="G93" s="1202"/>
      <c r="H93" s="1202"/>
      <c r="I93" s="1202"/>
      <c r="J93" s="1202"/>
      <c r="L93" s="572" t="b">
        <v>0</v>
      </c>
      <c r="N93" s="835" t="b">
        <v>0</v>
      </c>
    </row>
    <row r="94" ht="8.5" customHeight="1"/>
    <row r="95" spans="1:14" ht="26.25" customHeight="1">
      <c r="A95" s="596" t="str">
        <f>IF(L95=FALSE,IF(Adatlap!$L$1="Magyar","Jelölje be!","Please, check!"),"")</f>
        <v>Jelölje be!</v>
      </c>
      <c r="B95" s="1158" t="str">
        <f>IF(Adatlap!L1="Magyar",Fordítások!C389,Fordítások!B389)</f>
        <v>A termékben található szervesanyagok közül az alábbi táblázatban felsorolt anyagok nem szerepelnek a DID-jegyzék A. részében.</v>
      </c>
      <c r="C95" s="1158"/>
      <c r="D95" s="1158"/>
      <c r="E95" s="1158"/>
      <c r="F95" s="1158"/>
      <c r="G95" s="1158"/>
      <c r="H95" s="1158"/>
      <c r="I95" s="1158"/>
      <c r="J95" s="1158"/>
      <c r="L95" s="572" t="b">
        <v>0</v>
      </c>
      <c r="N95" s="835" t="b">
        <v>0</v>
      </c>
    </row>
    <row r="97" spans="2:10" ht="16.5" customHeight="1">
      <c r="B97" s="1219" t="str">
        <f>IF(Adatlap!L1="Magyar",Fordítások!C393,Fordítások!B393)</f>
        <v>A szerves vegyület neve</v>
      </c>
      <c r="C97" s="1219"/>
      <c r="D97" s="605" t="str">
        <f>E26</f>
        <v>Aerob</v>
      </c>
      <c r="E97" s="605" t="str">
        <f>IF(Adatlap!L1="Magyar",Fordítások!C39,Fordítások!B39)</f>
        <v>Anaerob</v>
      </c>
      <c r="F97" s="1219" t="str">
        <f>IF(Adatlap!L1="Magyar",Fordítások!C390,Fordítások!B390)</f>
        <v>Adszorpció</v>
      </c>
      <c r="G97" s="1219"/>
      <c r="H97" s="1219" t="str">
        <f>IF(Adatlap!L1="Magyar",Fordítások!C391,Fordítások!B391)</f>
        <v>Deszorpció</v>
      </c>
      <c r="I97" s="1219"/>
      <c r="J97" s="1234" t="str">
        <f>IF(Adatlap!L1="Magyar",Fordítások!C392,Fordítások!B392)</f>
        <v>BCF vagy log Kow</v>
      </c>
    </row>
    <row r="98" spans="2:10" ht="22.5" customHeight="1">
      <c r="B98" s="1219"/>
      <c r="C98" s="1219"/>
      <c r="D98" s="1335" t="str">
        <f>E27</f>
        <v>lebonthatóság</v>
      </c>
      <c r="E98" s="1335"/>
      <c r="F98" s="1219"/>
      <c r="G98" s="1219"/>
      <c r="H98" s="1219"/>
      <c r="I98" s="1219"/>
      <c r="J98" s="1234"/>
    </row>
    <row r="99" spans="2:10" ht="22.5" customHeight="1">
      <c r="B99" s="1253"/>
      <c r="C99" s="1254"/>
      <c r="D99" s="604"/>
      <c r="E99" s="604"/>
      <c r="F99" s="1251"/>
      <c r="G99" s="1252"/>
      <c r="H99" s="1251"/>
      <c r="I99" s="1252"/>
      <c r="J99" s="603"/>
    </row>
    <row r="100" spans="2:10" ht="22.5" customHeight="1">
      <c r="B100" s="1253"/>
      <c r="C100" s="1254"/>
      <c r="D100" s="604"/>
      <c r="E100" s="604"/>
      <c r="F100" s="1251"/>
      <c r="G100" s="1252"/>
      <c r="H100" s="1251"/>
      <c r="I100" s="1252"/>
      <c r="J100" s="603"/>
    </row>
    <row r="101" spans="2:10" ht="22.5" customHeight="1">
      <c r="B101" s="1253"/>
      <c r="C101" s="1254"/>
      <c r="D101" s="604"/>
      <c r="E101" s="604"/>
      <c r="F101" s="1251"/>
      <c r="G101" s="1252"/>
      <c r="H101" s="1251"/>
      <c r="I101" s="1252"/>
      <c r="J101" s="603"/>
    </row>
    <row r="102" spans="2:10" ht="22.5" customHeight="1">
      <c r="B102" s="1253"/>
      <c r="C102" s="1254"/>
      <c r="D102" s="604"/>
      <c r="E102" s="604"/>
      <c r="F102" s="1251"/>
      <c r="G102" s="1252"/>
      <c r="H102" s="1251"/>
      <c r="I102" s="1252"/>
      <c r="J102" s="603"/>
    </row>
    <row r="103" spans="2:10" ht="22.5" customHeight="1">
      <c r="B103" s="1253"/>
      <c r="C103" s="1254"/>
      <c r="D103" s="604"/>
      <c r="E103" s="604"/>
      <c r="F103" s="1251"/>
      <c r="G103" s="1252"/>
      <c r="H103" s="1251"/>
      <c r="I103" s="1252"/>
      <c r="J103" s="603"/>
    </row>
    <row r="104" spans="2:10" ht="22.5" customHeight="1">
      <c r="B104" s="1253"/>
      <c r="C104" s="1254"/>
      <c r="D104" s="604"/>
      <c r="E104" s="604"/>
      <c r="F104" s="1251"/>
      <c r="G104" s="1252"/>
      <c r="H104" s="1251"/>
      <c r="I104" s="1252"/>
      <c r="J104" s="603"/>
    </row>
    <row r="105" spans="2:10" ht="22.5" customHeight="1">
      <c r="B105" s="1253"/>
      <c r="C105" s="1254"/>
      <c r="D105" s="604"/>
      <c r="E105" s="604"/>
      <c r="F105" s="1251"/>
      <c r="G105" s="1252"/>
      <c r="H105" s="1251"/>
      <c r="I105" s="1252"/>
      <c r="J105" s="603"/>
    </row>
    <row r="106" spans="2:10" ht="22.5" customHeight="1">
      <c r="B106" s="1253"/>
      <c r="C106" s="1254"/>
      <c r="D106" s="604"/>
      <c r="E106" s="604"/>
      <c r="F106" s="1251"/>
      <c r="G106" s="1252"/>
      <c r="H106" s="1251"/>
      <c r="I106" s="1252"/>
      <c r="J106" s="603"/>
    </row>
    <row r="107" spans="2:10" ht="22.5" customHeight="1">
      <c r="B107" s="1253"/>
      <c r="C107" s="1254"/>
      <c r="D107" s="604"/>
      <c r="E107" s="604"/>
      <c r="F107" s="1251"/>
      <c r="G107" s="1252"/>
      <c r="H107" s="1251"/>
      <c r="I107" s="1252"/>
      <c r="J107" s="603"/>
    </row>
    <row r="108" spans="2:10" ht="22.5" customHeight="1">
      <c r="B108" s="1253"/>
      <c r="C108" s="1254"/>
      <c r="D108" s="604"/>
      <c r="E108" s="604"/>
      <c r="F108" s="1251"/>
      <c r="G108" s="1252"/>
      <c r="H108" s="1251"/>
      <c r="I108" s="1252"/>
      <c r="J108" s="603"/>
    </row>
    <row r="109" spans="2:10" ht="22.5" customHeight="1">
      <c r="B109" s="1253"/>
      <c r="C109" s="1254"/>
      <c r="D109" s="604"/>
      <c r="E109" s="604"/>
      <c r="F109" s="1251"/>
      <c r="G109" s="1252"/>
      <c r="H109" s="1251"/>
      <c r="I109" s="1252"/>
      <c r="J109" s="603"/>
    </row>
    <row r="110" spans="2:10" ht="22.5" customHeight="1">
      <c r="B110" s="1253"/>
      <c r="C110" s="1254"/>
      <c r="D110" s="604"/>
      <c r="E110" s="604"/>
      <c r="F110" s="1251"/>
      <c r="G110" s="1252"/>
      <c r="H110" s="1251"/>
      <c r="I110" s="1252"/>
      <c r="J110" s="603"/>
    </row>
    <row r="111" spans="2:14" ht="22.5" customHeight="1">
      <c r="B111" s="1253"/>
      <c r="C111" s="1254"/>
      <c r="D111" s="604"/>
      <c r="E111" s="604"/>
      <c r="F111" s="1251"/>
      <c r="G111" s="1252"/>
      <c r="H111" s="1251"/>
      <c r="I111" s="1252"/>
      <c r="J111" s="603"/>
      <c r="N111" s="721"/>
    </row>
    <row r="113" spans="1:12" ht="25.5" customHeight="1">
      <c r="A113" s="596" t="str">
        <f>IF(L113=FALSE,IF(Adatlap!$L$1="Magyar","Jelölje be!","Please, check!"),"")</f>
        <v>Jelölje be!</v>
      </c>
      <c r="B113" s="527" t="str">
        <f>IF(Adatlap!L1="Magyar",Fordítások!C394,Fordítások!B394)</f>
        <v>Csatolom az adatokat alátámasztó dokumentációt.</v>
      </c>
      <c r="L113" s="572" t="b">
        <v>0</v>
      </c>
    </row>
    <row r="114" ht="12.75" customHeight="1"/>
    <row r="115" spans="1:15" ht="41.25" customHeight="1">
      <c r="A115" s="1259" t="str">
        <f>IF(OR(Adatlap!$M$3=3,Adatlap!$M$3=4),IF(Adatlap!L1="Magyar",Fordítások!C665,Fordítások!B665),IF(Adatlap!L1="Magyar",Fordítások!C664,Fordítások!B664))</f>
        <v xml:space="preserve">3. kritérium - </v>
      </c>
      <c r="B115" s="1259"/>
      <c r="C115" s="1258" t="str">
        <f>IF(Adatlap!L1="Magyar",Fordítások!C395,Fordítások!B395)</f>
        <v>A pálmaolaj, pálmamagbélolaj és származékaik fenntartható gazdálkodásból való beszerzése</v>
      </c>
      <c r="D115" s="1258"/>
      <c r="E115" s="1258"/>
      <c r="F115" s="1258"/>
      <c r="G115" s="1258"/>
      <c r="H115" s="1258"/>
      <c r="I115" s="1258"/>
      <c r="J115" s="1258"/>
      <c r="O115" s="721"/>
    </row>
    <row r="116" spans="1:10" ht="12.75">
      <c r="A116" s="1161" t="str">
        <f>IF(Termék!C37=Alapanyagok!AI63,"",IF(Adatlap!L1="Magyar","Ellenőrizze a Termék munkalap C37 mezőjének és az Alapanyagok munkalap P oszlopának a kitöltését!","Please, check Worksheet Termék C37 and Worksheet Alapanyagok column P!"))</f>
        <v>Ellenőrizze a Termék munkalap C37 mezőjének és az Alapanyagok munkalap P oszlopának a kitöltését!</v>
      </c>
      <c r="B116" s="1161"/>
      <c r="C116" s="1161"/>
      <c r="D116" s="1161"/>
      <c r="E116" s="1161"/>
      <c r="F116" s="1161"/>
      <c r="G116" s="1161"/>
      <c r="H116" s="1161"/>
      <c r="I116" s="1161"/>
      <c r="J116" s="1161"/>
    </row>
    <row r="117" spans="1:15" ht="26.25" customHeight="1">
      <c r="A117" s="596" t="str">
        <f>IF(AND(L117=FALSE,L119=FALSE),IF(Adatlap!$L$1="Magyar","Jelölje be!","Please, check!"),"")</f>
        <v>Jelölje be!</v>
      </c>
      <c r="B117" s="1158" t="str">
        <f>IF(Adatlap!L1="Magyar",Fordítások!C396,Fordítások!B396)</f>
        <v>Kijelentem, hogy a termék nem tartalmaz pálmaolajból és pálmamagbélolajból vagy ezek kémiai származékaiból származó alapanyagot.</v>
      </c>
      <c r="C117" s="1158"/>
      <c r="D117" s="1158"/>
      <c r="E117" s="1158"/>
      <c r="F117" s="1158"/>
      <c r="G117" s="1158"/>
      <c r="H117" s="1158"/>
      <c r="I117" s="1158"/>
      <c r="J117" s="1158"/>
      <c r="L117" s="572" t="b">
        <v>0</v>
      </c>
      <c r="N117" s="572" t="b">
        <v>0</v>
      </c>
      <c r="O117" s="721"/>
    </row>
    <row r="118" ht="12.75">
      <c r="O118" s="721"/>
    </row>
    <row r="119" spans="1:15" ht="27" customHeight="1">
      <c r="A119" s="596" t="str">
        <f>IF(AND(L117=FALSE,L119=FALSE),IF(Adatlap!$L$1="Magyar","Jelölje be!","Please, check!"),"")</f>
        <v>Jelölje be!</v>
      </c>
      <c r="B119" s="1158" t="str">
        <f>IF(Adatlap!L1="Magyar",Fordítások!C397,Fordítások!B397)</f>
        <v>Kijelentem, hogy a termék pálmaolajból, pálmamagbélolajból vagy ezek kémiai származékaiból származó alapanyagot tartalmaz. Ezért:</v>
      </c>
      <c r="C119" s="1158"/>
      <c r="D119" s="1158"/>
      <c r="E119" s="1158"/>
      <c r="F119" s="1158"/>
      <c r="G119" s="1158"/>
      <c r="H119" s="1158"/>
      <c r="I119" s="1158"/>
      <c r="J119" s="1158"/>
      <c r="L119" s="572" t="b">
        <v>0</v>
      </c>
      <c r="N119" s="572" t="b">
        <v>0</v>
      </c>
      <c r="O119" s="721"/>
    </row>
    <row r="120" ht="12.75">
      <c r="O120" s="721"/>
    </row>
    <row r="121" spans="2:15" ht="27.75" customHeight="1">
      <c r="B121" s="596" t="str">
        <f>IF(M121=FALSE,IF(Adatlap!$L$1="Magyar","Jelölje be!","Please, check!"),"")</f>
        <v>Jelölje be!</v>
      </c>
      <c r="C121" s="1158" t="str">
        <f>IF(Adatlap!L1="Magyar",Fordítások!C398,Fordítások!B398)</f>
        <v>Kijelentem, hogy a termék alábbi alapanyagainak az előállításához felhasznált pálmaolaj és pálmamagbélolaj fenntartható gazdálkodást folytató ültetvényekről származik.</v>
      </c>
      <c r="D121" s="1158"/>
      <c r="E121" s="1158"/>
      <c r="F121" s="1158"/>
      <c r="G121" s="1158"/>
      <c r="H121" s="1158"/>
      <c r="I121" s="1158"/>
      <c r="J121" s="1158"/>
      <c r="L121" s="572" t="b">
        <v>0</v>
      </c>
      <c r="N121" s="572" t="b">
        <v>0</v>
      </c>
      <c r="O121" s="721"/>
    </row>
    <row r="122" spans="3:10" ht="12.75">
      <c r="C122" s="814"/>
      <c r="D122" s="814"/>
      <c r="E122" s="814"/>
      <c r="I122" s="814"/>
      <c r="J122" s="814"/>
    </row>
    <row r="123" spans="2:15" ht="25.5" customHeight="1">
      <c r="B123" s="596" t="str">
        <f>IF(M123=FALSE,IF(Adatlap!$L$1="Magyar","Jelölje be!","Please, check!"),"")</f>
        <v>Jelölje be!</v>
      </c>
      <c r="C123" s="1158" t="str">
        <f>IF(Adatlap!L1="Magyar",Fordítások!C399,Fordítások!B399)</f>
        <v>Kijelentem, hogy a termék alábbi alapanyagainak az előállításához felhasznált pálmaolaj és pálmamagbélolaj fenntartható eredetét a felügyeleti lánc igazolása tanúsítja.</v>
      </c>
      <c r="D123" s="1158"/>
      <c r="E123" s="1158"/>
      <c r="F123" s="1158"/>
      <c r="G123" s="1158"/>
      <c r="H123" s="1158"/>
      <c r="I123" s="1158"/>
      <c r="J123" s="1158"/>
      <c r="L123" s="572" t="b">
        <v>0</v>
      </c>
      <c r="N123" s="572" t="b">
        <v>0</v>
      </c>
      <c r="O123" s="721"/>
    </row>
    <row r="125" spans="1:69" s="2" customFormat="1" ht="28.5" customHeight="1">
      <c r="A125" s="854"/>
      <c r="B125" s="1219" t="str">
        <f>IF(Adatlap!L1="Magyar",Fordítások!C402,Fordítások!B402)</f>
        <v>Az alapanyag neve</v>
      </c>
      <c r="C125" s="1219"/>
      <c r="D125" s="1219"/>
      <c r="E125" s="855" t="s">
        <v>1414</v>
      </c>
      <c r="F125" s="856" t="s">
        <v>1416</v>
      </c>
      <c r="G125" s="856" t="s">
        <v>1415</v>
      </c>
      <c r="H125" s="1219" t="str">
        <f>IF(Adatlap!L1="Magyar",Fordítások!C69,Fordítások!B69)</f>
        <v>Egyéb</v>
      </c>
      <c r="I125" s="1219"/>
      <c r="J125" s="854"/>
      <c r="K125" s="854"/>
      <c r="L125" s="635"/>
      <c r="M125" s="858"/>
      <c r="N125" s="858"/>
      <c r="O125" s="858"/>
      <c r="P125" s="858"/>
      <c r="Q125" s="858"/>
      <c r="R125" s="858"/>
      <c r="S125" s="858"/>
      <c r="T125" s="859"/>
      <c r="U125" s="854"/>
      <c r="V125" s="854"/>
      <c r="W125" s="854"/>
      <c r="X125" s="854"/>
      <c r="Y125" s="854"/>
      <c r="Z125" s="854"/>
      <c r="AA125" s="854"/>
      <c r="AB125" s="854"/>
      <c r="AC125" s="854"/>
      <c r="AD125" s="854"/>
      <c r="AE125" s="854"/>
      <c r="AF125" s="854"/>
      <c r="AG125" s="854"/>
      <c r="AH125" s="854"/>
      <c r="AI125" s="854"/>
      <c r="AJ125" s="854"/>
      <c r="AK125" s="854"/>
      <c r="AL125" s="854"/>
      <c r="AM125" s="854"/>
      <c r="AN125" s="854"/>
      <c r="AO125" s="854"/>
      <c r="AP125" s="854"/>
      <c r="AQ125" s="854"/>
      <c r="AR125" s="854"/>
      <c r="AS125" s="854"/>
      <c r="AT125" s="854"/>
      <c r="AU125" s="854"/>
      <c r="AV125" s="854"/>
      <c r="AW125" s="854"/>
      <c r="AX125" s="854"/>
      <c r="AY125" s="854"/>
      <c r="AZ125" s="854"/>
      <c r="BA125" s="854"/>
      <c r="BB125" s="854"/>
      <c r="BC125" s="854"/>
      <c r="BD125" s="854"/>
      <c r="BE125" s="854"/>
      <c r="BF125" s="854"/>
      <c r="BG125" s="854"/>
      <c r="BH125" s="854"/>
      <c r="BI125" s="854"/>
      <c r="BJ125" s="854"/>
      <c r="BK125" s="854"/>
      <c r="BL125" s="854"/>
      <c r="BM125" s="854"/>
      <c r="BN125" s="854"/>
      <c r="BO125" s="854"/>
      <c r="BP125" s="854"/>
      <c r="BQ125" s="854"/>
    </row>
    <row r="126" spans="2:14" ht="20.25" customHeight="1">
      <c r="B126" s="1223"/>
      <c r="C126" s="1223"/>
      <c r="D126" s="1223"/>
      <c r="E126" s="894"/>
      <c r="F126" s="895"/>
      <c r="G126" s="896"/>
      <c r="H126" s="1223"/>
      <c r="I126" s="1223"/>
      <c r="N126" s="722"/>
    </row>
    <row r="127" spans="2:9" ht="20.25" customHeight="1">
      <c r="B127" s="1223"/>
      <c r="C127" s="1223"/>
      <c r="D127" s="1223"/>
      <c r="E127" s="894"/>
      <c r="F127" s="895"/>
      <c r="G127" s="896"/>
      <c r="H127" s="1223"/>
      <c r="I127" s="1223"/>
    </row>
    <row r="128" spans="2:9" ht="20.25" customHeight="1">
      <c r="B128" s="1223"/>
      <c r="C128" s="1223"/>
      <c r="D128" s="1223"/>
      <c r="E128" s="894"/>
      <c r="F128" s="895"/>
      <c r="G128" s="896"/>
      <c r="H128" s="1223"/>
      <c r="I128" s="1223"/>
    </row>
    <row r="129" spans="2:9" ht="20.25" customHeight="1">
      <c r="B129" s="1223"/>
      <c r="C129" s="1223"/>
      <c r="D129" s="1223"/>
      <c r="E129" s="894"/>
      <c r="F129" s="895"/>
      <c r="G129" s="896"/>
      <c r="H129" s="1223"/>
      <c r="I129" s="1223"/>
    </row>
    <row r="130" spans="2:9" ht="20.25" customHeight="1">
      <c r="B130" s="1223"/>
      <c r="C130" s="1223"/>
      <c r="D130" s="1223"/>
      <c r="E130" s="894"/>
      <c r="F130" s="895"/>
      <c r="G130" s="896"/>
      <c r="H130" s="1223"/>
      <c r="I130" s="1223"/>
    </row>
    <row r="131" spans="2:9" ht="20.25" customHeight="1">
      <c r="B131" s="1223"/>
      <c r="C131" s="1223"/>
      <c r="D131" s="1223"/>
      <c r="E131" s="894"/>
      <c r="F131" s="895"/>
      <c r="G131" s="896"/>
      <c r="H131" s="1223"/>
      <c r="I131" s="1223"/>
    </row>
    <row r="133" spans="2:15" ht="26.25" customHeight="1">
      <c r="B133" s="596" t="str">
        <f>IF(AND(L133=FALSE,L123=TRUE),IF(Adatlap!$L$1="Magyar","Jelölje be!","Please, check!"),"")</f>
        <v/>
      </c>
      <c r="C133" s="527" t="str">
        <f>IF(Adatlap!L1="Magyar",Fordítások!C401,Fordítások!B401)</f>
        <v>Igazolásként csatolom a beszállítók nyilatkozatát.</v>
      </c>
      <c r="L133" s="572" t="b">
        <v>0</v>
      </c>
      <c r="O133" s="721" t="s">
        <v>1422</v>
      </c>
    </row>
    <row r="134" ht="12.75">
      <c r="O134" s="721" t="s">
        <v>1423</v>
      </c>
    </row>
    <row r="135" spans="1:14" ht="28.5" customHeight="1">
      <c r="A135" s="596" t="str">
        <f>IF(L135=FALSE,IF(Adatlap!$L$1="Magyar","Jelölje be!","Please, check!"),"")</f>
        <v>Jelölje be!</v>
      </c>
      <c r="B135" s="1236" t="str">
        <f>IF(Adatlap!L1="Magyar",Fordítások!C400,Fordítások!B400)</f>
        <v>Kijelentem, hogy a termék pálmaolaj, illetve pálmamagbélolaj kémiai származékaiból készült alapanyagot tartalmaz. Kijelentem továbbá, hogy  egy  „book and claim” rendszer  (forgalomképes tanúsítványok rendszere) tagjaként tanúsított termelőktől, feldolgozóktól és független kistermelőktől vásárolok tanúsítványokat.</v>
      </c>
      <c r="C135" s="1236"/>
      <c r="D135" s="1236"/>
      <c r="E135" s="1236"/>
      <c r="F135" s="1236"/>
      <c r="G135" s="1236"/>
      <c r="H135" s="1236"/>
      <c r="I135" s="1236"/>
      <c r="J135" s="1236"/>
      <c r="L135" s="572" t="b">
        <v>0</v>
      </c>
      <c r="N135" s="835" t="b">
        <v>0</v>
      </c>
    </row>
    <row r="136" spans="2:10" ht="24.75" customHeight="1">
      <c r="B136" s="1236"/>
      <c r="C136" s="1236"/>
      <c r="D136" s="1236"/>
      <c r="E136" s="1236"/>
      <c r="F136" s="1236"/>
      <c r="G136" s="1236"/>
      <c r="H136" s="1236"/>
      <c r="I136" s="1236"/>
      <c r="J136" s="1236"/>
    </row>
    <row r="138" spans="2:8" ht="25.5" customHeight="1">
      <c r="B138" s="1219" t="str">
        <f>B125</f>
        <v>Az alapanyag neve</v>
      </c>
      <c r="C138" s="1219"/>
      <c r="D138" s="1219"/>
      <c r="E138" s="1234" t="str">
        <f>IF(Adatlap!L1="Magyar",Fordítások!C403,Fordítások!B403)</f>
        <v>RSPO tanúsítványok</v>
      </c>
      <c r="F138" s="1234"/>
      <c r="G138" s="1219" t="str">
        <f>H125</f>
        <v>Egyéb</v>
      </c>
      <c r="H138" s="1219"/>
    </row>
    <row r="139" spans="2:8" ht="19.5" customHeight="1">
      <c r="B139" s="1255"/>
      <c r="C139" s="1169"/>
      <c r="D139" s="1169"/>
      <c r="E139" s="1169"/>
      <c r="F139" s="1169"/>
      <c r="G139" s="1169"/>
      <c r="H139" s="1169"/>
    </row>
    <row r="140" spans="2:8" ht="19.5" customHeight="1">
      <c r="B140" s="1169"/>
      <c r="C140" s="1169"/>
      <c r="D140" s="1169"/>
      <c r="E140" s="1169"/>
      <c r="F140" s="1169"/>
      <c r="G140" s="1169"/>
      <c r="H140" s="1169"/>
    </row>
    <row r="141" spans="2:8" ht="19.5" customHeight="1">
      <c r="B141" s="1169"/>
      <c r="C141" s="1169"/>
      <c r="D141" s="1169"/>
      <c r="E141" s="1169"/>
      <c r="F141" s="1169"/>
      <c r="G141" s="1169"/>
      <c r="H141" s="1169"/>
    </row>
    <row r="142" spans="2:8" ht="19.5" customHeight="1">
      <c r="B142" s="1169"/>
      <c r="C142" s="1169"/>
      <c r="D142" s="1169"/>
      <c r="E142" s="1169"/>
      <c r="F142" s="1169"/>
      <c r="G142" s="1169"/>
      <c r="H142" s="1169"/>
    </row>
    <row r="143" spans="2:8" ht="19.5" customHeight="1">
      <c r="B143" s="1169"/>
      <c r="C143" s="1169"/>
      <c r="D143" s="1169"/>
      <c r="E143" s="1169"/>
      <c r="F143" s="1169"/>
      <c r="G143" s="1169"/>
      <c r="H143" s="1169"/>
    </row>
    <row r="145" spans="2:15" ht="27" customHeight="1">
      <c r="B145" s="596" t="str">
        <f>IF(AND(L145=FALSE,L135=TRUE),IF(Adatlap!$L$1="Magyar","Jelölje be!","Please, check!"),"")</f>
        <v/>
      </c>
      <c r="C145" s="527" t="str">
        <f>IF(Adatlap!L1="Magyar",Fordítások!C401,Fordítások!B401)</f>
        <v>Igazolásként csatolom a beszállítók nyilatkozatát.</v>
      </c>
      <c r="O145" s="721" t="s">
        <v>1422</v>
      </c>
    </row>
    <row r="146" ht="12.75">
      <c r="O146" s="721" t="s">
        <v>1423</v>
      </c>
    </row>
    <row r="147" spans="1:10" ht="19.5" customHeight="1">
      <c r="A147" s="1228" t="str">
        <f>IF(OR(Adatlap!$M$3=3,Adatlap!$M$3=4),IF(Adatlap!L1="Magyar",Fordítások!C666,Fordítások!B666),IF(Adatlap!L1="Magyar",Fordítások!C665,Fordítások!B665))</f>
        <v xml:space="preserve">4. kritérium - </v>
      </c>
      <c r="B147" s="1228"/>
      <c r="C147" s="1229" t="str">
        <f>IF(Adatlap!$L$1="Magyar",Fordítások!C404,Fordítások!B404)</f>
        <v>Kizárt és korlátozás hatálya alá eső anyagok</v>
      </c>
      <c r="D147" s="1229"/>
      <c r="E147" s="1229"/>
      <c r="F147" s="1229"/>
      <c r="G147" s="1229"/>
      <c r="H147" s="1229"/>
      <c r="I147" s="1229"/>
      <c r="J147" s="1229"/>
    </row>
    <row r="148" ht="12.75" customHeight="1"/>
    <row r="149" spans="1:10" ht="12.75" customHeight="1">
      <c r="A149" s="599" t="str">
        <f>A46</f>
        <v>a)</v>
      </c>
      <c r="B149" s="1256" t="str">
        <f>IF(Adatlap!$L$1="Magyar",Fordítások!C405,Fordítások!B405)</f>
        <v>Kizárt és korlátozás hatálya alá eső meghatározott anyagok</v>
      </c>
      <c r="C149" s="1256"/>
      <c r="D149" s="1256"/>
      <c r="E149" s="1256"/>
      <c r="F149" s="1256"/>
      <c r="G149" s="1256"/>
      <c r="H149" s="1256"/>
      <c r="I149" s="1256"/>
      <c r="J149" s="1256"/>
    </row>
    <row r="150" spans="1:10" ht="12.75" customHeight="1">
      <c r="A150" s="599"/>
      <c r="B150" s="816"/>
      <c r="C150" s="816"/>
      <c r="D150" s="816"/>
      <c r="E150" s="816"/>
      <c r="F150" s="631"/>
      <c r="G150" s="639"/>
      <c r="H150" s="639"/>
      <c r="I150" s="816"/>
      <c r="J150" s="816"/>
    </row>
    <row r="151" spans="1:10" ht="12.75" customHeight="1">
      <c r="A151" s="599"/>
      <c r="B151" s="1257" t="str">
        <f>IF(Adatlap!$L$1="Magyar",Fordítások!C406,Fordítások!B406)</f>
        <v>i. Kizárt anyagok</v>
      </c>
      <c r="C151" s="1257"/>
      <c r="D151" s="1257"/>
      <c r="E151" s="1257"/>
      <c r="F151" s="1257"/>
      <c r="G151" s="1257"/>
      <c r="H151" s="1257"/>
      <c r="I151" s="1257"/>
      <c r="J151" s="1257"/>
    </row>
    <row r="153" spans="1:12" ht="24.75" customHeight="1">
      <c r="A153" s="528" t="str">
        <f>IF(L153=FALSE,IF(Adatlap!$L$1="Magyar","Jelölje be!","Please, check!"),"")</f>
        <v>Jelölje be!</v>
      </c>
      <c r="B153" s="1158" t="str">
        <f>IF(Adatlap!$L$1="Magyar",Fordítások!C407,Fordítások!B407)</f>
        <v>Kijelentem, hogy az alábbiakban felsorolt anyagok semmilyen koncentrációban nem szerepelnek a termék összetételében:</v>
      </c>
      <c r="C153" s="1158"/>
      <c r="D153" s="1158"/>
      <c r="E153" s="1158"/>
      <c r="F153" s="1158"/>
      <c r="G153" s="1158"/>
      <c r="H153" s="1158"/>
      <c r="I153" s="1158"/>
      <c r="J153" s="1158"/>
      <c r="L153" s="572" t="b">
        <v>0</v>
      </c>
    </row>
    <row r="154" spans="1:2" ht="18" customHeight="1">
      <c r="A154" s="608" t="s">
        <v>1470</v>
      </c>
      <c r="B154" s="523" t="str">
        <f>IF(Adatlap!$L$1="Magyar",Fordítások!C409,Fordítások!B409)</f>
        <v xml:space="preserve">alkil-fenol-etoxilátok (APEO-k) és egyéb alkil-fenol-származékok, </v>
      </c>
    </row>
    <row r="155" spans="1:10" ht="12.75">
      <c r="A155" s="608" t="s">
        <v>1470</v>
      </c>
      <c r="B155" s="1147" t="str">
        <f>IF(Adatlap!$L$1="Magyar",Fordítások!C410,Fordítások!B410)</f>
        <v xml:space="preserve">atranol, </v>
      </c>
      <c r="C155" s="1147"/>
      <c r="D155" s="1147"/>
      <c r="E155" s="1147"/>
      <c r="F155" s="1147"/>
      <c r="G155" s="1147"/>
      <c r="H155" s="1147"/>
      <c r="I155" s="1147"/>
      <c r="J155" s="1147"/>
    </row>
    <row r="156" spans="1:10" ht="12.75">
      <c r="A156" s="608" t="s">
        <v>1470</v>
      </c>
      <c r="B156" s="1147" t="str">
        <f>IF(Adatlap!$L$1="Magyar",Fordítások!C411,Fordítások!B411)</f>
        <v xml:space="preserve">klóratranol, </v>
      </c>
      <c r="C156" s="1147"/>
      <c r="D156" s="1147"/>
      <c r="E156" s="1147"/>
      <c r="F156" s="1147"/>
      <c r="G156" s="1147"/>
      <c r="H156" s="1147"/>
      <c r="I156" s="1147"/>
      <c r="J156" s="1147"/>
    </row>
    <row r="157" spans="1:10" ht="12.75">
      <c r="A157" s="608" t="s">
        <v>1470</v>
      </c>
      <c r="B157" s="1147" t="str">
        <f>IF(Adatlap!$L$1="Magyar",Fordítások!C412,Fordítások!B412)</f>
        <v xml:space="preserve">dietilén-triamin-pentaecetsav (DTPA), </v>
      </c>
      <c r="C157" s="1147"/>
      <c r="D157" s="1147"/>
      <c r="E157" s="1147"/>
      <c r="F157" s="1147"/>
      <c r="G157" s="1147"/>
      <c r="H157" s="1147"/>
      <c r="I157" s="1147"/>
      <c r="J157" s="1147"/>
    </row>
    <row r="158" spans="1:10" ht="12.75">
      <c r="A158" s="608" t="s">
        <v>1470</v>
      </c>
      <c r="B158" s="1147" t="str">
        <f>IF(Adatlap!$L$1="Magyar",Fordítások!C413,Fordítások!B413)</f>
        <v xml:space="preserve">etilén-diamin-tetraecetsav (EDTA) és sói, </v>
      </c>
      <c r="C158" s="1147"/>
      <c r="D158" s="1147"/>
      <c r="E158" s="1147"/>
      <c r="F158" s="1147"/>
      <c r="G158" s="1147"/>
      <c r="H158" s="1147"/>
      <c r="I158" s="1147"/>
      <c r="J158" s="1147"/>
    </row>
    <row r="159" spans="1:10" ht="51" customHeight="1">
      <c r="A159" s="929" t="s">
        <v>1470</v>
      </c>
      <c r="B159" s="1202" t="str">
        <f>IF(Adatlap!$L$1="Magyar",Fordítások!C414,Fordítások!B414)</f>
        <v xml:space="preserve">formaldehid és az olyan anyagok, amelyekből felszabadul (pl. 2-bróm-2-nitropropán-1,3-diol, 5-bróm-5-nitro1,3-dioxán, nátrium-hidroxi-metil-glicinát, diazolidinil-karbamid), kivéve a polialkoxi-vegyészettel kialakított felületaktív anyagokban előforduló formaldehidszennyeződéseket az alapanyag 0,010 %(m/m)-ának megfelelő koncentrációig, </v>
      </c>
      <c r="C159" s="1202"/>
      <c r="D159" s="1202"/>
      <c r="E159" s="1202"/>
      <c r="F159" s="1202"/>
      <c r="G159" s="1202"/>
      <c r="H159" s="1202"/>
      <c r="I159" s="1202"/>
      <c r="J159" s="1202"/>
    </row>
    <row r="160" spans="1:8" ht="12.75">
      <c r="A160" s="608" t="s">
        <v>1470</v>
      </c>
      <c r="B160" s="523" t="str">
        <f>IF(Adatlap!$L$1="Magyar",Fordítások!C704,Fordítások!B704)</f>
        <v>(csak professzionális termékek esetében) illatanyagok,</v>
      </c>
      <c r="F160" s="523"/>
      <c r="G160" s="523"/>
      <c r="H160" s="523"/>
    </row>
    <row r="161" spans="1:8" ht="12.75">
      <c r="A161" s="608" t="s">
        <v>1470</v>
      </c>
      <c r="B161" s="523" t="str">
        <f>IF(Adatlap!$L$1="Magyar",Fordítások!C415,Fordítások!B415)</f>
        <v xml:space="preserve">glutáraldehid, </v>
      </c>
      <c r="F161" s="523"/>
      <c r="G161" s="523"/>
      <c r="H161" s="523"/>
    </row>
    <row r="162" spans="1:8" ht="12.75">
      <c r="A162" s="608" t="s">
        <v>1470</v>
      </c>
      <c r="B162" s="523" t="str">
        <f>IF(Adatlap!$L$1="Magyar",Fordítások!C416,Fordítások!B416)</f>
        <v xml:space="preserve">hidroxi-izohexil-3-ciklohexén-karboxaldehid (HICC), </v>
      </c>
      <c r="F162" s="523"/>
      <c r="G162" s="523"/>
      <c r="H162" s="523"/>
    </row>
    <row r="163" spans="1:8" ht="12.75">
      <c r="A163" s="608" t="s">
        <v>1470</v>
      </c>
      <c r="B163" s="523" t="str">
        <f>IF(Adatlap!$L$1="Magyar",Fordítások!C417,Fordítások!B417)</f>
        <v xml:space="preserve">mikroműanyagok, </v>
      </c>
      <c r="F163" s="523"/>
      <c r="G163" s="523"/>
      <c r="H163" s="523"/>
    </row>
    <row r="164" spans="1:8" ht="12.75">
      <c r="A164" s="608" t="s">
        <v>1470</v>
      </c>
      <c r="B164" s="523" t="str">
        <f>IF(Adatlap!$L$1="Magyar",Fordítások!C418,Fordítások!B418)</f>
        <v xml:space="preserve">nanoezüst, </v>
      </c>
      <c r="F164" s="523"/>
      <c r="G164" s="523"/>
      <c r="H164" s="523"/>
    </row>
    <row r="165" spans="1:8" ht="12.75">
      <c r="A165" s="608" t="s">
        <v>1470</v>
      </c>
      <c r="B165" s="523" t="str">
        <f>IF(Adatlap!$L$1="Magyar",Fordítások!C419,Fordítások!B419)</f>
        <v xml:space="preserve">nitropézsmák és policiklusos pézsmák, </v>
      </c>
      <c r="F165" s="523"/>
      <c r="G165" s="523"/>
      <c r="H165" s="523"/>
    </row>
    <row r="166" spans="1:8" ht="12.75">
      <c r="A166" s="608" t="s">
        <v>1470</v>
      </c>
      <c r="B166" s="523" t="str">
        <f>IF(Adatlap!$L$1="Magyar",Fordítások!C420,Fordítások!B420)</f>
        <v xml:space="preserve">foszfátok, </v>
      </c>
      <c r="F166" s="523"/>
      <c r="G166" s="523"/>
      <c r="H166" s="523"/>
    </row>
    <row r="167" spans="1:8" ht="12.75">
      <c r="A167" s="608" t="s">
        <v>1470</v>
      </c>
      <c r="B167" s="523" t="str">
        <f>IF(Adatlap!$L$1="Magyar",Fordítások!C421,Fordítások!B421)</f>
        <v xml:space="preserve">perfluorozott alkilátok, </v>
      </c>
      <c r="F167" s="523"/>
      <c r="G167" s="523"/>
      <c r="H167" s="523"/>
    </row>
    <row r="168" spans="1:8" ht="12.75">
      <c r="A168" s="608" t="s">
        <v>1470</v>
      </c>
      <c r="B168" s="523" t="str">
        <f>IF(Adatlap!$L$1="Magyar",Fordítások!C422,Fordítások!B422)</f>
        <v xml:space="preserve">biológiai úton nehezen lebontható kvaterner ammóniumsók, </v>
      </c>
      <c r="F168" s="523"/>
      <c r="G168" s="523"/>
      <c r="H168" s="523"/>
    </row>
    <row r="169" spans="1:8" ht="12.75">
      <c r="A169" s="608" t="s">
        <v>1470</v>
      </c>
      <c r="B169" s="523" t="str">
        <f>IF(Adatlap!$L$1="Magyar",Fordítások!C423,Fordítások!B423)</f>
        <v xml:space="preserve">reaktív klórvegyületek, </v>
      </c>
      <c r="F169" s="523"/>
      <c r="G169" s="523"/>
      <c r="H169" s="523"/>
    </row>
    <row r="170" spans="1:8" ht="12.75">
      <c r="A170" s="608" t="s">
        <v>1470</v>
      </c>
      <c r="B170" s="523" t="str">
        <f>IF(Adatlap!$L$1="Magyar",Fordítások!C424,Fordítások!B424)</f>
        <v xml:space="preserve">rhodamin B, </v>
      </c>
      <c r="F170" s="523"/>
      <c r="G170" s="523"/>
      <c r="H170" s="523"/>
    </row>
    <row r="171" spans="1:8" ht="12.75" hidden="1">
      <c r="A171" s="608" t="s">
        <v>1470</v>
      </c>
      <c r="B171" s="523" t="str">
        <f>IF(Adatlap!$L$1="Magyar",Fordítások!C703,Fordítások!B703)</f>
        <v>nátrium-hidroxi-metil-glicinát,</v>
      </c>
      <c r="F171" s="523"/>
      <c r="G171" s="523"/>
      <c r="H171" s="523"/>
    </row>
    <row r="172" spans="1:8" ht="12.75">
      <c r="A172" s="608" t="s">
        <v>1470</v>
      </c>
      <c r="B172" s="523" t="str">
        <f>IF(Adatlap!$L$1="Magyar",Fordítások!C425,Fordítások!B425)</f>
        <v xml:space="preserve">triklozán, </v>
      </c>
      <c r="F172" s="523"/>
      <c r="G172" s="523"/>
      <c r="H172" s="523"/>
    </row>
    <row r="173" spans="1:8" ht="12.75">
      <c r="A173" s="608" t="s">
        <v>1470</v>
      </c>
      <c r="B173" s="523" t="str">
        <f>IF(Adatlap!$L$1="Magyar",Fordítások!C426,Fordítások!B426)</f>
        <v xml:space="preserve">3-jód-2-propinil-butilkarbamát, </v>
      </c>
      <c r="F173" s="523"/>
      <c r="G173" s="523"/>
      <c r="H173" s="523"/>
    </row>
    <row r="174" spans="1:8" ht="12.75" hidden="1">
      <c r="A174" s="608" t="s">
        <v>1470</v>
      </c>
      <c r="B174" s="523" t="str">
        <f>IF(Adatlap!$L$1="Magyar",Fordítások!C427,Fordítások!B427)</f>
        <v xml:space="preserve">aromás szénhidrogének, </v>
      </c>
      <c r="F174" s="523"/>
      <c r="G174" s="523"/>
      <c r="H174" s="523"/>
    </row>
    <row r="175" spans="1:2" ht="25.5" customHeight="1" hidden="1">
      <c r="A175" s="929" t="s">
        <v>1470</v>
      </c>
      <c r="B175" s="646" t="str">
        <f>IF(Adatlap!$L$1="Magyar",Fordítások!C428,Fordítások!B428)</f>
        <v xml:space="preserve">halogénezett szénhidrogének. </v>
      </c>
    </row>
    <row r="176" spans="1:12" ht="30" customHeight="1">
      <c r="A176" s="528" t="str">
        <f>IF(L176=FALSE,IF(Adatlap!$L$1="Magyar","Jelölje be!","Please, check!"),"")</f>
        <v>Jelölje be!</v>
      </c>
      <c r="B176" s="1158" t="str">
        <f>IF(Adatlap!$L$1="Magyar",Fordítások!C408,Fordítások!B408)</f>
        <v>Csatolom a szállító(k) megfelelőségi nyilatkozatát, amely(ek) megerősíti(k), hogy a felsorolt anyagok semmilyen koncentrációban sem szerepelnek a termék összetételében.</v>
      </c>
      <c r="C176" s="1158"/>
      <c r="D176" s="1158"/>
      <c r="E176" s="1158"/>
      <c r="F176" s="1158"/>
      <c r="G176" s="1158"/>
      <c r="H176" s="1158"/>
      <c r="I176" s="1158"/>
      <c r="J176" s="1158"/>
      <c r="L176" s="572" t="b">
        <v>0</v>
      </c>
    </row>
    <row r="178" ht="13">
      <c r="B178" s="609" t="str">
        <f>IF(Adatlap!$L$1="Magyar",CONCATENATE("ii. ",Fordítások!C429,"ok"),CONCATENATE("(ii) ",Fordítások!B429,"s"))</f>
        <v>ii. Korlátozás hatálya alá eső anyagok</v>
      </c>
    </row>
    <row r="180" spans="1:12" ht="25" customHeight="1">
      <c r="A180" s="528" t="str">
        <f>IF(L180=FALSE,IF(Adatlap!$L$1="Magyar","Jelölje be!","Please, check!"),"")</f>
        <v>Jelölje be!</v>
      </c>
      <c r="B180" s="1158" t="str">
        <f>IF(Adatlap!$L$1="Magyar",Fordítások!C435,Fordítások!B435)</f>
        <v>Kijelentem, hogy a termék összetételében az itt megadottnál nagyobb koncentrációban az alábbiakban felsorolt anyagok egyike sem szerepel.  (A termék által tartalmazott összetevőhöz írja be a koncentrációt!)</v>
      </c>
      <c r="C180" s="1158"/>
      <c r="D180" s="1158"/>
      <c r="E180" s="1158"/>
      <c r="F180" s="1158"/>
      <c r="G180" s="1158"/>
      <c r="H180" s="1158"/>
      <c r="I180" s="1158"/>
      <c r="J180" s="1158"/>
      <c r="L180" s="572" t="b">
        <v>0</v>
      </c>
    </row>
    <row r="182" spans="1:69" s="564" customFormat="1" ht="45.75" customHeight="1">
      <c r="A182" s="527"/>
      <c r="B182" s="1237" t="str">
        <f>IF(Adatlap!$L$1="Magyar",Fordítások!C429,Fordítások!B429)</f>
        <v>Korlátozás hatálya alá eső anyag</v>
      </c>
      <c r="C182" s="1238"/>
      <c r="D182" s="1238"/>
      <c r="E182" s="1238"/>
      <c r="F182" s="1239"/>
      <c r="G182" s="1234" t="str">
        <f>IF(Adatlap!$L$1="Magyar",CONCATENATE(Fordítások!C434,", ",Fordítások!C433),CONCATENATE(Fordítások!B434," ",Fordítások!B433))</f>
        <v>Koncentráció a termékben, % (m/m)</v>
      </c>
      <c r="H182" s="1234"/>
      <c r="I182" s="1234" t="str">
        <f>IF(Adatlap!$L$1="Magyar",CONCATENATE(Fordítások!C89," ",Fordítások!C433),CONCATENATE(Fordítások!B89," ",Fordítások!B433))</f>
        <v>Határérték % (m/m)</v>
      </c>
      <c r="J182" s="1234"/>
      <c r="K182" s="527"/>
      <c r="L182" s="573"/>
      <c r="M182" s="847"/>
      <c r="N182" s="847"/>
      <c r="O182" s="847"/>
      <c r="P182" s="847"/>
      <c r="Q182" s="847"/>
      <c r="R182" s="847"/>
      <c r="S182" s="847"/>
      <c r="T182" s="848"/>
      <c r="U182" s="527"/>
      <c r="V182" s="527"/>
      <c r="W182" s="527"/>
      <c r="X182" s="527"/>
      <c r="Y182" s="527"/>
      <c r="Z182" s="527"/>
      <c r="AA182" s="527"/>
      <c r="AB182" s="527"/>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27"/>
      <c r="AY182" s="527"/>
      <c r="AZ182" s="527"/>
      <c r="BA182" s="527"/>
      <c r="BB182" s="527"/>
      <c r="BC182" s="527"/>
      <c r="BD182" s="527"/>
      <c r="BE182" s="527"/>
      <c r="BF182" s="527"/>
      <c r="BG182" s="527"/>
      <c r="BH182" s="527"/>
      <c r="BI182" s="527"/>
      <c r="BJ182" s="527"/>
      <c r="BK182" s="527"/>
      <c r="BL182" s="527"/>
      <c r="BM182" s="527"/>
      <c r="BN182" s="527"/>
      <c r="BO182" s="527"/>
      <c r="BP182" s="527"/>
      <c r="BQ182" s="527"/>
    </row>
    <row r="183" spans="2:10" ht="12.75">
      <c r="B183" s="1235" t="str">
        <f>IF(Adatlap!$L$1="Magyar",Fordítások!C430,Fordítások!B430)</f>
        <v>2-metil-2H-izotiazol-3-on</v>
      </c>
      <c r="C183" s="1235"/>
      <c r="D183" s="1235"/>
      <c r="E183" s="1235"/>
      <c r="F183" s="1235"/>
      <c r="G183" s="1240"/>
      <c r="H183" s="1241"/>
      <c r="I183" s="1233" t="s">
        <v>2252</v>
      </c>
      <c r="J183" s="1233"/>
    </row>
    <row r="184" spans="2:10" ht="12.75">
      <c r="B184" s="1235" t="str">
        <f>IF(Adatlap!$L$1="Magyar",Fordítások!C431,Fordítások!B431)</f>
        <v>1,2-benzizotiazol-3(2H)-on</v>
      </c>
      <c r="C184" s="1235"/>
      <c r="D184" s="1235"/>
      <c r="E184" s="1235"/>
      <c r="F184" s="1235"/>
      <c r="G184" s="1240"/>
      <c r="H184" s="1241"/>
      <c r="I184" s="1233">
        <v>0.005</v>
      </c>
      <c r="J184" s="1233"/>
    </row>
    <row r="185" spans="2:10" ht="12.75">
      <c r="B185" s="817" t="str">
        <f>IF(Adatlap!$L$1="Magyar",Fordítások!C432,Fordítások!B432)</f>
        <v>5-klór-2-metil-4-izotiazolin-3-on/2-metil-4-izotiazolin-3-on</v>
      </c>
      <c r="C185" s="817"/>
      <c r="D185" s="817"/>
      <c r="E185" s="817"/>
      <c r="F185" s="643"/>
      <c r="G185" s="1240"/>
      <c r="H185" s="1241"/>
      <c r="I185" s="1233">
        <v>0.0015</v>
      </c>
      <c r="J185" s="1233"/>
    </row>
    <row r="187" spans="1:12" ht="25" customHeight="1">
      <c r="A187" s="528" t="str">
        <f>IF(L187=FALSE,IF(Adatlap!$L$1="Magyar","Jelölje be!","Please, check!"),"")</f>
        <v>Jelölje be!</v>
      </c>
      <c r="B187" s="1202" t="str">
        <f>IF(Adatlap!$L$1="Magyar",Fordítások!C436,Fordítások!B436)</f>
        <v>Csatolom a beszállító(k) megfelelőségi nyilatkozatát.</v>
      </c>
      <c r="C187" s="1202"/>
      <c r="D187" s="1202"/>
      <c r="E187" s="1202"/>
      <c r="F187" s="1202"/>
      <c r="G187" s="1202"/>
      <c r="H187" s="1202"/>
      <c r="I187" s="1202"/>
      <c r="J187" s="1202"/>
      <c r="L187" s="572" t="b">
        <v>0</v>
      </c>
    </row>
    <row r="189" spans="1:15" ht="27.75" customHeight="1">
      <c r="A189" s="528" t="str">
        <f>IF(L189=FALSE,IF(Adatlap!$L$1="Magyar","Jelölje be!","Please, check!"),"")</f>
        <v>Jelölje be!</v>
      </c>
      <c r="B189" s="1202" t="s">
        <v>2081</v>
      </c>
      <c r="C189" s="1202"/>
      <c r="D189" s="1202"/>
      <c r="E189" s="1202"/>
      <c r="F189" s="1202"/>
      <c r="G189" s="1202"/>
      <c r="H189" s="1202"/>
      <c r="I189" s="1202"/>
      <c r="J189" s="1202"/>
      <c r="L189" s="572" t="b">
        <v>0</v>
      </c>
      <c r="N189" s="721" t="s">
        <v>2239</v>
      </c>
      <c r="O189" s="723"/>
    </row>
    <row r="190" spans="1:69" s="662" customFormat="1" ht="12.75" customHeight="1" hidden="1">
      <c r="A190" s="523"/>
      <c r="B190" s="523"/>
      <c r="C190" s="523"/>
      <c r="D190" s="523"/>
      <c r="E190" s="523"/>
      <c r="F190" s="535"/>
      <c r="G190" s="813"/>
      <c r="H190" s="813"/>
      <c r="I190" s="523"/>
      <c r="J190" s="523"/>
      <c r="K190" s="653"/>
      <c r="L190" s="820"/>
      <c r="M190" s="839"/>
      <c r="N190" s="839"/>
      <c r="O190" s="839"/>
      <c r="P190" s="839"/>
      <c r="Q190" s="839"/>
      <c r="R190" s="839"/>
      <c r="S190" s="839"/>
      <c r="T190" s="851"/>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3"/>
      <c r="AY190" s="653"/>
      <c r="AZ190" s="653"/>
      <c r="BA190" s="653"/>
      <c r="BB190" s="653"/>
      <c r="BC190" s="653"/>
      <c r="BD190" s="653"/>
      <c r="BE190" s="653"/>
      <c r="BF190" s="653"/>
      <c r="BG190" s="653"/>
      <c r="BH190" s="653"/>
      <c r="BI190" s="653"/>
      <c r="BJ190" s="653"/>
      <c r="BK190" s="653"/>
      <c r="BL190" s="653"/>
      <c r="BM190" s="653"/>
      <c r="BN190" s="653"/>
      <c r="BO190" s="653"/>
      <c r="BP190" s="653"/>
      <c r="BQ190" s="653"/>
    </row>
    <row r="191" spans="1:69" s="662" customFormat="1" ht="33" customHeight="1" hidden="1">
      <c r="A191" s="523"/>
      <c r="B191" s="1204" t="s">
        <v>1043</v>
      </c>
      <c r="C191" s="1205"/>
      <c r="D191" s="1205"/>
      <c r="E191" s="1205"/>
      <c r="F191" s="1242" t="s">
        <v>1484</v>
      </c>
      <c r="G191" s="1243"/>
      <c r="H191" s="1242" t="s">
        <v>2245</v>
      </c>
      <c r="I191" s="1243"/>
      <c r="J191" s="1243"/>
      <c r="K191" s="653"/>
      <c r="L191" s="820"/>
      <c r="M191" s="839"/>
      <c r="N191" s="839"/>
      <c r="O191" s="839"/>
      <c r="P191" s="839"/>
      <c r="Q191" s="839"/>
      <c r="R191" s="839"/>
      <c r="S191" s="839"/>
      <c r="T191" s="851"/>
      <c r="U191" s="653"/>
      <c r="V191" s="653"/>
      <c r="W191" s="653"/>
      <c r="X191" s="653"/>
      <c r="Y191" s="653"/>
      <c r="Z191" s="653"/>
      <c r="AA191" s="653"/>
      <c r="AB191" s="653"/>
      <c r="AC191" s="653"/>
      <c r="AD191" s="653"/>
      <c r="AE191" s="653"/>
      <c r="AF191" s="653"/>
      <c r="AG191" s="653"/>
      <c r="AH191" s="653"/>
      <c r="AI191" s="653"/>
      <c r="AJ191" s="653"/>
      <c r="AK191" s="653"/>
      <c r="AL191" s="653"/>
      <c r="AM191" s="653"/>
      <c r="AN191" s="653"/>
      <c r="AO191" s="653"/>
      <c r="AP191" s="653"/>
      <c r="AQ191" s="653"/>
      <c r="AR191" s="653"/>
      <c r="AS191" s="653"/>
      <c r="AT191" s="653"/>
      <c r="AU191" s="653"/>
      <c r="AV191" s="653"/>
      <c r="AW191" s="653"/>
      <c r="AX191" s="653"/>
      <c r="AY191" s="653"/>
      <c r="AZ191" s="653"/>
      <c r="BA191" s="653"/>
      <c r="BB191" s="653"/>
      <c r="BC191" s="653"/>
      <c r="BD191" s="653"/>
      <c r="BE191" s="653"/>
      <c r="BF191" s="653"/>
      <c r="BG191" s="653"/>
      <c r="BH191" s="653"/>
      <c r="BI191" s="653"/>
      <c r="BJ191" s="653"/>
      <c r="BK191" s="653"/>
      <c r="BL191" s="653"/>
      <c r="BM191" s="653"/>
      <c r="BN191" s="653"/>
      <c r="BO191" s="653"/>
      <c r="BP191" s="653"/>
      <c r="BQ191" s="653"/>
    </row>
    <row r="192" spans="1:69" s="662" customFormat="1" ht="12.75" customHeight="1" hidden="1">
      <c r="A192" s="523"/>
      <c r="B192" s="1165" t="s">
        <v>2246</v>
      </c>
      <c r="C192" s="1164"/>
      <c r="D192" s="1164"/>
      <c r="E192" s="1164"/>
      <c r="F192" s="1163"/>
      <c r="G192" s="1164"/>
      <c r="H192" s="1247" t="s">
        <v>2247</v>
      </c>
      <c r="I192" s="1167"/>
      <c r="J192" s="1167"/>
      <c r="K192" s="653"/>
      <c r="L192" s="820"/>
      <c r="M192" s="839"/>
      <c r="N192" s="839"/>
      <c r="O192" s="839"/>
      <c r="P192" s="839"/>
      <c r="Q192" s="839"/>
      <c r="R192" s="839"/>
      <c r="S192" s="839"/>
      <c r="T192" s="851"/>
      <c r="U192" s="653"/>
      <c r="V192" s="653"/>
      <c r="W192" s="653"/>
      <c r="X192" s="653"/>
      <c r="Y192" s="653"/>
      <c r="Z192" s="653"/>
      <c r="AA192" s="653"/>
      <c r="AB192" s="653"/>
      <c r="AC192" s="653"/>
      <c r="AD192" s="653"/>
      <c r="AE192" s="653"/>
      <c r="AF192" s="653"/>
      <c r="AG192" s="653"/>
      <c r="AH192" s="653"/>
      <c r="AI192" s="653"/>
      <c r="AJ192" s="653"/>
      <c r="AK192" s="653"/>
      <c r="AL192" s="653"/>
      <c r="AM192" s="653"/>
      <c r="AN192" s="653"/>
      <c r="AO192" s="653"/>
      <c r="AP192" s="653"/>
      <c r="AQ192" s="653"/>
      <c r="AR192" s="653"/>
      <c r="AS192" s="653"/>
      <c r="AT192" s="653"/>
      <c r="AU192" s="653"/>
      <c r="AV192" s="653"/>
      <c r="AW192" s="653"/>
      <c r="AX192" s="653"/>
      <c r="AY192" s="653"/>
      <c r="AZ192" s="653"/>
      <c r="BA192" s="653"/>
      <c r="BB192" s="653"/>
      <c r="BC192" s="653"/>
      <c r="BD192" s="653"/>
      <c r="BE192" s="653"/>
      <c r="BF192" s="653"/>
      <c r="BG192" s="653"/>
      <c r="BH192" s="653"/>
      <c r="BI192" s="653"/>
      <c r="BJ192" s="653"/>
      <c r="BK192" s="653"/>
      <c r="BL192" s="653"/>
      <c r="BM192" s="653"/>
      <c r="BN192" s="653"/>
      <c r="BO192" s="653"/>
      <c r="BP192" s="653"/>
      <c r="BQ192" s="653"/>
    </row>
    <row r="193" spans="1:69" s="662" customFormat="1" ht="12.75" customHeight="1" hidden="1">
      <c r="A193" s="523"/>
      <c r="B193" s="1165" t="s">
        <v>1035</v>
      </c>
      <c r="C193" s="1164"/>
      <c r="D193" s="1164"/>
      <c r="E193" s="1164"/>
      <c r="F193" s="1163"/>
      <c r="G193" s="1164"/>
      <c r="H193" s="1247" t="s">
        <v>2248</v>
      </c>
      <c r="I193" s="1167"/>
      <c r="J193" s="1167"/>
      <c r="K193" s="653"/>
      <c r="L193" s="820"/>
      <c r="M193" s="839"/>
      <c r="N193" s="839"/>
      <c r="O193" s="839"/>
      <c r="P193" s="839"/>
      <c r="Q193" s="839"/>
      <c r="R193" s="839"/>
      <c r="S193" s="839"/>
      <c r="T193" s="851"/>
      <c r="U193" s="653"/>
      <c r="V193" s="653"/>
      <c r="W193" s="653"/>
      <c r="X193" s="653"/>
      <c r="Y193" s="653"/>
      <c r="Z193" s="653"/>
      <c r="AA193" s="653"/>
      <c r="AB193" s="653"/>
      <c r="AC193" s="653"/>
      <c r="AD193" s="653"/>
      <c r="AE193" s="653"/>
      <c r="AF193" s="653"/>
      <c r="AG193" s="653"/>
      <c r="AH193" s="653"/>
      <c r="AI193" s="653"/>
      <c r="AJ193" s="653"/>
      <c r="AK193" s="653"/>
      <c r="AL193" s="653"/>
      <c r="AM193" s="653"/>
      <c r="AN193" s="653"/>
      <c r="AO193" s="653"/>
      <c r="AP193" s="653"/>
      <c r="AQ193" s="653"/>
      <c r="AR193" s="653"/>
      <c r="AS193" s="653"/>
      <c r="AT193" s="653"/>
      <c r="AU193" s="653"/>
      <c r="AV193" s="653"/>
      <c r="AW193" s="653"/>
      <c r="AX193" s="653"/>
      <c r="AY193" s="653"/>
      <c r="AZ193" s="653"/>
      <c r="BA193" s="653"/>
      <c r="BB193" s="653"/>
      <c r="BC193" s="653"/>
      <c r="BD193" s="653"/>
      <c r="BE193" s="653"/>
      <c r="BF193" s="653"/>
      <c r="BG193" s="653"/>
      <c r="BH193" s="653"/>
      <c r="BI193" s="653"/>
      <c r="BJ193" s="653"/>
      <c r="BK193" s="653"/>
      <c r="BL193" s="653"/>
      <c r="BM193" s="653"/>
      <c r="BN193" s="653"/>
      <c r="BO193" s="653"/>
      <c r="BP193" s="653"/>
      <c r="BQ193" s="653"/>
    </row>
    <row r="194" spans="1:69" s="662" customFormat="1" ht="12.75" customHeight="1" hidden="1">
      <c r="A194" s="523"/>
      <c r="B194" s="1165" t="s">
        <v>1250</v>
      </c>
      <c r="C194" s="1164"/>
      <c r="D194" s="1164"/>
      <c r="E194" s="1164"/>
      <c r="F194" s="1166"/>
      <c r="G194" s="1167"/>
      <c r="H194" s="1248" t="s">
        <v>2212</v>
      </c>
      <c r="I194" s="1249"/>
      <c r="J194" s="1249"/>
      <c r="K194" s="653"/>
      <c r="L194" s="820"/>
      <c r="M194" s="839"/>
      <c r="N194" s="839"/>
      <c r="O194" s="839"/>
      <c r="P194" s="839"/>
      <c r="Q194" s="839"/>
      <c r="R194" s="839"/>
      <c r="S194" s="839"/>
      <c r="T194" s="851"/>
      <c r="U194" s="653"/>
      <c r="V194" s="653"/>
      <c r="W194" s="653"/>
      <c r="X194" s="653"/>
      <c r="Y194" s="653"/>
      <c r="Z194" s="653"/>
      <c r="AA194" s="653"/>
      <c r="AB194" s="653"/>
      <c r="AC194" s="653"/>
      <c r="AD194" s="653"/>
      <c r="AE194" s="653"/>
      <c r="AF194" s="653"/>
      <c r="AG194" s="653"/>
      <c r="AH194" s="653"/>
      <c r="AI194" s="653"/>
      <c r="AJ194" s="653"/>
      <c r="AK194" s="653"/>
      <c r="AL194" s="653"/>
      <c r="AM194" s="653"/>
      <c r="AN194" s="653"/>
      <c r="AO194" s="653"/>
      <c r="AP194" s="653"/>
      <c r="AQ194" s="653"/>
      <c r="AR194" s="653"/>
      <c r="AS194" s="653"/>
      <c r="AT194" s="653"/>
      <c r="AU194" s="653"/>
      <c r="AV194" s="653"/>
      <c r="AW194" s="653"/>
      <c r="AX194" s="653"/>
      <c r="AY194" s="653"/>
      <c r="AZ194" s="653"/>
      <c r="BA194" s="653"/>
      <c r="BB194" s="653"/>
      <c r="BC194" s="653"/>
      <c r="BD194" s="653"/>
      <c r="BE194" s="653"/>
      <c r="BF194" s="653"/>
      <c r="BG194" s="653"/>
      <c r="BH194" s="653"/>
      <c r="BI194" s="653"/>
      <c r="BJ194" s="653"/>
      <c r="BK194" s="653"/>
      <c r="BL194" s="653"/>
      <c r="BM194" s="653"/>
      <c r="BN194" s="653"/>
      <c r="BO194" s="653"/>
      <c r="BP194" s="653"/>
      <c r="BQ194" s="653"/>
    </row>
    <row r="195" spans="1:69" s="662" customFormat="1" ht="12.75" customHeight="1" hidden="1">
      <c r="A195" s="523"/>
      <c r="B195" s="1165" t="s">
        <v>1251</v>
      </c>
      <c r="C195" s="1164"/>
      <c r="D195" s="1164"/>
      <c r="E195" s="1164"/>
      <c r="F195" s="1166"/>
      <c r="G195" s="1167"/>
      <c r="H195" s="1248" t="s">
        <v>2213</v>
      </c>
      <c r="I195" s="1249"/>
      <c r="J195" s="1249"/>
      <c r="K195" s="653"/>
      <c r="L195" s="820"/>
      <c r="M195" s="839"/>
      <c r="N195" s="839"/>
      <c r="O195" s="839"/>
      <c r="P195" s="839"/>
      <c r="Q195" s="839"/>
      <c r="R195" s="839"/>
      <c r="S195" s="839"/>
      <c r="T195" s="851"/>
      <c r="U195" s="653"/>
      <c r="V195" s="653"/>
      <c r="W195" s="653"/>
      <c r="X195" s="653"/>
      <c r="Y195" s="653"/>
      <c r="Z195" s="653"/>
      <c r="AA195" s="653"/>
      <c r="AB195" s="653"/>
      <c r="AC195" s="653"/>
      <c r="AD195" s="653"/>
      <c r="AE195" s="653"/>
      <c r="AF195" s="653"/>
      <c r="AG195" s="653"/>
      <c r="AH195" s="653"/>
      <c r="AI195" s="653"/>
      <c r="AJ195" s="653"/>
      <c r="AK195" s="653"/>
      <c r="AL195" s="653"/>
      <c r="AM195" s="653"/>
      <c r="AN195" s="653"/>
      <c r="AO195" s="653"/>
      <c r="AP195" s="653"/>
      <c r="AQ195" s="653"/>
      <c r="AR195" s="653"/>
      <c r="AS195" s="653"/>
      <c r="AT195" s="653"/>
      <c r="AU195" s="653"/>
      <c r="AV195" s="653"/>
      <c r="AW195" s="653"/>
      <c r="AX195" s="653"/>
      <c r="AY195" s="653"/>
      <c r="AZ195" s="653"/>
      <c r="BA195" s="653"/>
      <c r="BB195" s="653"/>
      <c r="BC195" s="653"/>
      <c r="BD195" s="653"/>
      <c r="BE195" s="653"/>
      <c r="BF195" s="653"/>
      <c r="BG195" s="653"/>
      <c r="BH195" s="653"/>
      <c r="BI195" s="653"/>
      <c r="BJ195" s="653"/>
      <c r="BK195" s="653"/>
      <c r="BL195" s="653"/>
      <c r="BM195" s="653"/>
      <c r="BN195" s="653"/>
      <c r="BO195" s="653"/>
      <c r="BP195" s="653"/>
      <c r="BQ195" s="653"/>
    </row>
    <row r="196" spans="1:69" s="662" customFormat="1" ht="12.75" customHeight="1" hidden="1">
      <c r="A196" s="523"/>
      <c r="B196" s="1165" t="s">
        <v>1252</v>
      </c>
      <c r="C196" s="1164"/>
      <c r="D196" s="1164"/>
      <c r="E196" s="1164"/>
      <c r="F196" s="1166"/>
      <c r="G196" s="1167"/>
      <c r="H196" s="1248" t="s">
        <v>2214</v>
      </c>
      <c r="I196" s="1249"/>
      <c r="J196" s="1249"/>
      <c r="K196" s="653"/>
      <c r="L196" s="820"/>
      <c r="M196" s="839"/>
      <c r="N196" s="839"/>
      <c r="O196" s="839"/>
      <c r="P196" s="839"/>
      <c r="Q196" s="839"/>
      <c r="R196" s="839"/>
      <c r="S196" s="839"/>
      <c r="T196" s="851"/>
      <c r="U196" s="653"/>
      <c r="V196" s="653"/>
      <c r="W196" s="653"/>
      <c r="X196" s="653"/>
      <c r="Y196" s="653"/>
      <c r="Z196" s="653"/>
      <c r="AA196" s="653"/>
      <c r="AB196" s="653"/>
      <c r="AC196" s="653"/>
      <c r="AD196" s="653"/>
      <c r="AE196" s="653"/>
      <c r="AF196" s="653"/>
      <c r="AG196" s="653"/>
      <c r="AH196" s="653"/>
      <c r="AI196" s="653"/>
      <c r="AJ196" s="653"/>
      <c r="AK196" s="653"/>
      <c r="AL196" s="653"/>
      <c r="AM196" s="653"/>
      <c r="AN196" s="653"/>
      <c r="AO196" s="653"/>
      <c r="AP196" s="653"/>
      <c r="AQ196" s="653"/>
      <c r="AR196" s="653"/>
      <c r="AS196" s="653"/>
      <c r="AT196" s="653"/>
      <c r="AU196" s="653"/>
      <c r="AV196" s="653"/>
      <c r="AW196" s="653"/>
      <c r="AX196" s="653"/>
      <c r="AY196" s="653"/>
      <c r="AZ196" s="653"/>
      <c r="BA196" s="653"/>
      <c r="BB196" s="653"/>
      <c r="BC196" s="653"/>
      <c r="BD196" s="653"/>
      <c r="BE196" s="653"/>
      <c r="BF196" s="653"/>
      <c r="BG196" s="653"/>
      <c r="BH196" s="653"/>
      <c r="BI196" s="653"/>
      <c r="BJ196" s="653"/>
      <c r="BK196" s="653"/>
      <c r="BL196" s="653"/>
      <c r="BM196" s="653"/>
      <c r="BN196" s="653"/>
      <c r="BO196" s="653"/>
      <c r="BP196" s="653"/>
      <c r="BQ196" s="653"/>
    </row>
    <row r="197" spans="1:69" s="662" customFormat="1" ht="12.75" customHeight="1" hidden="1">
      <c r="A197" s="523"/>
      <c r="B197" s="1165" t="s">
        <v>1253</v>
      </c>
      <c r="C197" s="1164"/>
      <c r="D197" s="1164"/>
      <c r="E197" s="1164"/>
      <c r="F197" s="1166"/>
      <c r="G197" s="1167"/>
      <c r="H197" s="1248" t="s">
        <v>2215</v>
      </c>
      <c r="I197" s="1249"/>
      <c r="J197" s="1249"/>
      <c r="K197" s="653"/>
      <c r="L197" s="820"/>
      <c r="M197" s="839"/>
      <c r="N197" s="839"/>
      <c r="O197" s="839"/>
      <c r="P197" s="839"/>
      <c r="Q197" s="839"/>
      <c r="R197" s="839"/>
      <c r="S197" s="839"/>
      <c r="T197" s="851"/>
      <c r="U197" s="653"/>
      <c r="V197" s="653"/>
      <c r="W197" s="653"/>
      <c r="X197" s="653"/>
      <c r="Y197" s="653"/>
      <c r="Z197" s="653"/>
      <c r="AA197" s="653"/>
      <c r="AB197" s="653"/>
      <c r="AC197" s="653"/>
      <c r="AD197" s="653"/>
      <c r="AE197" s="653"/>
      <c r="AF197" s="653"/>
      <c r="AG197" s="653"/>
      <c r="AH197" s="653"/>
      <c r="AI197" s="653"/>
      <c r="AJ197" s="653"/>
      <c r="AK197" s="653"/>
      <c r="AL197" s="653"/>
      <c r="AM197" s="653"/>
      <c r="AN197" s="653"/>
      <c r="AO197" s="653"/>
      <c r="AP197" s="653"/>
      <c r="AQ197" s="653"/>
      <c r="AR197" s="653"/>
      <c r="AS197" s="653"/>
      <c r="AT197" s="653"/>
      <c r="AU197" s="653"/>
      <c r="AV197" s="653"/>
      <c r="AW197" s="653"/>
      <c r="AX197" s="653"/>
      <c r="AY197" s="653"/>
      <c r="AZ197" s="653"/>
      <c r="BA197" s="653"/>
      <c r="BB197" s="653"/>
      <c r="BC197" s="653"/>
      <c r="BD197" s="653"/>
      <c r="BE197" s="653"/>
      <c r="BF197" s="653"/>
      <c r="BG197" s="653"/>
      <c r="BH197" s="653"/>
      <c r="BI197" s="653"/>
      <c r="BJ197" s="653"/>
      <c r="BK197" s="653"/>
      <c r="BL197" s="653"/>
      <c r="BM197" s="653"/>
      <c r="BN197" s="653"/>
      <c r="BO197" s="653"/>
      <c r="BP197" s="653"/>
      <c r="BQ197" s="653"/>
    </row>
    <row r="198" spans="1:69" s="662" customFormat="1" ht="12.75" customHeight="1" hidden="1">
      <c r="A198" s="523"/>
      <c r="B198" s="1165" t="s">
        <v>1490</v>
      </c>
      <c r="C198" s="1164"/>
      <c r="D198" s="1164"/>
      <c r="E198" s="1164"/>
      <c r="F198" s="1166"/>
      <c r="G198" s="1167"/>
      <c r="H198" s="1248" t="s">
        <v>2212</v>
      </c>
      <c r="I198" s="1249"/>
      <c r="J198" s="1249"/>
      <c r="K198" s="653"/>
      <c r="L198" s="820"/>
      <c r="M198" s="839"/>
      <c r="N198" s="839"/>
      <c r="O198" s="839"/>
      <c r="P198" s="839"/>
      <c r="Q198" s="839"/>
      <c r="R198" s="839"/>
      <c r="S198" s="839"/>
      <c r="T198" s="851"/>
      <c r="U198" s="653"/>
      <c r="V198" s="653"/>
      <c r="W198" s="653"/>
      <c r="X198" s="653"/>
      <c r="Y198" s="653"/>
      <c r="Z198" s="653"/>
      <c r="AA198" s="653"/>
      <c r="AB198" s="653"/>
      <c r="AC198" s="653"/>
      <c r="AD198" s="653"/>
      <c r="AE198" s="653"/>
      <c r="AF198" s="653"/>
      <c r="AG198" s="653"/>
      <c r="AH198" s="653"/>
      <c r="AI198" s="653"/>
      <c r="AJ198" s="653"/>
      <c r="AK198" s="653"/>
      <c r="AL198" s="653"/>
      <c r="AM198" s="653"/>
      <c r="AN198" s="653"/>
      <c r="AO198" s="653"/>
      <c r="AP198" s="653"/>
      <c r="AQ198" s="653"/>
      <c r="AR198" s="653"/>
      <c r="AS198" s="653"/>
      <c r="AT198" s="653"/>
      <c r="AU198" s="653"/>
      <c r="AV198" s="653"/>
      <c r="AW198" s="653"/>
      <c r="AX198" s="653"/>
      <c r="AY198" s="653"/>
      <c r="AZ198" s="653"/>
      <c r="BA198" s="653"/>
      <c r="BB198" s="653"/>
      <c r="BC198" s="653"/>
      <c r="BD198" s="653"/>
      <c r="BE198" s="653"/>
      <c r="BF198" s="653"/>
      <c r="BG198" s="653"/>
      <c r="BH198" s="653"/>
      <c r="BI198" s="653"/>
      <c r="BJ198" s="653"/>
      <c r="BK198" s="653"/>
      <c r="BL198" s="653"/>
      <c r="BM198" s="653"/>
      <c r="BN198" s="653"/>
      <c r="BO198" s="653"/>
      <c r="BP198" s="653"/>
      <c r="BQ198" s="653"/>
    </row>
    <row r="199" spans="1:69" s="662" customFormat="1" ht="12.75" customHeight="1" hidden="1">
      <c r="A199" s="523"/>
      <c r="B199" s="1165" t="s">
        <v>1491</v>
      </c>
      <c r="C199" s="1164"/>
      <c r="D199" s="1164"/>
      <c r="E199" s="1164"/>
      <c r="F199" s="1166"/>
      <c r="G199" s="1167"/>
      <c r="H199" s="1248" t="s">
        <v>2213</v>
      </c>
      <c r="I199" s="1249"/>
      <c r="J199" s="1249"/>
      <c r="K199" s="653"/>
      <c r="L199" s="820"/>
      <c r="M199" s="839"/>
      <c r="N199" s="839"/>
      <c r="O199" s="839"/>
      <c r="P199" s="839"/>
      <c r="Q199" s="839"/>
      <c r="R199" s="839"/>
      <c r="S199" s="839"/>
      <c r="T199" s="851"/>
      <c r="U199" s="653"/>
      <c r="V199" s="653"/>
      <c r="W199" s="653"/>
      <c r="X199" s="653"/>
      <c r="Y199" s="653"/>
      <c r="Z199" s="653"/>
      <c r="AA199" s="653"/>
      <c r="AB199" s="653"/>
      <c r="AC199" s="653"/>
      <c r="AD199" s="653"/>
      <c r="AE199" s="653"/>
      <c r="AF199" s="653"/>
      <c r="AG199" s="653"/>
      <c r="AH199" s="653"/>
      <c r="AI199" s="653"/>
      <c r="AJ199" s="653"/>
      <c r="AK199" s="653"/>
      <c r="AL199" s="653"/>
      <c r="AM199" s="653"/>
      <c r="AN199" s="653"/>
      <c r="AO199" s="653"/>
      <c r="AP199" s="653"/>
      <c r="AQ199" s="653"/>
      <c r="AR199" s="653"/>
      <c r="AS199" s="653"/>
      <c r="AT199" s="653"/>
      <c r="AU199" s="653"/>
      <c r="AV199" s="653"/>
      <c r="AW199" s="653"/>
      <c r="AX199" s="653"/>
      <c r="AY199" s="653"/>
      <c r="AZ199" s="653"/>
      <c r="BA199" s="653"/>
      <c r="BB199" s="653"/>
      <c r="BC199" s="653"/>
      <c r="BD199" s="653"/>
      <c r="BE199" s="653"/>
      <c r="BF199" s="653"/>
      <c r="BG199" s="653"/>
      <c r="BH199" s="653"/>
      <c r="BI199" s="653"/>
      <c r="BJ199" s="653"/>
      <c r="BK199" s="653"/>
      <c r="BL199" s="653"/>
      <c r="BM199" s="653"/>
      <c r="BN199" s="653"/>
      <c r="BO199" s="653"/>
      <c r="BP199" s="653"/>
      <c r="BQ199" s="653"/>
    </row>
    <row r="200" spans="9:10" ht="12.75">
      <c r="I200" s="1245"/>
      <c r="J200" s="1246"/>
    </row>
    <row r="201" spans="2:15" ht="25" customHeight="1">
      <c r="B201" s="596" t="str">
        <f>IF(L189=FALSE,IF(Adatlap!$L$1="Magyar","Jelölje be!","Please, check!"),"")</f>
        <v>Jelölje be!</v>
      </c>
      <c r="C201" s="527" t="str">
        <f>IF(Adatlap!L1="Magyar",Fordítások!C442,Fordítások!B442)</f>
        <v>Csatolom a termék foszfortartalmára vonatkozó számításokat.</v>
      </c>
      <c r="L201" s="572" t="b">
        <v>0</v>
      </c>
      <c r="O201" s="723"/>
    </row>
    <row r="203" spans="1:15" ht="29.25" customHeight="1">
      <c r="A203" s="528" t="str">
        <f>IF(L203=FALSE,IF(Adatlap!$L$1="Magyar","Jelölje be!","Please, check!"),"")</f>
        <v>Jelölje be!</v>
      </c>
      <c r="B203" s="1140" t="s">
        <v>2207</v>
      </c>
      <c r="C203" s="1202"/>
      <c r="D203" s="1202"/>
      <c r="E203" s="1202"/>
      <c r="F203" s="1202"/>
      <c r="G203" s="1202"/>
      <c r="H203" s="1202"/>
      <c r="I203" s="1202"/>
      <c r="J203" s="1202"/>
      <c r="L203" s="572" t="b">
        <v>0</v>
      </c>
      <c r="O203" s="721"/>
    </row>
    <row r="204" spans="2:10" ht="8.5" customHeight="1">
      <c r="B204" s="1202"/>
      <c r="C204" s="1202"/>
      <c r="D204" s="1202"/>
      <c r="E204" s="1202"/>
      <c r="F204" s="1202"/>
      <c r="G204" s="1202"/>
      <c r="H204" s="1202"/>
      <c r="I204" s="1202"/>
      <c r="J204" s="1202"/>
    </row>
    <row r="205" spans="1:15" ht="25" customHeight="1" hidden="1">
      <c r="A205" s="528"/>
      <c r="B205" s="857" t="str">
        <f>IF(L205=FALSE,IF(Adatlap!$L$1="Magyar","Jelölje be!","Please, check!"),"")</f>
        <v>Jelölje be!</v>
      </c>
      <c r="C205" s="1140" t="str">
        <f>B187</f>
        <v>Csatolom a beszállító(k) megfelelőségi nyilatkozatát.</v>
      </c>
      <c r="D205" s="1140"/>
      <c r="E205" s="1140"/>
      <c r="F205" s="1140"/>
      <c r="G205" s="1140"/>
      <c r="H205" s="1140"/>
      <c r="I205" s="1140"/>
      <c r="J205" s="1140"/>
      <c r="L205" s="572" t="b">
        <v>0</v>
      </c>
      <c r="O205" s="721"/>
    </row>
    <row r="206" ht="12.75" hidden="1"/>
    <row r="207" spans="1:15" ht="38.25" customHeight="1">
      <c r="A207" s="528" t="str">
        <f>IF(L207=FALSE,IF(Adatlap!$L$1="Magyar","Jelölje be!","Please, check!"),"")</f>
        <v>Jelölje be!</v>
      </c>
      <c r="B207" s="1138" t="s">
        <v>2203</v>
      </c>
      <c r="C207" s="1158"/>
      <c r="D207" s="1158"/>
      <c r="E207" s="1158"/>
      <c r="F207" s="1158"/>
      <c r="G207" s="1158"/>
      <c r="H207" s="1158"/>
      <c r="I207" s="1158"/>
      <c r="J207" s="1158"/>
      <c r="L207" s="572" t="b">
        <v>0</v>
      </c>
      <c r="O207" s="723"/>
    </row>
    <row r="209" spans="2:16" ht="25.5" customHeight="1">
      <c r="B209" s="1244" t="str">
        <f>B191</f>
        <v>A termék fajtája:</v>
      </c>
      <c r="C209" s="1244"/>
      <c r="D209" s="1244"/>
      <c r="E209" s="1244"/>
      <c r="F209" s="1234" t="str">
        <f>IF(Adatlap!$L$1="Magyar",Fordítások!C445,Fordítások!B445)</f>
        <v>Illékony szerves vegyületek aránya</v>
      </c>
      <c r="G209" s="1234"/>
      <c r="H209" s="1234" t="str">
        <f>IF(Adatlap!$L$1="Magyar",CONCATENATE(Fordítások!C204," (illékony szerves vegyületek)"),CONCATENATE(Fordítások!B204," of VOC content"))</f>
        <v>Határérték (illékony szerves vegyületek)</v>
      </c>
      <c r="I209" s="1234"/>
      <c r="J209" s="1234"/>
      <c r="P209" s="852"/>
    </row>
    <row r="210" spans="2:16" ht="12.75">
      <c r="B210" s="927" t="str">
        <f>A9</f>
        <v>Kézi mosogatószer</v>
      </c>
      <c r="C210" s="928"/>
      <c r="D210" s="928"/>
      <c r="E210" s="928"/>
      <c r="F210" s="1186" t="str">
        <f>IF(Termék!C$24=Nyilatkozatok_3!B210,'Eredmények-1'!J$62,"")</f>
        <v/>
      </c>
      <c r="G210" s="1187"/>
      <c r="H210" s="1230" t="str">
        <f>IF(Adatlap!$L$1="Magyar",CONCATENATE(Auswahldaten!E113," g/1 l használatra készt termék"),CONCATENATE(Auswahldaten!E113," g/ l of RTU product"))</f>
        <v>30 g/1 l használatra készt termék</v>
      </c>
      <c r="I210" s="1231"/>
      <c r="J210" s="1232"/>
      <c r="P210" s="852"/>
    </row>
    <row r="211" spans="2:16" ht="12.75">
      <c r="B211" s="927" t="str">
        <f>A10</f>
        <v>Kímélő mosószer</v>
      </c>
      <c r="C211" s="928"/>
      <c r="D211" s="928"/>
      <c r="E211" s="928"/>
      <c r="F211" s="1186" t="str">
        <f>IF(Termék!C$24=Nyilatkozatok_3!B211,'Eredmények-1'!J$62,"")</f>
        <v/>
      </c>
      <c r="G211" s="1187"/>
      <c r="H211" s="1230" t="str">
        <f>IF(Adatlap!$L$1="Magyar",CONCATENATE(Auswahldaten!E114," ",Fordítások!C290),CONCATENATE(Auswahldaten!E114," g/ l of cleaning solution"))</f>
        <v>30 g/1 liter tisztítószer oldat</v>
      </c>
      <c r="I211" s="1231"/>
      <c r="J211" s="1232"/>
      <c r="P211" s="852"/>
    </row>
    <row r="212" spans="2:16" ht="12.75">
      <c r="B212" s="927" t="str">
        <f aca="true" t="shared" si="1" ref="B212:B217">A11</f>
        <v>Folteltávolító</v>
      </c>
      <c r="C212" s="928"/>
      <c r="D212" s="928"/>
      <c r="E212" s="928"/>
      <c r="F212" s="1186" t="str">
        <f>IF(Termék!C$24=Nyilatkozatok_3!B212,'Eredmények-1'!J$62,"")</f>
        <v/>
      </c>
      <c r="G212" s="1187"/>
      <c r="H212" s="1250" t="str">
        <f>IF(Adatlap!$L$1="Magyar",CONCATENATE(Auswahldaten!E115," g/1 l használatra készt termék"),CONCATENATE(Auswahldaten!E115," g/ l of RTU product"))</f>
        <v>60 g/1 l használatra készt termék</v>
      </c>
      <c r="I212" s="1231"/>
      <c r="J212" s="1232"/>
      <c r="P212" s="852"/>
    </row>
    <row r="213" spans="2:16" ht="12.75">
      <c r="B213" s="927" t="str">
        <f t="shared" si="1"/>
        <v xml:space="preserve">Konyhai tisztítószer, hígítatlan </v>
      </c>
      <c r="C213" s="928"/>
      <c r="D213" s="928"/>
      <c r="E213" s="928"/>
      <c r="F213" s="1186" t="str">
        <f>IF(Termék!C$24=Nyilatkozatok_3!B213,'Eredmények-1'!J$62,"")</f>
        <v/>
      </c>
      <c r="G213" s="1187"/>
      <c r="H213" s="1230" t="str">
        <f>IF(Adatlap!$L$1="Magyar",CONCATENATE(Auswahldaten!E116," ",Fordítások!C290),CONCATENATE(Auswahldaten!E116," g/ l of cleaning solution"))</f>
        <v>60 g/1 liter tisztítószer oldat</v>
      </c>
      <c r="I213" s="1231"/>
      <c r="J213" s="1232"/>
      <c r="P213" s="852"/>
    </row>
    <row r="214" spans="2:16" ht="12.75">
      <c r="B214" s="927" t="str">
        <f t="shared" si="1"/>
        <v>Ablaktisztítószer, használatra kész</v>
      </c>
      <c r="C214" s="928"/>
      <c r="D214" s="928"/>
      <c r="E214" s="928"/>
      <c r="F214" s="1186" t="str">
        <f>IF(Termék!C$24=Nyilatkozatok_3!B214,'Eredmények-1'!J$62,"")</f>
        <v/>
      </c>
      <c r="G214" s="1187"/>
      <c r="H214" s="1230" t="str">
        <f>IF(Adatlap!$L$1="Magyar",CONCATENATE(Auswahldaten!E117," g/1 l használatra készt termék"),CONCATENATE(Auswahldaten!E117," g/ l of RTU product"))</f>
        <v>100 g/1 l használatra készt termék</v>
      </c>
      <c r="I214" s="1231"/>
      <c r="J214" s="1232"/>
      <c r="P214" s="852"/>
    </row>
    <row r="215" spans="2:16" ht="12.75">
      <c r="B215" s="927" t="str">
        <f t="shared" si="1"/>
        <v>Ablaktisztítószer, hígítatlan</v>
      </c>
      <c r="C215" s="928"/>
      <c r="D215" s="928"/>
      <c r="E215" s="928"/>
      <c r="F215" s="1186" t="str">
        <f>IF(Termék!C$24=Nyilatkozatok_3!B215,'Eredmények-1'!J$62,"")</f>
        <v/>
      </c>
      <c r="G215" s="1187"/>
      <c r="H215" s="1230" t="str">
        <f>IF(Adatlap!$L$1="Magyar",CONCATENATE(Auswahldaten!E118," ",Fordítások!C290),CONCATENATE(Auswahldaten!E118," g/ l of cleaning solution"))</f>
        <v>100 g/1 liter tisztítószer oldat</v>
      </c>
      <c r="I215" s="1231"/>
      <c r="J215" s="1232"/>
      <c r="P215" s="852"/>
    </row>
    <row r="216" spans="2:16" ht="12.75">
      <c r="B216" s="927" t="str">
        <f t="shared" si="1"/>
        <v xml:space="preserve">Szanitertisztító, használatra kész </v>
      </c>
      <c r="C216" s="928"/>
      <c r="D216" s="928"/>
      <c r="E216" s="928"/>
      <c r="F216" s="1186" t="str">
        <f>IF(Termék!C$24=Nyilatkozatok_3!B216,'Eredmények-1'!J$62,"")</f>
        <v/>
      </c>
      <c r="G216" s="1187"/>
      <c r="H216" s="1230" t="str">
        <f>IF(Adatlap!$L$1="Magyar",CONCATENATE(Auswahldaten!E119," g/1 l használatra készt termék"),CONCATENATE(Auswahldaten!E119," g/ l of RTU product"))</f>
        <v>60 g/1 l használatra készt termék</v>
      </c>
      <c r="I216" s="1231"/>
      <c r="J216" s="1232"/>
      <c r="P216" s="852"/>
    </row>
    <row r="217" spans="2:10" ht="12.75">
      <c r="B217" s="927" t="str">
        <f t="shared" si="1"/>
        <v>Szanitertisztító, hígítatlan</v>
      </c>
      <c r="C217" s="928"/>
      <c r="D217" s="928"/>
      <c r="E217" s="928"/>
      <c r="F217" s="1186" t="str">
        <f>IF(Termék!C$274=Nyilatkozatok_3!B217,'Eredmények-1'!J$62,"")</f>
        <v/>
      </c>
      <c r="G217" s="1187"/>
      <c r="H217" s="1230" t="str">
        <f>IF(Adatlap!$L$1="Magyar",CONCATENATE(Auswahldaten!E120," ",Fordítások!C290),CONCATENATE(Auswahldaten!E120," g/ l of cleaning solution"))</f>
        <v>60 g/1 liter tisztítószer oldat</v>
      </c>
      <c r="I217" s="1231"/>
      <c r="J217" s="1232"/>
    </row>
    <row r="218" ht="12.75"/>
    <row r="219" spans="2:15" ht="25" customHeight="1">
      <c r="B219" s="596" t="s">
        <v>1505</v>
      </c>
      <c r="C219" s="527" t="s">
        <v>2084</v>
      </c>
      <c r="L219" s="572" t="b">
        <v>0</v>
      </c>
      <c r="O219" s="723"/>
    </row>
    <row r="220" spans="2:20" s="523" customFormat="1" ht="12.75" customHeight="1">
      <c r="B220" s="596"/>
      <c r="C220" s="527"/>
      <c r="F220" s="535"/>
      <c r="G220" s="813"/>
      <c r="H220" s="813"/>
      <c r="L220" s="572"/>
      <c r="M220" s="835"/>
      <c r="N220" s="835"/>
      <c r="O220" s="835"/>
      <c r="P220" s="835"/>
      <c r="Q220" s="835"/>
      <c r="R220" s="835"/>
      <c r="S220" s="835"/>
      <c r="T220" s="844"/>
    </row>
    <row r="221" spans="1:20" s="523" customFormat="1" ht="15.75" customHeight="1">
      <c r="A221" s="599" t="str">
        <f>A74</f>
        <v>b)</v>
      </c>
      <c r="B221" s="611" t="str">
        <f>IF(Adatlap!L1="Magyar",Fordítások!C446,Fordítások!B446)</f>
        <v>Veszélyes anyagok</v>
      </c>
      <c r="C221" s="610"/>
      <c r="F221" s="535"/>
      <c r="G221" s="813"/>
      <c r="H221" s="813"/>
      <c r="L221" s="572"/>
      <c r="M221" s="835"/>
      <c r="N221" s="835"/>
      <c r="O221" s="835"/>
      <c r="P221" s="835"/>
      <c r="Q221" s="835"/>
      <c r="R221" s="835"/>
      <c r="S221" s="835"/>
      <c r="T221" s="844"/>
    </row>
    <row r="222" spans="2:20" s="523" customFormat="1" ht="12.75" customHeight="1">
      <c r="B222" s="596"/>
      <c r="C222" s="527"/>
      <c r="F222" s="535"/>
      <c r="G222" s="813"/>
      <c r="H222" s="813"/>
      <c r="L222" s="572"/>
      <c r="M222" s="835"/>
      <c r="N222" s="835"/>
      <c r="O222" s="835"/>
      <c r="P222" s="835"/>
      <c r="Q222" s="835"/>
      <c r="R222" s="835"/>
      <c r="S222" s="835"/>
      <c r="T222" s="844"/>
    </row>
    <row r="223" spans="2:20" s="525" customFormat="1" ht="12.75" customHeight="1">
      <c r="B223" s="616" t="str">
        <f>IF(Adatlap!L1="Magyar",Fordítások!C447,Fordítások!B447)</f>
        <v>i. Késztermék</v>
      </c>
      <c r="C223" s="526"/>
      <c r="F223" s="632"/>
      <c r="G223" s="640"/>
      <c r="H223" s="640"/>
      <c r="L223" s="598"/>
      <c r="M223" s="721"/>
      <c r="N223" s="721"/>
      <c r="O223" s="721"/>
      <c r="P223" s="721"/>
      <c r="Q223" s="721"/>
      <c r="R223" s="721"/>
      <c r="S223" s="721"/>
      <c r="T223" s="529"/>
    </row>
    <row r="225" spans="1:12" ht="25" customHeight="1">
      <c r="A225" s="528" t="str">
        <f>IF(L225=FALSE,IF(Adatlap!$L$1="Magyar","Jelölje be!","Please, check!"),"")</f>
        <v>Jelölje be!</v>
      </c>
      <c r="B225" s="1158" t="str">
        <f>IF(Adatlap!$L$1="Magyar",Fordítások!C448,Fordítások!B448)</f>
        <v>Kijelentem, hogy a késztermék nem minősül az 1272/2008/EK rendelet I. mellékletének meghatározása és az alábbi táblázatban felsoroltak szerint akut toxicitású, célszervi toxicitású, légzőszervi vagy bőrszenzibilizáló, rákkeltő, mutagén vagy reprodukciót károsító vagy a vízi környezetre veszélyes besorolású, illetve ennek megfelelően címkézett anyagnak.</v>
      </c>
      <c r="C225" s="1158"/>
      <c r="D225" s="1158"/>
      <c r="E225" s="1158"/>
      <c r="F225" s="1158"/>
      <c r="G225" s="1158"/>
      <c r="H225" s="1158"/>
      <c r="I225" s="1158"/>
      <c r="J225" s="1158"/>
      <c r="L225" s="572" t="b">
        <v>0</v>
      </c>
    </row>
    <row r="226" spans="1:10" ht="25" customHeight="1">
      <c r="A226" s="528"/>
      <c r="B226" s="1158"/>
      <c r="C226" s="1158"/>
      <c r="D226" s="1158"/>
      <c r="E226" s="1158"/>
      <c r="F226" s="1158"/>
      <c r="G226" s="1158"/>
      <c r="H226" s="1158"/>
      <c r="I226" s="1158"/>
      <c r="J226" s="1158"/>
    </row>
    <row r="227" spans="1:10" ht="9.75" customHeight="1">
      <c r="A227" s="528"/>
      <c r="B227" s="811"/>
      <c r="C227" s="811"/>
      <c r="D227" s="811"/>
      <c r="E227" s="811"/>
      <c r="F227" s="633"/>
      <c r="G227" s="819"/>
      <c r="H227" s="819"/>
      <c r="I227" s="811"/>
      <c r="J227" s="811"/>
    </row>
    <row r="228" spans="2:10" ht="35.25" customHeight="1">
      <c r="B228" s="1191" t="str">
        <f>IF(Adatlap!L$1="Magyar",Fordítások!C501,Fordítások!B501)</f>
        <v>A veszélyességi osztályozás korlátozásai és kategóriái</v>
      </c>
      <c r="C228" s="1191"/>
      <c r="D228" s="1191"/>
      <c r="E228" s="1191"/>
      <c r="F228" s="1191"/>
      <c r="G228" s="1191"/>
      <c r="H228" s="1191"/>
      <c r="I228" s="1191"/>
      <c r="J228" s="1191"/>
    </row>
    <row r="229" spans="2:10" ht="12.75" customHeight="1">
      <c r="B229" s="1188" t="str">
        <f>IF(Adatlap!L$1="Magyar",Fordítások!C449,Fordítások!B449)</f>
        <v>Akut toxicitás</v>
      </c>
      <c r="C229" s="1189"/>
      <c r="D229" s="1189"/>
      <c r="E229" s="1189"/>
      <c r="F229" s="1189"/>
      <c r="G229" s="1189"/>
      <c r="H229" s="1189"/>
      <c r="I229" s="1189"/>
      <c r="J229" s="1190"/>
    </row>
    <row r="230" spans="2:10" ht="12.75" customHeight="1">
      <c r="B230" s="1185" t="str">
        <f>IF(Adatlap!L$1="Magyar",Fordítások!C450,Fordítások!B450)</f>
        <v>1. és 2. kategória</v>
      </c>
      <c r="C230" s="1185"/>
      <c r="D230" s="1185"/>
      <c r="E230" s="1185"/>
      <c r="F230" s="1185" t="str">
        <f>IF(Adatlap!L$1="Magyar",Fordítások!C480,Fordítások!B480)</f>
        <v>3. kategória</v>
      </c>
      <c r="G230" s="1185"/>
      <c r="H230" s="1185"/>
      <c r="I230" s="1185"/>
      <c r="J230" s="1185"/>
    </row>
    <row r="231" spans="2:10" ht="12.75" customHeight="1">
      <c r="B231" s="1192" t="str">
        <f>IF(Adatlap!L$1="Magyar",Fordítások!C451,Fordítások!B451)</f>
        <v>H300 Lenyelve halálos</v>
      </c>
      <c r="C231" s="1192"/>
      <c r="D231" s="1192"/>
      <c r="E231" s="1192"/>
      <c r="F231" s="1192" t="str">
        <f>IF(Adatlap!L$1="Magyar",Fordítások!C481,Fordítások!B481)</f>
        <v>H301 Lenyelve mérgező</v>
      </c>
      <c r="G231" s="1192"/>
      <c r="H231" s="1192"/>
      <c r="I231" s="1192"/>
      <c r="J231" s="1192"/>
    </row>
    <row r="232" spans="2:10" ht="12.75" customHeight="1">
      <c r="B232" s="1192" t="str">
        <f>IF(Adatlap!L$1="Magyar",Fordítások!C452,Fordítások!B452)</f>
        <v>H310 Bőrrel érintkezve halálos</v>
      </c>
      <c r="C232" s="1192"/>
      <c r="D232" s="1192"/>
      <c r="E232" s="1192"/>
      <c r="F232" s="1192" t="str">
        <f>IF(Adatlap!L$1="Magyar",Fordítások!C482,Fordítások!B482)</f>
        <v>H311 Bőrrel érintkezve mérgező</v>
      </c>
      <c r="G232" s="1192"/>
      <c r="H232" s="1192"/>
      <c r="I232" s="1192"/>
      <c r="J232" s="1192"/>
    </row>
    <row r="233" spans="2:10" ht="12.75" customHeight="1">
      <c r="B233" s="1192" t="str">
        <f>IF(Adatlap!L$1="Magyar",Fordítások!C453,Fordítások!B453)</f>
        <v>H330 Belélegezve halálos</v>
      </c>
      <c r="C233" s="1192"/>
      <c r="D233" s="1192"/>
      <c r="E233" s="1192"/>
      <c r="F233" s="1192" t="str">
        <f>IF(Adatlap!L$1="Magyar",Fordítások!C483,Fordítások!B483)</f>
        <v>H331 Belélegezve mérgező</v>
      </c>
      <c r="G233" s="1192"/>
      <c r="H233" s="1192"/>
      <c r="I233" s="1192"/>
      <c r="J233" s="1192"/>
    </row>
    <row r="234" spans="2:10" ht="12.75" customHeight="1">
      <c r="B234" s="1192" t="str">
        <f>IF(Adatlap!L$1="Magyar",Fordítások!C454,Fordítások!B454)</f>
        <v>H304 Lenyelve és a légutakba kerülve halálos lehet</v>
      </c>
      <c r="C234" s="1192"/>
      <c r="D234" s="1192"/>
      <c r="E234" s="1192"/>
      <c r="F234" s="1192" t="str">
        <f>IF(Adatlap!L$1="Magyar",Fordítások!C484,Fordítások!B484)</f>
        <v>EUH070 Szembe kerülve mérgező</v>
      </c>
      <c r="G234" s="1192"/>
      <c r="H234" s="1192"/>
      <c r="I234" s="1192"/>
      <c r="J234" s="1192"/>
    </row>
    <row r="235" spans="2:10" ht="12.75" customHeight="1">
      <c r="B235" s="1188" t="str">
        <f>IF(Adatlap!L$1="Magyar",Fordítások!C455,Fordítások!B455)</f>
        <v>Célszervi toxicitás</v>
      </c>
      <c r="C235" s="1189"/>
      <c r="D235" s="1189"/>
      <c r="E235" s="1189"/>
      <c r="F235" s="1189"/>
      <c r="G235" s="1189"/>
      <c r="H235" s="1189"/>
      <c r="I235" s="1189"/>
      <c r="J235" s="1190"/>
    </row>
    <row r="236" spans="2:10" ht="12.75" customHeight="1">
      <c r="B236" s="1185" t="str">
        <f>IF(Adatlap!L$1="Magyar",Fordítások!C456,Fordítások!B456)</f>
        <v>1. kategória</v>
      </c>
      <c r="C236" s="1185"/>
      <c r="D236" s="1185"/>
      <c r="E236" s="1185"/>
      <c r="F236" s="1185" t="str">
        <f>IF(Adatlap!L$1="Magyar",Fordítások!C485,Fordítások!B485)</f>
        <v>2. kategória</v>
      </c>
      <c r="G236" s="1185"/>
      <c r="H236" s="1185"/>
      <c r="I236" s="1185"/>
      <c r="J236" s="1185"/>
    </row>
    <row r="237" spans="2:10" ht="12.75" customHeight="1">
      <c r="B237" s="1192" t="str">
        <f>IF(Adatlap!L$1="Magyar",Fordítások!C457,Fordítások!B457)</f>
        <v>H370 Károsítja a szerveket</v>
      </c>
      <c r="C237" s="1192"/>
      <c r="D237" s="1192"/>
      <c r="E237" s="1192"/>
      <c r="F237" s="1192" t="str">
        <f>IF(Adatlap!L$1="Magyar",Fordítások!C486,Fordítások!B486)</f>
        <v>H371 Károsíthatja a szerveket</v>
      </c>
      <c r="G237" s="1192"/>
      <c r="H237" s="1192"/>
      <c r="I237" s="1192"/>
      <c r="J237" s="1192"/>
    </row>
    <row r="238" spans="2:10" ht="25.5" customHeight="1">
      <c r="B238" s="1192" t="str">
        <f>IF(Adatlap!L$1="Magyar",Fordítások!C458,Fordítások!B458)</f>
        <v>H372 Ismétlődő vagy hosszabb expozíció esetén károsítja a szerveket</v>
      </c>
      <c r="C238" s="1192"/>
      <c r="D238" s="1192"/>
      <c r="E238" s="1192"/>
      <c r="F238" s="1192" t="str">
        <f>IF(Adatlap!L$1="Magyar",Fordítások!C487,Fordítások!B487)</f>
        <v>H373 Ismétlődő vagy hosszabb expozíció esetén károsíthatja a szerveket</v>
      </c>
      <c r="G238" s="1192"/>
      <c r="H238" s="1192"/>
      <c r="I238" s="1192"/>
      <c r="J238" s="1192"/>
    </row>
    <row r="239" spans="2:10" ht="12.75" customHeight="1">
      <c r="B239" s="1188" t="str">
        <f>IF(Adatlap!L$1="Magyar",Fordítások!C459,Fordítások!B459)</f>
        <v>Légzőszervi és bőrszenzibilizáció</v>
      </c>
      <c r="C239" s="1189"/>
      <c r="D239" s="1189"/>
      <c r="E239" s="1189"/>
      <c r="F239" s="1189"/>
      <c r="G239" s="1189"/>
      <c r="H239" s="1189"/>
      <c r="I239" s="1189"/>
      <c r="J239" s="1190"/>
    </row>
    <row r="240" spans="2:10" ht="12.75" customHeight="1">
      <c r="B240" s="1185" t="str">
        <f>IF(Adatlap!L$1="Magyar",Fordítások!C460,Fordítások!B460)</f>
        <v>1A/1. kategória 1B</v>
      </c>
      <c r="C240" s="1185"/>
      <c r="D240" s="1185"/>
      <c r="E240" s="1185"/>
      <c r="F240" s="1185" t="str">
        <f>IF(Adatlap!L$1="Magyar",Fordítások!C488,Fordítások!B488)</f>
        <v>1B. kategória</v>
      </c>
      <c r="G240" s="1185"/>
      <c r="H240" s="1185"/>
      <c r="I240" s="1185"/>
      <c r="J240" s="1185"/>
    </row>
    <row r="241" spans="2:10" ht="12.75" customHeight="1">
      <c r="B241" s="1192" t="str">
        <f>IF(Adatlap!L$1="Magyar",Fordítások!C461,Fordítások!B461)</f>
        <v>H317 Allergiás bőrreakciót válthat ki</v>
      </c>
      <c r="C241" s="1192"/>
      <c r="D241" s="1192"/>
      <c r="E241" s="1192"/>
      <c r="F241" s="1192" t="str">
        <f>IF(Adatlap!L$1="Magyar",Fordítások!C489,Fordítások!B489)</f>
        <v>H317 Allergiás bőrreakciót válthat ki</v>
      </c>
      <c r="G241" s="1192"/>
      <c r="H241" s="1192"/>
      <c r="I241" s="1192"/>
      <c r="J241" s="1192"/>
    </row>
    <row r="242" spans="2:10" ht="25" customHeight="1">
      <c r="B242" s="1192" t="str">
        <f>IF(Adatlap!L$1="Magyar",Fordítások!C462,Fordítások!B462)</f>
        <v>H334 Belélegezve allergiás és asztmás tüneteket és nehéz légzést okozhat</v>
      </c>
      <c r="C242" s="1192"/>
      <c r="D242" s="1192"/>
      <c r="E242" s="1192"/>
      <c r="F242" s="1192" t="str">
        <f>IF(Adatlap!L$1="Magyar",Fordítások!C490,Fordítások!B490)</f>
        <v>H334 Belélegezve allergiás és asztmás tüneteket és nehéz légzést okozhat</v>
      </c>
      <c r="G242" s="1192"/>
      <c r="H242" s="1192"/>
      <c r="I242" s="1192"/>
      <c r="J242" s="1192"/>
    </row>
    <row r="243" spans="2:10" ht="12.75" customHeight="1">
      <c r="B243" s="1188" t="str">
        <f>IF(Adatlap!L$1="Magyar",Fordítások!C463,Fordítások!B463)</f>
        <v>Rákkeltő, mutagén vagy reprodukciót károsító</v>
      </c>
      <c r="C243" s="1189"/>
      <c r="D243" s="1189"/>
      <c r="E243" s="1189"/>
      <c r="F243" s="1189"/>
      <c r="G243" s="1189"/>
      <c r="H243" s="1189"/>
      <c r="I243" s="1189"/>
      <c r="J243" s="1190"/>
    </row>
    <row r="244" spans="2:10" ht="12.75" customHeight="1">
      <c r="B244" s="1185" t="str">
        <f>IF(Adatlap!L$1="Magyar",Fordítások!C464,Fordítások!B464)</f>
        <v>1A. és 1B. Kategória</v>
      </c>
      <c r="C244" s="1185"/>
      <c r="D244" s="1185"/>
      <c r="E244" s="1185"/>
      <c r="F244" s="1185" t="str">
        <f>IF(Adatlap!L$1="Magyar",Fordítások!C491,Fordítások!B491)</f>
        <v>2. kategória</v>
      </c>
      <c r="G244" s="1185"/>
      <c r="H244" s="1185"/>
      <c r="I244" s="1185"/>
      <c r="J244" s="1185"/>
    </row>
    <row r="245" spans="2:10" ht="12.75" customHeight="1">
      <c r="B245" s="1162" t="str">
        <f>IF(Adatlap!L$1="Magyar",Fordítások!C465,Fordítások!B465)</f>
        <v>H340 Genetikai károsodást okozhat</v>
      </c>
      <c r="C245" s="1162"/>
      <c r="D245" s="1162"/>
      <c r="E245" s="1162"/>
      <c r="F245" s="1162" t="str">
        <f>IF(Adatlap!L$1="Magyar",Fordítások!C492,Fordítások!B492)</f>
        <v>H341 Feltehetően genetikai károsodást okoz</v>
      </c>
      <c r="G245" s="1162"/>
      <c r="H245" s="1162"/>
      <c r="I245" s="1162"/>
      <c r="J245" s="1162"/>
    </row>
    <row r="246" spans="2:10" ht="12.75" customHeight="1">
      <c r="B246" s="1162" t="str">
        <f>IF(Adatlap!L$1="Magyar",Fordítások!C466,Fordítások!B466)</f>
        <v>H350 Rákot okozhat</v>
      </c>
      <c r="C246" s="1162"/>
      <c r="D246" s="1162"/>
      <c r="E246" s="1162"/>
      <c r="F246" s="1162" t="str">
        <f>IF(Adatlap!L$1="Magyar",Fordítások!C493,Fordítások!B493)</f>
        <v>H351 Feltehetően rákot okoz</v>
      </c>
      <c r="G246" s="1162"/>
      <c r="H246" s="1162"/>
      <c r="I246" s="1162"/>
      <c r="J246" s="1162"/>
    </row>
    <row r="247" spans="2:10" ht="12.75" customHeight="1">
      <c r="B247" s="1162" t="str">
        <f>IF(Adatlap!L$1="Magyar",Fordítások!C467,Fordítások!B467)</f>
        <v>H350i Belélegezve rákot okozhat</v>
      </c>
      <c r="C247" s="1162"/>
      <c r="D247" s="1162"/>
      <c r="E247" s="1162"/>
      <c r="F247" s="1162"/>
      <c r="G247" s="1162"/>
      <c r="H247" s="1162"/>
      <c r="I247" s="1162"/>
      <c r="J247" s="1162"/>
    </row>
    <row r="248" spans="2:10" ht="12.75" customHeight="1">
      <c r="B248" s="1162" t="str">
        <f>IF(Adatlap!L$1="Magyar",Fordítások!C468,Fordítások!B468)</f>
        <v>H360F Károsíthatja a termékenységet</v>
      </c>
      <c r="C248" s="1162"/>
      <c r="D248" s="1162"/>
      <c r="E248" s="1162"/>
      <c r="F248" s="1162" t="str">
        <f>IF(Adatlap!L$1="Magyar",Fordítások!C494,Fordítások!B494)</f>
        <v>H361f Feltehetően károsítja a termékenységet</v>
      </c>
      <c r="G248" s="1162"/>
      <c r="H248" s="1162"/>
      <c r="I248" s="1162"/>
      <c r="J248" s="1162"/>
    </row>
    <row r="249" spans="2:10" ht="12.75" customHeight="1">
      <c r="B249" s="1162" t="str">
        <f>IF(Adatlap!L$1="Magyar",Fordítások!C469,Fordítások!B469)</f>
        <v>H360D Károsíthatja a születendő gyermeket</v>
      </c>
      <c r="C249" s="1162"/>
      <c r="D249" s="1162"/>
      <c r="E249" s="1162"/>
      <c r="F249" s="1162" t="str">
        <f>IF(Adatlap!L$1="Magyar",Fordítások!C495,Fordítások!B495)</f>
        <v>H361d Feltehetően károsítja a születendő gyermeket</v>
      </c>
      <c r="G249" s="1162"/>
      <c r="H249" s="1162"/>
      <c r="I249" s="1162"/>
      <c r="J249" s="1162"/>
    </row>
    <row r="250" spans="2:10" ht="25" customHeight="1">
      <c r="B250" s="1162" t="str">
        <f>IF(Adatlap!L$1="Magyar",Fordítások!C470,Fordítások!B470)</f>
        <v>H360FD Károsíthatja a termékenységet és a születendő gyermeket.</v>
      </c>
      <c r="C250" s="1162"/>
      <c r="D250" s="1162"/>
      <c r="E250" s="1162"/>
      <c r="F250" s="1162" t="str">
        <f>IF(Adatlap!L$1="Magyar",Fordítások!C496,Fordítások!B496)</f>
        <v>H361fd Feltehetően károsítja a termékenységet vagy a születendő gyermeket.</v>
      </c>
      <c r="G250" s="1162"/>
      <c r="H250" s="1162"/>
      <c r="I250" s="1162"/>
      <c r="J250" s="1162"/>
    </row>
    <row r="251" spans="2:10" ht="25" customHeight="1">
      <c r="B251" s="1162" t="str">
        <f>IF(Adatlap!L$1="Magyar",Fordítások!C471,Fordítások!B471)</f>
        <v>H360Fd Károsíthatja a termékenységet vagy feltehetően károsítja a születendő gyermeket.</v>
      </c>
      <c r="C251" s="1162"/>
      <c r="D251" s="1162"/>
      <c r="E251" s="1162"/>
      <c r="F251" s="1162" t="str">
        <f>IF(Adatlap!L$1="Magyar",Fordítások!C497,Fordítások!B497)</f>
        <v>H362 A szoptatott gyermeket károsíthatja</v>
      </c>
      <c r="G251" s="1162"/>
      <c r="H251" s="1162"/>
      <c r="I251" s="1162"/>
      <c r="J251" s="1162"/>
    </row>
    <row r="252" spans="2:10" ht="25" customHeight="1">
      <c r="B252" s="1162" t="str">
        <f>IF(Adatlap!L$1="Magyar",Fordítások!C472,Fordítások!B472)</f>
        <v>H360Df Károsíthatja a születendő gyermeket vagy feltehetően károsítja a termékenységet.</v>
      </c>
      <c r="C252" s="1162"/>
      <c r="D252" s="1162"/>
      <c r="E252" s="1162"/>
      <c r="F252" s="1192"/>
      <c r="G252" s="1192"/>
      <c r="H252" s="1192"/>
      <c r="I252" s="1192"/>
      <c r="J252" s="1192"/>
    </row>
    <row r="253" spans="2:10" ht="12.75" customHeight="1">
      <c r="B253" s="1188" t="str">
        <f>IF(Adatlap!L$1="Magyar",Fordítások!C473,Fordítások!B473)</f>
        <v>A vízi környezetre veszélyes</v>
      </c>
      <c r="C253" s="1189"/>
      <c r="D253" s="1189"/>
      <c r="E253" s="1189"/>
      <c r="F253" s="1189"/>
      <c r="G253" s="1189"/>
      <c r="H253" s="1189"/>
      <c r="I253" s="1189"/>
      <c r="J253" s="1190"/>
    </row>
    <row r="254" spans="2:10" ht="12.75" customHeight="1">
      <c r="B254" s="1185" t="str">
        <f>IF(Adatlap!L$1="Magyar",Fordítások!C474,Fordítások!B474)</f>
        <v>1. és 2. kategória</v>
      </c>
      <c r="C254" s="1185"/>
      <c r="D254" s="1185"/>
      <c r="E254" s="1185"/>
      <c r="F254" s="1185" t="str">
        <f>IF(Adatlap!L$1="Magyar",Fordítások!C498,Fordítások!B498)</f>
        <v>3. és 4. kategória</v>
      </c>
      <c r="G254" s="1185"/>
      <c r="H254" s="1185"/>
      <c r="I254" s="1185"/>
      <c r="J254" s="1185"/>
    </row>
    <row r="255" spans="2:10" ht="12.75" customHeight="1">
      <c r="B255" s="1192" t="str">
        <f>IF(Adatlap!L$1="Magyar",Fordítások!C475,Fordítások!B475)</f>
        <v>H400 Nagyon mérgező a vízi élővilágra</v>
      </c>
      <c r="C255" s="1192"/>
      <c r="D255" s="1192"/>
      <c r="E255" s="1192"/>
      <c r="F255" s="1192" t="str">
        <f>IF(Adatlap!L$1="Magyar",Fordítások!C499,Fordítások!B499)</f>
        <v>H412 Ártalmas a vízi élővilágra, hosszan tartó károsodást okoz</v>
      </c>
      <c r="G255" s="1192"/>
      <c r="H255" s="1192"/>
      <c r="I255" s="1192"/>
      <c r="J255" s="1192"/>
    </row>
    <row r="256" spans="2:10" ht="25" customHeight="1">
      <c r="B256" s="1192" t="str">
        <f>IF(Adatlap!L$1="Magyar",Fordítások!C476,Fordítások!B476)</f>
        <v>H410 Nagyon mérgező a vízi élővilágra, hosszan tartó károsodást okoz</v>
      </c>
      <c r="C256" s="1192"/>
      <c r="D256" s="1192"/>
      <c r="E256" s="1192"/>
      <c r="F256" s="1192" t="str">
        <f>IF(Adatlap!L$1="Magyar",Fordítások!C500,Fordítások!B500)</f>
        <v>H413 Hosszan tartó ártalmas hatást gyakorolhat a vízi élővilágra</v>
      </c>
      <c r="G256" s="1192"/>
      <c r="H256" s="1192"/>
      <c r="I256" s="1192"/>
      <c r="J256" s="1192"/>
    </row>
    <row r="257" spans="2:10" ht="12.75" customHeight="1">
      <c r="B257" s="1192" t="str">
        <f>IF(Adatlap!L$1="Magyar",Fordítások!C477,Fordítások!B477)</f>
        <v>H411 Mérgező a vízi élővilágra, hosszan tartó károsodást okoz</v>
      </c>
      <c r="C257" s="1192"/>
      <c r="D257" s="1192"/>
      <c r="E257" s="1192"/>
      <c r="F257" s="1192"/>
      <c r="G257" s="1192"/>
      <c r="H257" s="1192"/>
      <c r="I257" s="1192"/>
      <c r="J257" s="1192"/>
    </row>
    <row r="258" spans="2:10" ht="12.75" customHeight="1">
      <c r="B258" s="1188" t="str">
        <f>IF(Adatlap!L$1="Magyar",Fordítások!C478,Fordítások!B478)</f>
        <v>Veszélyes az ózonrétegre</v>
      </c>
      <c r="C258" s="1189"/>
      <c r="D258" s="1189"/>
      <c r="E258" s="1189"/>
      <c r="F258" s="1189"/>
      <c r="G258" s="1189"/>
      <c r="H258" s="1189"/>
      <c r="I258" s="1189"/>
      <c r="J258" s="1190"/>
    </row>
    <row r="259" spans="2:10" ht="12.75" customHeight="1">
      <c r="B259" s="1192" t="str">
        <f>IF(Adatlap!L$1="Magyar",Fordítások!C479,Fordítások!B479)</f>
        <v>H420 Veszélyes az ózonrétegre</v>
      </c>
      <c r="C259" s="1192"/>
      <c r="D259" s="1192"/>
      <c r="E259" s="1192"/>
      <c r="F259" s="1192"/>
      <c r="G259" s="1192"/>
      <c r="H259" s="1192"/>
      <c r="I259" s="1192"/>
      <c r="J259" s="1192"/>
    </row>
    <row r="260" spans="2:10" ht="12.75">
      <c r="B260" s="568"/>
      <c r="C260" s="568"/>
      <c r="D260" s="568"/>
      <c r="E260" s="613"/>
      <c r="F260" s="644"/>
      <c r="G260" s="614"/>
      <c r="H260" s="641"/>
      <c r="I260" s="568"/>
      <c r="J260" s="568"/>
    </row>
    <row r="261" spans="2:10" ht="13">
      <c r="B261" s="615" t="str">
        <f>IF(Adatlap!L$1="Magyar",Fordítások!C502,Fordítások!B502)</f>
        <v>ii. Alapanyagok</v>
      </c>
      <c r="C261" s="568"/>
      <c r="D261" s="568"/>
      <c r="E261" s="613"/>
      <c r="F261" s="644"/>
      <c r="G261" s="614"/>
      <c r="H261" s="641"/>
      <c r="I261" s="568"/>
      <c r="J261" s="568"/>
    </row>
    <row r="262" spans="2:10" ht="13">
      <c r="B262" s="615"/>
      <c r="C262" s="568"/>
      <c r="D262" s="568"/>
      <c r="E262" s="613"/>
      <c r="F262" s="644"/>
      <c r="G262" s="614"/>
      <c r="H262" s="641"/>
      <c r="I262" s="568"/>
      <c r="J262" s="568"/>
    </row>
    <row r="263" spans="1:12" ht="25" customHeight="1">
      <c r="A263" s="528" t="str">
        <f>IF(L263=FALSE,IF(Adatlap!$L$1="Magyar","Jelölje be!","Please, check!"),"")</f>
        <v>Jelölje be!</v>
      </c>
      <c r="B263" s="1202" t="str">
        <f>IF(Adatlap!$L$1="Magyar",Fordítások!C503,Fordítások!B503)</f>
        <v>Kijelentem, hogy a termék nem tartalmaz a késztermék 0,010 %(m/m)-ának megfelelő vagy azt meghaladó koncentrációban olyan alapanyagokat, amelyek kimerítik az 1272/2008/EK rendelet I. melléklete és a fenti táblázat felsorolása szerinti mérgező, a vízi környezetre veszélyes, légzőszervi vagy bőrszenzibilizáló, rákkeltő, mutagén vagy reprodukciót károsító anyagként való besorolás feltételeit.</v>
      </c>
      <c r="C263" s="1202"/>
      <c r="D263" s="1202"/>
      <c r="E263" s="1202"/>
      <c r="F263" s="1202"/>
      <c r="G263" s="1202"/>
      <c r="H263" s="1202"/>
      <c r="I263" s="1202"/>
      <c r="J263" s="1202"/>
      <c r="L263" s="572" t="b">
        <v>0</v>
      </c>
    </row>
    <row r="264" spans="1:10" ht="42" customHeight="1">
      <c r="A264" s="528"/>
      <c r="B264" s="1202"/>
      <c r="C264" s="1202"/>
      <c r="D264" s="1202"/>
      <c r="E264" s="1202"/>
      <c r="F264" s="1202"/>
      <c r="G264" s="1202"/>
      <c r="H264" s="1202"/>
      <c r="I264" s="1202"/>
      <c r="J264" s="1202"/>
    </row>
    <row r="265" spans="2:10" ht="12.75">
      <c r="B265" s="615"/>
      <c r="C265" s="568"/>
      <c r="D265" s="568"/>
      <c r="E265" s="613"/>
      <c r="F265" s="644"/>
      <c r="G265" s="614"/>
      <c r="H265" s="641"/>
      <c r="I265" s="568"/>
      <c r="J265" s="568"/>
    </row>
    <row r="266" spans="2:12" ht="25" customHeight="1">
      <c r="B266" s="528" t="str">
        <f>IF(L266=FALSE,IF(Adatlap!$L$1="Magyar","Jelölje be!","Please, check!"),"")</f>
        <v>Jelölje be!</v>
      </c>
      <c r="C266" s="1202" t="str">
        <f>IF(Adatlap!$L$1="Magyar",Fordítások!C504,Fordítások!B504)</f>
        <v>Csatolom a beszállítók megfelelőségi nyilatkozatait vagy a termékek biztonsági adatlapját annak bizonyítására, hogy a termék nem tartalmazza a késztermék 0,010 %(m/m)-ának megfelelő vagy azt meghaladó koncentrációban olyan alapanyagokat, amelyek abban a formájukban és halmazállapotukban, amelyben a termékben jelen vannak, megfelelnek a fenti táblázatban szereplő egy vagy több veszélyességi kategóriának,  hacsak ezekre az összetevőkre nem vonatkozik speciális mentesség.</v>
      </c>
      <c r="D266" s="1202"/>
      <c r="E266" s="1202"/>
      <c r="F266" s="1202"/>
      <c r="G266" s="1202"/>
      <c r="H266" s="1202"/>
      <c r="I266" s="1202"/>
      <c r="J266" s="1202"/>
      <c r="K266" s="711"/>
      <c r="L266" s="572" t="b">
        <v>0</v>
      </c>
    </row>
    <row r="267" spans="3:11" ht="62.25" customHeight="1">
      <c r="C267" s="1202"/>
      <c r="D267" s="1202"/>
      <c r="E267" s="1202"/>
      <c r="F267" s="1202"/>
      <c r="G267" s="1202"/>
      <c r="H267" s="1202"/>
      <c r="I267" s="1202"/>
      <c r="J267" s="1202"/>
      <c r="K267" s="711"/>
    </row>
    <row r="268" spans="1:15" ht="25" customHeight="1">
      <c r="A268" s="528" t="str">
        <f>IF(AND(SUM(Alapanyagok!AJ63:AN63)&gt;0,L268=FALSE),IF(Adatlap!$L$1="Magyar","Jelölje be!","Please, check!"),"")</f>
        <v/>
      </c>
      <c r="B268" s="1202" t="str">
        <f>IF(Adatlap!$L$1="Magyar",Fordítások!C505,Fordítások!B505)</f>
        <v>A termék az 1907/2006/EK rendelet IV. és V. mellékletében felsorolt összetevőket tartalmaz, amelyek a rendelet 2. cikke értelmében mentességet kapnak a regisztrálási, továbbfelhasználói és értékelési követelmények alól.</v>
      </c>
      <c r="C268" s="1202"/>
      <c r="D268" s="1202"/>
      <c r="E268" s="1202"/>
      <c r="F268" s="1202"/>
      <c r="G268" s="1202"/>
      <c r="H268" s="1202"/>
      <c r="I268" s="1202"/>
      <c r="J268" s="1202"/>
      <c r="L268" s="572" t="b">
        <v>0</v>
      </c>
      <c r="O268" s="721" t="s">
        <v>1661</v>
      </c>
    </row>
    <row r="269" spans="1:15" ht="12.75">
      <c r="A269" s="528"/>
      <c r="B269" s="1202"/>
      <c r="C269" s="1202"/>
      <c r="D269" s="1202"/>
      <c r="E269" s="1202"/>
      <c r="F269" s="1202"/>
      <c r="G269" s="1202"/>
      <c r="H269" s="1202"/>
      <c r="I269" s="1202"/>
      <c r="J269" s="1202"/>
      <c r="O269" s="721"/>
    </row>
    <row r="271" spans="1:15" ht="25" customHeight="1">
      <c r="A271" s="528" t="str">
        <f>IF(AND(L271=FALSE,L268=TRUE),IF(Adatlap!$L$1="Magyar","Jelölje be!","Please, check!"),"")</f>
        <v/>
      </c>
      <c r="B271" s="1202" t="str">
        <f>IF(Adatlap!$L$1="Magyar",Fordítások!C506,Fordítások!B506)</f>
        <v>Kijelentem, hogy a termék a következő mentesített anyagokat tartalmazza.</v>
      </c>
      <c r="C271" s="1202"/>
      <c r="D271" s="1202"/>
      <c r="E271" s="1202"/>
      <c r="F271" s="1202"/>
      <c r="G271" s="1202"/>
      <c r="H271" s="1202"/>
      <c r="I271" s="1202"/>
      <c r="J271" s="1202"/>
      <c r="L271" s="572" t="b">
        <v>0</v>
      </c>
      <c r="O271" s="721" t="s">
        <v>1639</v>
      </c>
    </row>
    <row r="272" ht="12.75">
      <c r="O272" s="721"/>
    </row>
    <row r="273" spans="1:14" ht="39" customHeight="1">
      <c r="A273" s="1214" t="str">
        <f>IF(Adatlap!$L$1="Magyar",Fordítások!C42,Fordítások!B42)</f>
        <v>Anyag</v>
      </c>
      <c r="B273" s="1214"/>
      <c r="C273" s="1214" t="str">
        <f>IF(Adatlap!$L$1="Magyar",Fordítások!C21,Fordítások!B21)</f>
        <v>Figyelmeztető mondatok 
(H-mondatok)</v>
      </c>
      <c r="D273" s="1214"/>
      <c r="E273" s="1214"/>
      <c r="F273" s="1214"/>
      <c r="G273" s="1214" t="str">
        <f>IF(Adatlap!$L$1="Magyar","Az anyag neve","Name of the substance")</f>
        <v>Az anyag neve</v>
      </c>
      <c r="H273" s="1214"/>
      <c r="I273" s="1226" t="str">
        <f>IF(Adatlap!$L$1="Magyar","Koncentráció a késztermékben (% m/m)","Concentration in the final product (% weight by weight)")</f>
        <v>Koncentráció a késztermékben (% m/m)</v>
      </c>
      <c r="J273" s="1226"/>
      <c r="N273" s="721"/>
    </row>
    <row r="274" spans="1:15" ht="12.75">
      <c r="A274" s="1172" t="str">
        <f>IF(Adatlap!$L$1="Magyar","Felületaktív anyagok","Surfactants")</f>
        <v>Felületaktív anyagok</v>
      </c>
      <c r="B274" s="1184"/>
      <c r="C274" s="1172" t="str">
        <f>B255</f>
        <v>H400 Nagyon mérgező a vízi élővilágra</v>
      </c>
      <c r="D274" s="1173"/>
      <c r="E274" s="1173"/>
      <c r="F274" s="1173"/>
      <c r="G274" s="1339"/>
      <c r="H274" s="1339"/>
      <c r="I274" s="1170" t="e">
        <f>VLOOKUP(G274,Alapanyagok!$B$13:$I$61,8)</f>
        <v>#N/A</v>
      </c>
      <c r="J274" s="1170"/>
      <c r="O274" s="721" t="s">
        <v>2219</v>
      </c>
    </row>
    <row r="275" spans="1:15" ht="12.75">
      <c r="A275" s="1215"/>
      <c r="B275" s="1216"/>
      <c r="C275" s="1217"/>
      <c r="D275" s="1217"/>
      <c r="E275" s="1217"/>
      <c r="F275" s="1217"/>
      <c r="G275" s="1212"/>
      <c r="H275" s="1212"/>
      <c r="I275" s="1170" t="e">
        <f>VLOOKUP(G275,Alapanyagok!$B$13:$I$61,8)</f>
        <v>#N/A</v>
      </c>
      <c r="J275" s="1170"/>
      <c r="O275" s="835">
        <f>Alapanyagok!AR63</f>
        <v>0</v>
      </c>
    </row>
    <row r="276" spans="1:10" ht="12.75">
      <c r="A276" s="1215"/>
      <c r="B276" s="1216"/>
      <c r="C276" s="1211"/>
      <c r="D276" s="1211"/>
      <c r="E276" s="1211"/>
      <c r="F276" s="1211"/>
      <c r="G276" s="1212"/>
      <c r="H276" s="1212"/>
      <c r="I276" s="1170" t="e">
        <f>VLOOKUP(G276,Alapanyagok!$B$13:$I$61,8)</f>
        <v>#N/A</v>
      </c>
      <c r="J276" s="1170"/>
    </row>
    <row r="277" spans="1:10" ht="12.75">
      <c r="A277" s="1215"/>
      <c r="B277" s="1216"/>
      <c r="C277" s="1172" t="str">
        <f>F255</f>
        <v>H412 Ártalmas a vízi élővilágra, hosszan tartó károsodást okoz</v>
      </c>
      <c r="D277" s="1173"/>
      <c r="E277" s="1173"/>
      <c r="F277" s="1184"/>
      <c r="G277" s="1212"/>
      <c r="H277" s="1212"/>
      <c r="I277" s="1170" t="e">
        <f>VLOOKUP(G277,Alapanyagok!$B$13:$I$61,8)</f>
        <v>#N/A</v>
      </c>
      <c r="J277" s="1170"/>
    </row>
    <row r="278" spans="1:15" ht="12.75">
      <c r="A278" s="1213"/>
      <c r="B278" s="1213"/>
      <c r="C278" s="1174"/>
      <c r="D278" s="1175"/>
      <c r="E278" s="1175"/>
      <c r="F278" s="1357"/>
      <c r="G278" s="1212"/>
      <c r="H278" s="1212"/>
      <c r="I278" s="1170" t="e">
        <f>VLOOKUP(G278,Alapanyagok!$B$13:$I$61,8)</f>
        <v>#N/A</v>
      </c>
      <c r="J278" s="1170"/>
      <c r="O278" s="721" t="s">
        <v>2220</v>
      </c>
    </row>
    <row r="279" spans="1:15" ht="12.75">
      <c r="A279" s="1340"/>
      <c r="B279" s="1340"/>
      <c r="C279" s="1176"/>
      <c r="D279" s="1177"/>
      <c r="E279" s="1177"/>
      <c r="F279" s="1358"/>
      <c r="G279" s="1212"/>
      <c r="H279" s="1212"/>
      <c r="I279" s="1170" t="e">
        <f>VLOOKUP(G279,Alapanyagok!$B$13:$I$61,8)</f>
        <v>#N/A</v>
      </c>
      <c r="J279" s="1170"/>
      <c r="O279" s="835">
        <f>COUNTA(G274:H291)</f>
        <v>0</v>
      </c>
    </row>
    <row r="280" spans="1:10" ht="12.75">
      <c r="A280" s="1338" t="str">
        <f>IF(Adatlap!$L$1="Magyar","Szubtilizin","Subtilisin")</f>
        <v>Szubtilizin</v>
      </c>
      <c r="B280" s="1338"/>
      <c r="C280" s="1172" t="str">
        <f>C274</f>
        <v>H400 Nagyon mérgező a vízi élővilágra</v>
      </c>
      <c r="D280" s="1173"/>
      <c r="E280" s="1173"/>
      <c r="F280" s="1184"/>
      <c r="G280" s="1212"/>
      <c r="H280" s="1212"/>
      <c r="I280" s="1170" t="e">
        <f>VLOOKUP(G280,Alapanyagok!$B$13:$I$61,8)</f>
        <v>#N/A</v>
      </c>
      <c r="J280" s="1170"/>
    </row>
    <row r="281" spans="1:10" ht="12.75">
      <c r="A281" s="1227"/>
      <c r="B281" s="1227"/>
      <c r="C281" s="1174"/>
      <c r="D281" s="1175"/>
      <c r="E281" s="1175"/>
      <c r="F281" s="1357"/>
      <c r="G281" s="1212"/>
      <c r="H281" s="1212"/>
      <c r="I281" s="1170" t="e">
        <f>VLOOKUP(G281,Alapanyagok!$B$13:$I$61,8)</f>
        <v>#N/A</v>
      </c>
      <c r="J281" s="1170"/>
    </row>
    <row r="282" spans="1:10" ht="12.75">
      <c r="A282" s="1227"/>
      <c r="B282" s="1227"/>
      <c r="C282" s="1176"/>
      <c r="D282" s="1177"/>
      <c r="E282" s="1177"/>
      <c r="F282" s="1358"/>
      <c r="G282" s="1212"/>
      <c r="H282" s="1212"/>
      <c r="I282" s="1170" t="e">
        <f>VLOOKUP(G282,Alapanyagok!$B$13:$I$61,8)</f>
        <v>#N/A</v>
      </c>
      <c r="J282" s="1170"/>
    </row>
    <row r="283" spans="1:10" ht="12.75">
      <c r="A283" s="1227"/>
      <c r="B283" s="1227"/>
      <c r="C283" s="1172" t="str">
        <f>C277</f>
        <v>H412 Ártalmas a vízi élővilágra, hosszan tartó károsodást okoz</v>
      </c>
      <c r="D283" s="1173"/>
      <c r="E283" s="1173"/>
      <c r="F283" s="1184"/>
      <c r="G283" s="1212"/>
      <c r="H283" s="1212"/>
      <c r="I283" s="1170" t="e">
        <f>VLOOKUP(G283,Alapanyagok!$B$13:$I$61,8)</f>
        <v>#N/A</v>
      </c>
      <c r="J283" s="1170"/>
    </row>
    <row r="284" spans="1:10" ht="12.75">
      <c r="A284" s="1227"/>
      <c r="B284" s="1227"/>
      <c r="C284" s="1174"/>
      <c r="D284" s="1175"/>
      <c r="E284" s="1175"/>
      <c r="F284" s="1357"/>
      <c r="G284" s="1212"/>
      <c r="H284" s="1212"/>
      <c r="I284" s="1170" t="e">
        <f>VLOOKUP(G284,Alapanyagok!$B$13:$I$61,8)</f>
        <v>#N/A</v>
      </c>
      <c r="J284" s="1170"/>
    </row>
    <row r="285" spans="1:10" ht="12.75">
      <c r="A285" s="1340"/>
      <c r="B285" s="1340"/>
      <c r="C285" s="1176"/>
      <c r="D285" s="1177"/>
      <c r="E285" s="1177"/>
      <c r="F285" s="1358"/>
      <c r="G285" s="1212"/>
      <c r="H285" s="1212"/>
      <c r="I285" s="1170" t="e">
        <f>VLOOKUP(G285,Alapanyagok!$B$13:$I$61,8)</f>
        <v>#N/A</v>
      </c>
      <c r="J285" s="1170"/>
    </row>
    <row r="286" spans="1:10" ht="12.75">
      <c r="A286" s="1172" t="str">
        <f>IF(Adatlap!$L$1="Magyar","Enzimek (**)","Enzymes (**)")</f>
        <v>Enzimek (**)</v>
      </c>
      <c r="B286" s="1173"/>
      <c r="C286" s="1172" t="str">
        <f>B241</f>
        <v>H317 Allergiás bőrreakciót válthat ki</v>
      </c>
      <c r="D286" s="1173"/>
      <c r="E286" s="1173"/>
      <c r="F286" s="1184"/>
      <c r="G286" s="1224"/>
      <c r="H286" s="1225"/>
      <c r="I286" s="1170" t="e">
        <f>VLOOKUP(G286,Alapanyagok!$B$13:$I$61,8)</f>
        <v>#N/A</v>
      </c>
      <c r="J286" s="1170"/>
    </row>
    <row r="287" spans="1:10" ht="12.75">
      <c r="A287" s="1174"/>
      <c r="B287" s="1175"/>
      <c r="C287" s="935"/>
      <c r="D287" s="936"/>
      <c r="E287" s="936"/>
      <c r="F287" s="937"/>
      <c r="G287" s="1224"/>
      <c r="H287" s="1225"/>
      <c r="I287" s="1170" t="e">
        <f>VLOOKUP(G287,Alapanyagok!$B$13:$I$61,8)</f>
        <v>#N/A</v>
      </c>
      <c r="J287" s="1170"/>
    </row>
    <row r="288" spans="1:10" ht="12.75">
      <c r="A288" s="1174"/>
      <c r="B288" s="1175"/>
      <c r="C288" s="938"/>
      <c r="D288" s="939"/>
      <c r="E288" s="939"/>
      <c r="F288" s="940"/>
      <c r="G288" s="1224"/>
      <c r="H288" s="1225"/>
      <c r="I288" s="1170" t="e">
        <f>VLOOKUP(G288,Alapanyagok!$B$13:$I$61,8)</f>
        <v>#N/A</v>
      </c>
      <c r="J288" s="1170"/>
    </row>
    <row r="289" spans="1:10" ht="12.75">
      <c r="A289" s="1174"/>
      <c r="B289" s="1175"/>
      <c r="C289" s="1178" t="str">
        <f>B242</f>
        <v>H334 Belélegezve allergiás és asztmás tüneteket és nehéz légzést okozhat</v>
      </c>
      <c r="D289" s="1179"/>
      <c r="E289" s="1179"/>
      <c r="F289" s="1180"/>
      <c r="G289" s="1171"/>
      <c r="H289" s="1171"/>
      <c r="I289" s="1170" t="e">
        <f>VLOOKUP(G289,Alapanyagok!$B$13:$I$61,8)</f>
        <v>#N/A</v>
      </c>
      <c r="J289" s="1170"/>
    </row>
    <row r="290" spans="1:10" ht="12.75">
      <c r="A290" s="1176"/>
      <c r="B290" s="1177"/>
      <c r="C290" s="1181"/>
      <c r="D290" s="1182"/>
      <c r="E290" s="1182"/>
      <c r="F290" s="1183"/>
      <c r="G290" s="1171"/>
      <c r="H290" s="1171"/>
      <c r="I290" s="1170" t="e">
        <f>VLOOKUP(G290,Alapanyagok!$B$13:$I$61,8)</f>
        <v>#N/A</v>
      </c>
      <c r="J290" s="1170"/>
    </row>
    <row r="291" spans="1:10" ht="48.75" customHeight="1">
      <c r="A291" s="1345" t="str">
        <f>IF(Adatlap!$L$1="Magyar",Fordítások!C507,Fordítások!B507)</f>
        <v>Az NTA mint az MGDA- ban és a GLDA-ban jelenlévő szennyeződés(**)</v>
      </c>
      <c r="B291" s="1345"/>
      <c r="C291" s="1168" t="str">
        <f>F246</f>
        <v>H351 Feltehetően rákot okoz</v>
      </c>
      <c r="D291" s="1168"/>
      <c r="E291" s="1168"/>
      <c r="F291" s="1168"/>
      <c r="G291" s="1169"/>
      <c r="H291" s="1169"/>
      <c r="I291" s="1170" t="e">
        <f>VLOOKUP(G291,Alapanyagok!$B$13:$I$61,8)</f>
        <v>#N/A</v>
      </c>
      <c r="J291" s="1170"/>
    </row>
    <row r="292" spans="1:69" s="564" customFormat="1" ht="36" customHeight="1">
      <c r="A292" s="1148" t="str">
        <f>N292&amp;CHAR(10)&amp;N293</f>
        <v>(*) A stabilizálószereket és a készítmények más segédanyagait is beleértve.
(**) A nyersanyag kevesebb mint 0,2 %-ában, amennyiben a késztermékben az összkoncentráció 0,10 % alatt marad.</v>
      </c>
      <c r="B292" s="1148"/>
      <c r="C292" s="1148"/>
      <c r="D292" s="1148"/>
      <c r="E292" s="1148"/>
      <c r="F292" s="1148"/>
      <c r="G292" s="1148"/>
      <c r="H292" s="1148"/>
      <c r="I292" s="1148"/>
      <c r="J292" s="1148"/>
      <c r="K292" s="527"/>
      <c r="L292" s="573" t="b">
        <v>0</v>
      </c>
      <c r="M292" s="847"/>
      <c r="N292" s="847" t="str">
        <f>IF(Adatlap!$L$1="Magyar",Fordítások!C508,Fordítások!B508)</f>
        <v>(*) A stabilizálószereket és a készítmények más segédanyagait is beleértve.</v>
      </c>
      <c r="O292" s="934"/>
      <c r="P292" s="847"/>
      <c r="Q292" s="847"/>
      <c r="R292" s="847"/>
      <c r="S292" s="847"/>
      <c r="T292" s="848"/>
      <c r="U292" s="527"/>
      <c r="V292" s="527"/>
      <c r="W292" s="527"/>
      <c r="X292" s="527"/>
      <c r="Y292" s="527"/>
      <c r="Z292" s="527"/>
      <c r="AA292" s="527"/>
      <c r="AB292" s="527"/>
      <c r="AC292" s="527"/>
      <c r="AD292" s="527"/>
      <c r="AE292" s="527"/>
      <c r="AF292" s="527"/>
      <c r="AG292" s="527"/>
      <c r="AH292" s="527"/>
      <c r="AI292" s="527"/>
      <c r="AJ292" s="527"/>
      <c r="AK292" s="527"/>
      <c r="AL292" s="527"/>
      <c r="AM292" s="527"/>
      <c r="AN292" s="527"/>
      <c r="AO292" s="527"/>
      <c r="AP292" s="527"/>
      <c r="AQ292" s="527"/>
      <c r="AR292" s="527"/>
      <c r="AS292" s="527"/>
      <c r="AT292" s="527"/>
      <c r="AU292" s="527"/>
      <c r="AV292" s="527"/>
      <c r="AW292" s="527"/>
      <c r="AX292" s="527"/>
      <c r="AY292" s="527"/>
      <c r="AZ292" s="527"/>
      <c r="BA292" s="527"/>
      <c r="BB292" s="527"/>
      <c r="BC292" s="527"/>
      <c r="BD292" s="527"/>
      <c r="BE292" s="527"/>
      <c r="BF292" s="527"/>
      <c r="BG292" s="527"/>
      <c r="BH292" s="527"/>
      <c r="BI292" s="527"/>
      <c r="BJ292" s="527"/>
      <c r="BK292" s="527"/>
      <c r="BL292" s="527"/>
      <c r="BM292" s="527"/>
      <c r="BN292" s="527"/>
      <c r="BO292" s="527"/>
      <c r="BP292" s="527"/>
      <c r="BQ292" s="527"/>
    </row>
    <row r="293" spans="1:69" s="564" customFormat="1" ht="50.25" customHeight="1">
      <c r="A293" s="527"/>
      <c r="B293" s="527"/>
      <c r="C293" s="1236" t="str">
        <f>IF(Adatlap!$L$1="Magyar",Fordítások!C510,Fordítások!B510)</f>
        <v>Csatolom a beszállítók megfelelőségi nyilatkozatait vagy a termékek biztonsági adatlapját annak bizonyítására, hogy a termék felsorolt összetevői mentesített anyagnak számítanak.</v>
      </c>
      <c r="D293" s="1236"/>
      <c r="E293" s="1236"/>
      <c r="F293" s="1236"/>
      <c r="G293" s="1236"/>
      <c r="H293" s="1236"/>
      <c r="I293" s="1236"/>
      <c r="J293" s="1236"/>
      <c r="K293" s="527"/>
      <c r="L293" s="573"/>
      <c r="M293" s="847"/>
      <c r="N293" s="847" t="str">
        <f>IF(Adatlap!$L$1="Magyar",Fordítások!C509,Fordítások!B509)</f>
        <v>(**) A nyersanyag kevesebb mint 0,2 %-ában, amennyiben a késztermékben az összkoncentráció 0,10 % alatt marad.</v>
      </c>
      <c r="O293" s="934"/>
      <c r="P293" s="847"/>
      <c r="Q293" s="847"/>
      <c r="R293" s="847"/>
      <c r="S293" s="847"/>
      <c r="T293" s="848"/>
      <c r="U293" s="527"/>
      <c r="V293" s="527"/>
      <c r="W293" s="527"/>
      <c r="X293" s="527"/>
      <c r="Y293" s="527"/>
      <c r="Z293" s="527"/>
      <c r="AA293" s="527"/>
      <c r="AB293" s="527"/>
      <c r="AC293" s="527"/>
      <c r="AD293" s="527"/>
      <c r="AE293" s="527"/>
      <c r="AF293" s="527"/>
      <c r="AG293" s="527"/>
      <c r="AH293" s="527"/>
      <c r="AI293" s="527"/>
      <c r="AJ293" s="527"/>
      <c r="AK293" s="527"/>
      <c r="AL293" s="527"/>
      <c r="AM293" s="527"/>
      <c r="AN293" s="527"/>
      <c r="AO293" s="527"/>
      <c r="AP293" s="527"/>
      <c r="AQ293" s="527"/>
      <c r="AR293" s="527"/>
      <c r="AS293" s="527"/>
      <c r="AT293" s="527"/>
      <c r="AU293" s="527"/>
      <c r="AV293" s="527"/>
      <c r="AW293" s="527"/>
      <c r="AX293" s="527"/>
      <c r="AY293" s="527"/>
      <c r="AZ293" s="527"/>
      <c r="BA293" s="527"/>
      <c r="BB293" s="527"/>
      <c r="BC293" s="527"/>
      <c r="BD293" s="527"/>
      <c r="BE293" s="527"/>
      <c r="BF293" s="527"/>
      <c r="BG293" s="527"/>
      <c r="BH293" s="527"/>
      <c r="BI293" s="527"/>
      <c r="BJ293" s="527"/>
      <c r="BK293" s="527"/>
      <c r="BL293" s="527"/>
      <c r="BM293" s="527"/>
      <c r="BN293" s="527"/>
      <c r="BO293" s="527"/>
      <c r="BP293" s="527"/>
      <c r="BQ293" s="527"/>
    </row>
    <row r="294" spans="1:10" ht="26.25" customHeight="1">
      <c r="A294" s="622" t="str">
        <f>IF(Adatlap!L1="Magyar","c)","(c)")</f>
        <v>c)</v>
      </c>
      <c r="B294" s="1344" t="str">
        <f>IF(Adatlap!$L$1="Magyar",Fordítások!C511,Fordítások!B511)</f>
        <v>Különös aggodalomra okot adó anyagok (SVHC-k)</v>
      </c>
      <c r="C294" s="1344"/>
      <c r="D294" s="1344"/>
      <c r="E294" s="1344"/>
      <c r="F294" s="1344"/>
      <c r="G294" s="1344"/>
      <c r="H294" s="1344"/>
      <c r="I294" s="1344"/>
      <c r="J294" s="1344"/>
    </row>
    <row r="296" spans="1:15" ht="25" customHeight="1">
      <c r="A296" s="528" t="str">
        <f>IF(L296=FALSE,IF(Adatlap!$L$1="Magyar","Jelölje be!","Please, check!"),"")</f>
        <v>Jelölje be!</v>
      </c>
      <c r="B296" s="1158" t="str">
        <f>IF(Adatlap!$L$1="Magyar",Fordítások!C512,Fordítások!B512)</f>
        <v>Kijelentem, hogy a késztermék nem tartalmaz olyan alapanyagot, amelyet az 1907/2006/EK rendelet 59. cikkének (1) bekezdésében leírt, a különös aggodalomra okot adó anyagok jelöltlistájának összeállítására szolgáló eljárás szerint azonosítottak.</v>
      </c>
      <c r="C296" s="1158"/>
      <c r="D296" s="1158"/>
      <c r="E296" s="1158"/>
      <c r="F296" s="1158"/>
      <c r="G296" s="1158"/>
      <c r="H296" s="1158"/>
      <c r="I296" s="1158"/>
      <c r="J296" s="1158"/>
      <c r="L296" s="572" t="b">
        <v>0</v>
      </c>
      <c r="O296" s="721"/>
    </row>
    <row r="297" spans="2:10" ht="12.75">
      <c r="B297" s="1158"/>
      <c r="C297" s="1158"/>
      <c r="D297" s="1158"/>
      <c r="E297" s="1158"/>
      <c r="F297" s="1158"/>
      <c r="G297" s="1158"/>
      <c r="H297" s="1158"/>
      <c r="I297" s="1158"/>
      <c r="J297" s="1158"/>
    </row>
    <row r="299" spans="1:15" ht="25" customHeight="1">
      <c r="A299" s="528" t="str">
        <f>IF(L299=FALSE,IF(Adatlap!$L$1="Magyar","Jelölje be!","Please, check!"),"")</f>
        <v>Jelölje be!</v>
      </c>
      <c r="B299" s="1158" t="str">
        <f>IF(Adatlap!$L$1="Magyar",Fordítások!C513,Fordítások!B513)</f>
        <v>Csatolom a beszállítók nyilatkozatait vagy a biztonsági adatlapokat annak bizonyítására, hogy a termék a jelöltlistán szereplő anyagok egyikét sem tartalmazza.</v>
      </c>
      <c r="C299" s="1158"/>
      <c r="D299" s="1158"/>
      <c r="E299" s="1158"/>
      <c r="F299" s="1158"/>
      <c r="G299" s="1158"/>
      <c r="H299" s="1158"/>
      <c r="I299" s="1158"/>
      <c r="J299" s="1158"/>
      <c r="L299" s="572" t="b">
        <v>0</v>
      </c>
      <c r="O299" s="721"/>
    </row>
    <row r="301" spans="1:15" ht="25" customHeight="1">
      <c r="A301" s="528" t="str">
        <f>IF(L301=FALSE,IF(Adatlap!$L$1="Magyar","Jelölje be!","Please, check!"),"")</f>
        <v>Jelölje be!</v>
      </c>
      <c r="B301" s="1158" t="str">
        <f>IF(Adatlap!$L$1="Magyar",Fordítások!C514,Fordítások!B514)</f>
        <v>Kijelentem, hogy a fenti nyilatkozatot a különös aggodalomra okot adó anyagok legfrissebb (a kérelem benyújtásának napján érvényes) jegyzékét figyelembe véve tettem.</v>
      </c>
      <c r="C301" s="1158"/>
      <c r="D301" s="1158"/>
      <c r="E301" s="1158"/>
      <c r="F301" s="1158"/>
      <c r="G301" s="1158"/>
      <c r="H301" s="1158"/>
      <c r="I301" s="1158"/>
      <c r="J301" s="1158"/>
      <c r="L301" s="572" t="b">
        <v>0</v>
      </c>
      <c r="O301" s="721"/>
    </row>
    <row r="302" ht="24.75" customHeight="1"/>
    <row r="303" spans="1:10" ht="13">
      <c r="A303" s="622" t="str">
        <f>IF(Adatlap!L1="Magyar","d)","(d)")</f>
        <v>d)</v>
      </c>
      <c r="B303" s="602" t="str">
        <f>IF(Adatlap!$L$1="Magyar",CONCATENATE(Fordítások!C63,"ok"),Fordítások!B63)</f>
        <v>Illatanyagok</v>
      </c>
      <c r="D303" s="1203" t="str">
        <f>IF(Összetétel!P13=Alapanyagok!AO12,"",IF(Adatlap!L1="Magyar",Fordítások!C520,Fordítások!B520))</f>
        <v/>
      </c>
      <c r="E303" s="1203"/>
      <c r="F303" s="1203"/>
      <c r="G303" s="1203"/>
      <c r="H303" s="1203"/>
      <c r="I303" s="1203"/>
      <c r="J303" s="1203"/>
    </row>
    <row r="304" spans="4:10" ht="12.75">
      <c r="D304" s="1203"/>
      <c r="E304" s="1203"/>
      <c r="F304" s="1203"/>
      <c r="G304" s="1203"/>
      <c r="H304" s="1203"/>
      <c r="I304" s="1203"/>
      <c r="J304" s="1203"/>
    </row>
    <row r="305" spans="1:15" ht="38.25" customHeight="1">
      <c r="A305" s="528" t="str">
        <f>IF(AND(L305=FALSE,Termék!C36=Auswahldaten!A13,Alapanyagok!AO12=0),IF(Adatlap!$L$1="Magyar","Jelölje be!","Please, check!"),"")</f>
        <v/>
      </c>
      <c r="B305" s="1202" t="s">
        <v>2207</v>
      </c>
      <c r="C305" s="1202"/>
      <c r="D305" s="1202"/>
      <c r="E305" s="1202"/>
      <c r="F305" s="1202"/>
      <c r="G305" s="1202"/>
      <c r="H305" s="1202"/>
      <c r="I305" s="1202"/>
      <c r="J305" s="1202"/>
      <c r="L305" s="572" t="b">
        <v>0</v>
      </c>
      <c r="O305" s="721"/>
    </row>
    <row r="306" spans="2:10" ht="25" customHeight="1">
      <c r="B306" s="1343" t="s">
        <v>2255</v>
      </c>
      <c r="C306" s="1343"/>
      <c r="D306" s="1343"/>
      <c r="E306" s="1343"/>
      <c r="F306" s="1343"/>
      <c r="G306" s="1343"/>
      <c r="H306" s="1343"/>
      <c r="I306" s="1343"/>
      <c r="J306" s="1343"/>
    </row>
    <row r="307" spans="1:15" ht="47" customHeight="1">
      <c r="A307" s="528" t="str">
        <f>IF(AND(L307=FALSE,OR(Termék!C36=Auswahldaten!A12,Alapanyagok!AO12&gt;0)),IF(Adatlap!$L$1="Magyar","Jelölje be!","Please, check!"),"")</f>
        <v/>
      </c>
      <c r="B307" s="1202" t="s">
        <v>2256</v>
      </c>
      <c r="C307" s="1202"/>
      <c r="D307" s="1202"/>
      <c r="E307" s="1202"/>
      <c r="F307" s="1202"/>
      <c r="G307" s="1202"/>
      <c r="H307" s="1202"/>
      <c r="I307" s="1202"/>
      <c r="J307" s="1202"/>
      <c r="L307" s="572" t="b">
        <v>0</v>
      </c>
      <c r="O307" s="721"/>
    </row>
    <row r="308" ht="8.15" customHeight="1"/>
    <row r="309" spans="2:15" ht="25" customHeight="1">
      <c r="B309" s="596" t="str">
        <f>IF(AND(L309=FALSE,L307=TRUE),IF(Adatlap!$L$1="Magyar","Jelölje be!","Please, check!"),"")</f>
        <v/>
      </c>
      <c r="C309" s="527" t="str">
        <f>IF(Adatlap!L$1="Magyar",CONCATENATE(Fordítások!C436," és az illatanyagok IFRA tanúsítványát."),CONCATENATE(Fordítások!B436," and IFRA certificate of the frangrances."))</f>
        <v>Csatolom a beszállító(k) megfelelőségi nyilatkozatát. és az illatanyagok IFRA tanúsítványát.</v>
      </c>
      <c r="L309" s="572" t="b">
        <v>0</v>
      </c>
      <c r="O309" s="721"/>
    </row>
    <row r="311" spans="1:10" ht="12.75" customHeight="1">
      <c r="A311" s="622" t="str">
        <f>IF(Adatlap!L1="Magyar","e)","(e)")</f>
        <v>e)</v>
      </c>
      <c r="B311" s="602" t="str">
        <f>IF(Adatlap!$L$1="Magyar",CONCATENATE(Fordítások!C65,"ek"),Fordítások!B65)</f>
        <v>Tartósítószerek</v>
      </c>
      <c r="D311" s="1203" t="str">
        <f>IF(Összetétel!P15=Alapanyagok!AO16,"",IF(Adatlap!L1="Magyar",Fordítások!C520,Fordítások!B520))</f>
        <v/>
      </c>
      <c r="E311" s="1203"/>
      <c r="F311" s="1203"/>
      <c r="G311" s="1203"/>
      <c r="H311" s="1203"/>
      <c r="I311" s="1203"/>
      <c r="J311" s="1203"/>
    </row>
    <row r="312" spans="1:10" ht="13">
      <c r="A312" s="622"/>
      <c r="B312" s="602"/>
      <c r="D312" s="1203"/>
      <c r="E312" s="1203"/>
      <c r="F312" s="1203"/>
      <c r="G312" s="1203"/>
      <c r="H312" s="1203"/>
      <c r="I312" s="1203"/>
      <c r="J312" s="1203"/>
    </row>
    <row r="313" spans="1:15" ht="24.75" customHeight="1">
      <c r="A313" s="528" t="str">
        <f>IF(AND(L313=FALSE,L315=FALSE),IF(Adatlap!$L$1="Magyar","Jelölje be!","Please, check!"),"")</f>
        <v>Jelölje be!</v>
      </c>
      <c r="B313" s="1202" t="str">
        <f>IF(Adatlap!$L$1="Magyar",CONCATENATE(Fordítások!C519,"tartósítószert."),CONCATENATE(Fordítások!B519,"preservatives."))</f>
        <v>Kijelentem, hogy a termék nem tartalmaz tartósítószert.</v>
      </c>
      <c r="C313" s="1202"/>
      <c r="D313" s="1202"/>
      <c r="E313" s="1202"/>
      <c r="F313" s="1202"/>
      <c r="G313" s="1202"/>
      <c r="H313" s="1202"/>
      <c r="I313" s="1202"/>
      <c r="J313" s="1202"/>
      <c r="L313" s="572" t="b">
        <v>0</v>
      </c>
      <c r="O313" s="721"/>
    </row>
    <row r="314" ht="12.75">
      <c r="B314" s="529"/>
    </row>
    <row r="315" spans="1:15" ht="26.25" customHeight="1">
      <c r="A315" s="528" t="str">
        <f>IF(AND(L313=FALSE,L315=FALSE),IF(Adatlap!$L$1="Magyar","Jelölje be!","Please, check!"),"")</f>
        <v>Jelölje be!</v>
      </c>
      <c r="B315" s="1202" t="str">
        <f>IF(Adatlap!$L$1="Magyar",Fordítások!C515,Fordítások!B515)</f>
        <v xml:space="preserve">Kijelentem, hogy a termék kizárólag tartósítás céljából és csak az e célnak megfelelő mennyiségben tartalmaz tartósítószereket. </v>
      </c>
      <c r="C315" s="1202"/>
      <c r="D315" s="1202"/>
      <c r="E315" s="1202"/>
      <c r="F315" s="1202"/>
      <c r="G315" s="1202"/>
      <c r="H315" s="1202"/>
      <c r="I315" s="1202"/>
      <c r="J315" s="1202"/>
      <c r="L315" s="572" t="b">
        <v>0</v>
      </c>
      <c r="O315" s="721"/>
    </row>
    <row r="317" spans="1:69" s="497" customFormat="1" ht="26.25" customHeight="1">
      <c r="A317" s="525"/>
      <c r="B317" s="528" t="str">
        <f>IF(AND(L317=FALSE,L315=TRUE),IF(Adatlap!$L$1="Magyar","Jelölje be!","Please, check!"),"")</f>
        <v/>
      </c>
      <c r="C317" s="1138" t="str">
        <f>IF(Adatlap!$L$1="Magyar",Fordítások!C518,Fordítások!B518)</f>
        <v>Kijelentem, hogy a termékben található tartósítószerek nem bioakkumulatívak. Ezt bizonyítja az összetevők bioakkumulációs tényezője / bioakkumulációs potenciálja:</v>
      </c>
      <c r="D317" s="1138"/>
      <c r="E317" s="1138"/>
      <c r="F317" s="1138"/>
      <c r="G317" s="1138"/>
      <c r="H317" s="1138"/>
      <c r="I317" s="1138"/>
      <c r="J317" s="1138"/>
      <c r="K317" s="525"/>
      <c r="L317" s="598" t="b">
        <v>0</v>
      </c>
      <c r="M317" s="721"/>
      <c r="N317" s="721"/>
      <c r="O317" s="721"/>
      <c r="P317" s="721"/>
      <c r="Q317" s="721"/>
      <c r="R317" s="721"/>
      <c r="S317" s="721"/>
      <c r="T317" s="529"/>
      <c r="U317" s="525"/>
      <c r="V317" s="525"/>
      <c r="W317" s="525"/>
      <c r="X317" s="525"/>
      <c r="Y317" s="525"/>
      <c r="Z317" s="525"/>
      <c r="AA317" s="525"/>
      <c r="AB317" s="525"/>
      <c r="AC317" s="525"/>
      <c r="AD317" s="525"/>
      <c r="AE317" s="525"/>
      <c r="AF317" s="525"/>
      <c r="AG317" s="525"/>
      <c r="AH317" s="525"/>
      <c r="AI317" s="525"/>
      <c r="AJ317" s="525"/>
      <c r="AK317" s="525"/>
      <c r="AL317" s="525"/>
      <c r="AM317" s="525"/>
      <c r="AN317" s="525"/>
      <c r="AO317" s="525"/>
      <c r="AP317" s="525"/>
      <c r="AQ317" s="525"/>
      <c r="AR317" s="525"/>
      <c r="AS317" s="525"/>
      <c r="AT317" s="525"/>
      <c r="AU317" s="525"/>
      <c r="AV317" s="525"/>
      <c r="AW317" s="525"/>
      <c r="AX317" s="525"/>
      <c r="AY317" s="525"/>
      <c r="AZ317" s="525"/>
      <c r="BA317" s="525"/>
      <c r="BB317" s="525"/>
      <c r="BC317" s="525"/>
      <c r="BD317" s="525"/>
      <c r="BE317" s="525"/>
      <c r="BF317" s="525"/>
      <c r="BG317" s="525"/>
      <c r="BH317" s="525"/>
      <c r="BI317" s="525"/>
      <c r="BJ317" s="525"/>
      <c r="BK317" s="525"/>
      <c r="BL317" s="525"/>
      <c r="BM317" s="525"/>
      <c r="BN317" s="525"/>
      <c r="BO317" s="525"/>
      <c r="BP317" s="525"/>
      <c r="BQ317" s="525"/>
    </row>
    <row r="318" spans="1:69" s="497" customFormat="1" ht="12.75">
      <c r="A318" s="525"/>
      <c r="B318" s="626"/>
      <c r="C318" s="626"/>
      <c r="D318" s="626"/>
      <c r="E318" s="626"/>
      <c r="F318" s="634"/>
      <c r="G318" s="642"/>
      <c r="H318" s="642"/>
      <c r="I318" s="626"/>
      <c r="J318" s="626"/>
      <c r="K318" s="525"/>
      <c r="L318" s="598"/>
      <c r="M318" s="721"/>
      <c r="N318" s="721"/>
      <c r="O318" s="721"/>
      <c r="P318" s="721"/>
      <c r="Q318" s="721"/>
      <c r="R318" s="721"/>
      <c r="S318" s="721"/>
      <c r="T318" s="529"/>
      <c r="U318" s="525"/>
      <c r="V318" s="525"/>
      <c r="W318" s="525"/>
      <c r="X318" s="525"/>
      <c r="Y318" s="525"/>
      <c r="Z318" s="525"/>
      <c r="AA318" s="525"/>
      <c r="AB318" s="525"/>
      <c r="AC318" s="525"/>
      <c r="AD318" s="525"/>
      <c r="AE318" s="525"/>
      <c r="AF318" s="525"/>
      <c r="AG318" s="525"/>
      <c r="AH318" s="525"/>
      <c r="AI318" s="525"/>
      <c r="AJ318" s="525"/>
      <c r="AK318" s="525"/>
      <c r="AL318" s="525"/>
      <c r="AM318" s="525"/>
      <c r="AN318" s="525"/>
      <c r="AO318" s="525"/>
      <c r="AP318" s="525"/>
      <c r="AQ318" s="525"/>
      <c r="AR318" s="525"/>
      <c r="AS318" s="525"/>
      <c r="AT318" s="525"/>
      <c r="AU318" s="525"/>
      <c r="AV318" s="525"/>
      <c r="AW318" s="525"/>
      <c r="AX318" s="525"/>
      <c r="AY318" s="525"/>
      <c r="AZ318" s="525"/>
      <c r="BA318" s="525"/>
      <c r="BB318" s="525"/>
      <c r="BC318" s="525"/>
      <c r="BD318" s="525"/>
      <c r="BE318" s="525"/>
      <c r="BF318" s="525"/>
      <c r="BG318" s="525"/>
      <c r="BH318" s="525"/>
      <c r="BI318" s="525"/>
      <c r="BJ318" s="525"/>
      <c r="BK318" s="525"/>
      <c r="BL318" s="525"/>
      <c r="BM318" s="525"/>
      <c r="BN318" s="525"/>
      <c r="BO318" s="525"/>
      <c r="BP318" s="525"/>
      <c r="BQ318" s="525"/>
    </row>
    <row r="319" spans="1:69" s="497" customFormat="1" ht="16" customHeight="1">
      <c r="A319" s="525"/>
      <c r="B319" s="525"/>
      <c r="C319" s="632" t="s">
        <v>2136</v>
      </c>
      <c r="D319" s="904"/>
      <c r="E319" s="533" t="s">
        <v>2137</v>
      </c>
      <c r="F319" s="900"/>
      <c r="G319" s="640" t="s">
        <v>2135</v>
      </c>
      <c r="H319" s="905"/>
      <c r="I319" s="533" t="s">
        <v>2138</v>
      </c>
      <c r="J319" s="533"/>
      <c r="K319" s="525"/>
      <c r="L319" s="598"/>
      <c r="M319" s="721"/>
      <c r="N319" s="721"/>
      <c r="O319" s="721"/>
      <c r="P319" s="721"/>
      <c r="Q319" s="721"/>
      <c r="R319" s="721"/>
      <c r="S319" s="721"/>
      <c r="T319" s="529"/>
      <c r="U319" s="525"/>
      <c r="V319" s="525"/>
      <c r="W319" s="525"/>
      <c r="X319" s="525"/>
      <c r="Y319" s="525"/>
      <c r="Z319" s="525"/>
      <c r="AA319" s="525"/>
      <c r="AB319" s="525"/>
      <c r="AC319" s="525"/>
      <c r="AD319" s="525"/>
      <c r="AE319" s="525"/>
      <c r="AF319" s="525"/>
      <c r="AG319" s="525"/>
      <c r="AH319" s="525"/>
      <c r="AI319" s="525"/>
      <c r="AJ319" s="525"/>
      <c r="AK319" s="525"/>
      <c r="AL319" s="525"/>
      <c r="AM319" s="525"/>
      <c r="AN319" s="525"/>
      <c r="AO319" s="525"/>
      <c r="AP319" s="525"/>
      <c r="AQ319" s="525"/>
      <c r="AR319" s="525"/>
      <c r="AS319" s="525"/>
      <c r="AT319" s="525"/>
      <c r="AU319" s="525"/>
      <c r="AV319" s="525"/>
      <c r="AW319" s="525"/>
      <c r="AX319" s="525"/>
      <c r="AY319" s="525"/>
      <c r="AZ319" s="525"/>
      <c r="BA319" s="525"/>
      <c r="BB319" s="525"/>
      <c r="BC319" s="525"/>
      <c r="BD319" s="525"/>
      <c r="BE319" s="525"/>
      <c r="BF319" s="525"/>
      <c r="BG319" s="525"/>
      <c r="BH319" s="525"/>
      <c r="BI319" s="525"/>
      <c r="BJ319" s="525"/>
      <c r="BK319" s="525"/>
      <c r="BL319" s="525"/>
      <c r="BM319" s="525"/>
      <c r="BN319" s="525"/>
      <c r="BO319" s="525"/>
      <c r="BP319" s="525"/>
      <c r="BQ319" s="525"/>
    </row>
    <row r="320" spans="1:69" s="497" customFormat="1" ht="12.75">
      <c r="A320" s="525"/>
      <c r="B320" s="525"/>
      <c r="C320" s="525"/>
      <c r="D320" s="525"/>
      <c r="E320" s="525"/>
      <c r="F320" s="632"/>
      <c r="G320" s="640"/>
      <c r="H320" s="640"/>
      <c r="I320" s="525"/>
      <c r="J320" s="525"/>
      <c r="K320" s="525"/>
      <c r="L320" s="598"/>
      <c r="M320" s="721"/>
      <c r="N320" s="721"/>
      <c r="O320" s="721"/>
      <c r="P320" s="721"/>
      <c r="Q320" s="721"/>
      <c r="R320" s="721"/>
      <c r="S320" s="721"/>
      <c r="T320" s="529"/>
      <c r="U320" s="525"/>
      <c r="V320" s="525"/>
      <c r="W320" s="525"/>
      <c r="X320" s="525"/>
      <c r="Y320" s="525"/>
      <c r="Z320" s="525"/>
      <c r="AA320" s="525"/>
      <c r="AB320" s="525"/>
      <c r="AC320" s="525"/>
      <c r="AD320" s="525"/>
      <c r="AE320" s="525"/>
      <c r="AF320" s="525"/>
      <c r="AG320" s="525"/>
      <c r="AH320" s="525"/>
      <c r="AI320" s="525"/>
      <c r="AJ320" s="525"/>
      <c r="AK320" s="525"/>
      <c r="AL320" s="525"/>
      <c r="AM320" s="525"/>
      <c r="AN320" s="525"/>
      <c r="AO320" s="525"/>
      <c r="AP320" s="525"/>
      <c r="AQ320" s="525"/>
      <c r="AR320" s="525"/>
      <c r="AS320" s="525"/>
      <c r="AT320" s="525"/>
      <c r="AU320" s="525"/>
      <c r="AV320" s="525"/>
      <c r="AW320" s="525"/>
      <c r="AX320" s="525"/>
      <c r="AY320" s="525"/>
      <c r="AZ320" s="525"/>
      <c r="BA320" s="525"/>
      <c r="BB320" s="525"/>
      <c r="BC320" s="525"/>
      <c r="BD320" s="525"/>
      <c r="BE320" s="525"/>
      <c r="BF320" s="525"/>
      <c r="BG320" s="525"/>
      <c r="BH320" s="525"/>
      <c r="BI320" s="525"/>
      <c r="BJ320" s="525"/>
      <c r="BK320" s="525"/>
      <c r="BL320" s="525"/>
      <c r="BM320" s="525"/>
      <c r="BN320" s="525"/>
      <c r="BO320" s="525"/>
      <c r="BP320" s="525"/>
      <c r="BQ320" s="525"/>
    </row>
    <row r="321" spans="1:69" s="497" customFormat="1" ht="12.75">
      <c r="A321" s="525"/>
      <c r="B321" s="525"/>
      <c r="C321" s="525"/>
      <c r="D321" s="525"/>
      <c r="E321" s="525"/>
      <c r="F321" s="632"/>
      <c r="G321" s="640"/>
      <c r="H321" s="640"/>
      <c r="I321" s="525"/>
      <c r="J321" s="525"/>
      <c r="K321" s="525"/>
      <c r="L321" s="598"/>
      <c r="M321" s="721"/>
      <c r="N321" s="721"/>
      <c r="O321" s="721"/>
      <c r="P321" s="721"/>
      <c r="Q321" s="721"/>
      <c r="R321" s="721"/>
      <c r="S321" s="721"/>
      <c r="T321" s="529"/>
      <c r="U321" s="525"/>
      <c r="V321" s="525"/>
      <c r="W321" s="525"/>
      <c r="X321" s="525"/>
      <c r="Y321" s="525"/>
      <c r="Z321" s="525"/>
      <c r="AA321" s="525"/>
      <c r="AB321" s="525"/>
      <c r="AC321" s="525"/>
      <c r="AD321" s="525"/>
      <c r="AE321" s="525"/>
      <c r="AF321" s="525"/>
      <c r="AG321" s="525"/>
      <c r="AH321" s="525"/>
      <c r="AI321" s="525"/>
      <c r="AJ321" s="525"/>
      <c r="AK321" s="525"/>
      <c r="AL321" s="525"/>
      <c r="AM321" s="525"/>
      <c r="AN321" s="525"/>
      <c r="AO321" s="525"/>
      <c r="AP321" s="525"/>
      <c r="AQ321" s="525"/>
      <c r="AR321" s="525"/>
      <c r="AS321" s="525"/>
      <c r="AT321" s="525"/>
      <c r="AU321" s="525"/>
      <c r="AV321" s="525"/>
      <c r="AW321" s="525"/>
      <c r="AX321" s="525"/>
      <c r="AY321" s="525"/>
      <c r="AZ321" s="525"/>
      <c r="BA321" s="525"/>
      <c r="BB321" s="525"/>
      <c r="BC321" s="525"/>
      <c r="BD321" s="525"/>
      <c r="BE321" s="525"/>
      <c r="BF321" s="525"/>
      <c r="BG321" s="525"/>
      <c r="BH321" s="525"/>
      <c r="BI321" s="525"/>
      <c r="BJ321" s="525"/>
      <c r="BK321" s="525"/>
      <c r="BL321" s="525"/>
      <c r="BM321" s="525"/>
      <c r="BN321" s="525"/>
      <c r="BO321" s="525"/>
      <c r="BP321" s="525"/>
      <c r="BQ321" s="525"/>
    </row>
    <row r="322" spans="1:15" ht="26.25" customHeight="1">
      <c r="A322" s="528" t="str">
        <f>IF(L322=FALSE,IF(Adatlap!$L$1="Magyar","Jelölje be!","Please, check!"),"")</f>
        <v>Jelölje be!</v>
      </c>
      <c r="B322" s="1202" t="str">
        <f>IF(Adatlap!$L$1="Magyar",Fordítások!C521,Fordítások!B521)</f>
        <v>Kijelentem, hogy a csomagolás vagy bármely egyéb, a termékről szóló tájékoztató anyag nem állítja vagy sugallja, hogy a termék mikrobaölő vagy fertőtlenítő hatású.</v>
      </c>
      <c r="C322" s="1202"/>
      <c r="D322" s="1202"/>
      <c r="E322" s="1202"/>
      <c r="F322" s="1202"/>
      <c r="G322" s="1202"/>
      <c r="H322" s="1202"/>
      <c r="I322" s="1202"/>
      <c r="J322" s="1202"/>
      <c r="L322" s="572" t="b">
        <v>0</v>
      </c>
      <c r="O322" s="721"/>
    </row>
    <row r="324" ht="12.75">
      <c r="B324" s="525" t="str">
        <f>IF(Adatlap!$L$1="Magyar",Fordítások!C522,Fordítások!B522)</f>
        <v>Csatolom</v>
      </c>
    </row>
    <row r="325" ht="7.5" customHeight="1"/>
    <row r="326" spans="2:15" ht="25" customHeight="1">
      <c r="B326" s="528" t="str">
        <f>IF(M326=FALSE,IF(Adatlap!$L$1="Magyar","Jelölje be!","Please, check!"),"")</f>
        <v>Jelölje be!</v>
      </c>
      <c r="C326" s="1202" t="str">
        <f>IF(Adatlap!$L$1="Magyar",Fordítások!C523,Fordítások!B521)</f>
        <v>minden hozzáadott tartósítószerhez a beszállítók megfelelőségi nyilatkozatát vagy a termék biztonsági adatlapját annak bizonyítására, hogy a termék kizárólag csak a tartósítási célnak megfelelő mennyiségű tartósítószert tartalmaz</v>
      </c>
      <c r="D326" s="1202"/>
      <c r="E326" s="1202"/>
      <c r="F326" s="1202"/>
      <c r="G326" s="1202"/>
      <c r="H326" s="1202"/>
      <c r="I326" s="1202"/>
      <c r="J326" s="1202"/>
      <c r="L326" s="572" t="b">
        <v>0</v>
      </c>
      <c r="O326" s="721"/>
    </row>
    <row r="327" ht="12.75">
      <c r="C327" s="646"/>
    </row>
    <row r="328" spans="2:15" ht="25" customHeight="1">
      <c r="B328" s="528" t="str">
        <f>IF(M328=FALSE,IF(Adatlap!$L$1="Magyar","Jelölje be!","Please, check!"),"")</f>
        <v>Jelölje be!</v>
      </c>
      <c r="C328" s="646" t="str">
        <f>IF(Adatlap!$L$1="Magyar",Fordítások!C524,Fordítások!B524)</f>
        <v>a termék BCF vagy log Kow értékére vonatkozó információt</v>
      </c>
      <c r="L328" s="572" t="b">
        <v>0</v>
      </c>
      <c r="O328" s="721"/>
    </row>
    <row r="329" ht="12.75">
      <c r="C329" s="646"/>
    </row>
    <row r="330" spans="2:15" ht="25" customHeight="1">
      <c r="B330" s="528" t="str">
        <f>IF(M330=FALSE,IF(Adatlap!$L$1="Magyar","Jelölje be!","Please, check!"),"")</f>
        <v>Jelölje be!</v>
      </c>
      <c r="C330" s="646" t="str">
        <f>IF(Adatlap!$L$1="Magyar",Fordítások!C525,Fordítások!B525)</f>
        <v>a csomagolás címketervét</v>
      </c>
      <c r="L330" s="572" t="b">
        <v>0</v>
      </c>
      <c r="O330" s="721"/>
    </row>
    <row r="331" spans="2:20" s="523" customFormat="1" ht="12.75" customHeight="1">
      <c r="B331" s="528"/>
      <c r="F331" s="535"/>
      <c r="G331" s="813"/>
      <c r="H331" s="813"/>
      <c r="L331" s="572"/>
      <c r="M331" s="835"/>
      <c r="N331" s="835"/>
      <c r="O331" s="835"/>
      <c r="P331" s="835"/>
      <c r="Q331" s="835"/>
      <c r="R331" s="835"/>
      <c r="S331" s="835"/>
      <c r="T331" s="844"/>
    </row>
    <row r="332" spans="1:20" s="523" customFormat="1" ht="12.75" customHeight="1">
      <c r="A332" s="622" t="str">
        <f>IF(Adatlap!L1="Magyar","f)","(f)")</f>
        <v>f)</v>
      </c>
      <c r="B332" s="602" t="str">
        <f>IF(Adatlap!$L$1="Magyar",CONCATENATE(Fordítások!C64,"ek"),CONCATENATE(Fordítások!B64,"s"))</f>
        <v>Színezékek</v>
      </c>
      <c r="D332" s="1203" t="str">
        <f>IF(Összetétel!P18=Alapanyagok!AO20+Alapanyagok!AO23,"",IF(Adatlap!L1="Magyar",Fordítások!C520,Fordítások!B520))</f>
        <v/>
      </c>
      <c r="E332" s="1203"/>
      <c r="F332" s="1203"/>
      <c r="G332" s="1203"/>
      <c r="H332" s="1203"/>
      <c r="I332" s="1203"/>
      <c r="J332" s="1203"/>
      <c r="L332" s="572"/>
      <c r="M332" s="835"/>
      <c r="N332" s="835"/>
      <c r="O332" s="835"/>
      <c r="P332" s="835"/>
      <c r="Q332" s="835"/>
      <c r="R332" s="835"/>
      <c r="S332" s="835"/>
      <c r="T332" s="844"/>
    </row>
    <row r="333" spans="1:20" s="523" customFormat="1" ht="12.75" customHeight="1">
      <c r="A333" s="622"/>
      <c r="B333" s="602"/>
      <c r="D333" s="1203"/>
      <c r="E333" s="1203"/>
      <c r="F333" s="1203"/>
      <c r="G333" s="1203"/>
      <c r="H333" s="1203"/>
      <c r="I333" s="1203"/>
      <c r="J333" s="1203"/>
      <c r="L333" s="572"/>
      <c r="M333" s="835"/>
      <c r="N333" s="835"/>
      <c r="O333" s="835"/>
      <c r="P333" s="835"/>
      <c r="Q333" s="835"/>
      <c r="R333" s="835"/>
      <c r="S333" s="835"/>
      <c r="T333" s="844"/>
    </row>
    <row r="334" spans="1:15" ht="25.5" customHeight="1">
      <c r="A334" s="528" t="str">
        <f>IF(AND(L334=FALSE,L336=FALSE,L351=FALSE),IF(Adatlap!$L$1="Magyar","Jelölje be!","Please, check!"),"")</f>
        <v>Jelölje be!</v>
      </c>
      <c r="B334" s="1202" t="str">
        <f>IF(Adatlap!$L$1="Magyar",CONCATENATE(Fordítások!C519,"színezéket."),CONCATENATE(Fordítások!B519,"colouring agents."))</f>
        <v>Kijelentem, hogy a termék nem tartalmaz színezéket.</v>
      </c>
      <c r="C334" s="1202"/>
      <c r="D334" s="1202"/>
      <c r="E334" s="1202"/>
      <c r="F334" s="1202"/>
      <c r="G334" s="1202"/>
      <c r="H334" s="1202"/>
      <c r="I334" s="1202"/>
      <c r="J334" s="1202"/>
      <c r="L334" s="572" t="b">
        <v>0</v>
      </c>
      <c r="N334" s="835" t="b">
        <v>0</v>
      </c>
      <c r="O334" s="721"/>
    </row>
    <row r="335" ht="12.75" customHeight="1">
      <c r="B335" s="529"/>
    </row>
    <row r="336" spans="1:15" ht="25.5" customHeight="1">
      <c r="A336" s="528" t="str">
        <f>IF(AND(L334=FALSE,L336=FALSE,L351=FALSE),IF(Adatlap!$L$1="Magyar","Jelölje be!","Please, check!"),"")</f>
        <v>Jelölje be!</v>
      </c>
      <c r="B336" s="1202" t="str">
        <f>IF(Adatlap!$L$1="Magyar",Fordítások!C527,Fordítások!B527)</f>
        <v>A termék élelmiszerekben való felhasználásra nem engedélyezett színezőanyago(ka)t tartalmaz.</v>
      </c>
      <c r="C336" s="1202"/>
      <c r="D336" s="1202"/>
      <c r="E336" s="1202"/>
      <c r="F336" s="1202"/>
      <c r="G336" s="1202"/>
      <c r="H336" s="1202"/>
      <c r="I336" s="1202"/>
      <c r="J336" s="1202"/>
      <c r="L336" s="572" t="b">
        <v>0</v>
      </c>
      <c r="N336" s="835" t="b">
        <v>0</v>
      </c>
      <c r="O336" s="721"/>
    </row>
    <row r="338" spans="1:69" s="497" customFormat="1" ht="26.25" customHeight="1">
      <c r="A338" s="525"/>
      <c r="B338" s="528" t="str">
        <f>IF(AND(L336=TRUE,L338=FALSE),IF(Adatlap!L1="Magyar","Jelölje be!","Please, check!"),"")</f>
        <v/>
      </c>
      <c r="C338" s="1140" t="str">
        <f>IF(Adatlap!$L$1="Magyar",Fordítások!C528,Fordítások!B528)</f>
        <v>Kijelentem, hogy a termékben található  színezőanyagok nem bioakkumulatívak. Ezt bizonyítja az összetevők bioakkumulációs tényezője / bioakkumulációs potenciálja:</v>
      </c>
      <c r="D338" s="1140"/>
      <c r="E338" s="1140"/>
      <c r="F338" s="1140"/>
      <c r="G338" s="1140"/>
      <c r="H338" s="1140"/>
      <c r="I338" s="1140"/>
      <c r="J338" s="1140"/>
      <c r="K338" s="525"/>
      <c r="L338" s="598" t="b">
        <v>0</v>
      </c>
      <c r="M338" s="721"/>
      <c r="N338" s="835" t="b">
        <v>0</v>
      </c>
      <c r="O338" s="721"/>
      <c r="P338" s="721"/>
      <c r="Q338" s="721"/>
      <c r="R338" s="721"/>
      <c r="S338" s="721"/>
      <c r="T338" s="529"/>
      <c r="U338" s="525"/>
      <c r="V338" s="525"/>
      <c r="W338" s="525"/>
      <c r="X338" s="525"/>
      <c r="Y338" s="525"/>
      <c r="Z338" s="525"/>
      <c r="AA338" s="525"/>
      <c r="AB338" s="525"/>
      <c r="AC338" s="525"/>
      <c r="AD338" s="525"/>
      <c r="AE338" s="525"/>
      <c r="AF338" s="525"/>
      <c r="AG338" s="525"/>
      <c r="AH338" s="525"/>
      <c r="AI338" s="525"/>
      <c r="AJ338" s="525"/>
      <c r="AK338" s="525"/>
      <c r="AL338" s="525"/>
      <c r="AM338" s="525"/>
      <c r="AN338" s="525"/>
      <c r="AO338" s="525"/>
      <c r="AP338" s="525"/>
      <c r="AQ338" s="525"/>
      <c r="AR338" s="525"/>
      <c r="AS338" s="525"/>
      <c r="AT338" s="525"/>
      <c r="AU338" s="525"/>
      <c r="AV338" s="525"/>
      <c r="AW338" s="525"/>
      <c r="AX338" s="525"/>
      <c r="AY338" s="525"/>
      <c r="AZ338" s="525"/>
      <c r="BA338" s="525"/>
      <c r="BB338" s="525"/>
      <c r="BC338" s="525"/>
      <c r="BD338" s="525"/>
      <c r="BE338" s="525"/>
      <c r="BF338" s="525"/>
      <c r="BG338" s="525"/>
      <c r="BH338" s="525"/>
      <c r="BI338" s="525"/>
      <c r="BJ338" s="525"/>
      <c r="BK338" s="525"/>
      <c r="BL338" s="525"/>
      <c r="BM338" s="525"/>
      <c r="BN338" s="525"/>
      <c r="BO338" s="525"/>
      <c r="BP338" s="525"/>
      <c r="BQ338" s="525"/>
    </row>
    <row r="339" spans="1:69" s="497" customFormat="1" ht="12.75" customHeight="1">
      <c r="A339" s="525"/>
      <c r="B339" s="528"/>
      <c r="C339" s="815"/>
      <c r="D339" s="815"/>
      <c r="E339" s="815"/>
      <c r="F339" s="815"/>
      <c r="G339" s="815"/>
      <c r="H339" s="815"/>
      <c r="I339" s="815"/>
      <c r="J339" s="815"/>
      <c r="K339" s="525"/>
      <c r="L339" s="598"/>
      <c r="M339" s="721"/>
      <c r="N339" s="721"/>
      <c r="O339" s="721"/>
      <c r="P339" s="721"/>
      <c r="Q339" s="721"/>
      <c r="R339" s="721"/>
      <c r="S339" s="721"/>
      <c r="T339" s="529"/>
      <c r="U339" s="525"/>
      <c r="V339" s="525"/>
      <c r="W339" s="525"/>
      <c r="X339" s="525"/>
      <c r="Y339" s="525"/>
      <c r="Z339" s="525"/>
      <c r="AA339" s="525"/>
      <c r="AB339" s="525"/>
      <c r="AC339" s="525"/>
      <c r="AD339" s="525"/>
      <c r="AE339" s="525"/>
      <c r="AF339" s="525"/>
      <c r="AG339" s="525"/>
      <c r="AH339" s="525"/>
      <c r="AI339" s="525"/>
      <c r="AJ339" s="525"/>
      <c r="AK339" s="525"/>
      <c r="AL339" s="525"/>
      <c r="AM339" s="525"/>
      <c r="AN339" s="525"/>
      <c r="AO339" s="525"/>
      <c r="AP339" s="525"/>
      <c r="AQ339" s="525"/>
      <c r="AR339" s="525"/>
      <c r="AS339" s="525"/>
      <c r="AT339" s="525"/>
      <c r="AU339" s="525"/>
      <c r="AV339" s="525"/>
      <c r="AW339" s="525"/>
      <c r="AX339" s="525"/>
      <c r="AY339" s="525"/>
      <c r="AZ339" s="525"/>
      <c r="BA339" s="525"/>
      <c r="BB339" s="525"/>
      <c r="BC339" s="525"/>
      <c r="BD339" s="525"/>
      <c r="BE339" s="525"/>
      <c r="BF339" s="525"/>
      <c r="BG339" s="525"/>
      <c r="BH339" s="525"/>
      <c r="BI339" s="525"/>
      <c r="BJ339" s="525"/>
      <c r="BK339" s="525"/>
      <c r="BL339" s="525"/>
      <c r="BM339" s="525"/>
      <c r="BN339" s="525"/>
      <c r="BO339" s="525"/>
      <c r="BP339" s="525"/>
      <c r="BQ339" s="525"/>
    </row>
    <row r="340" spans="1:69" s="497" customFormat="1" ht="16" customHeight="1">
      <c r="A340" s="525"/>
      <c r="B340" s="528"/>
      <c r="C340" s="898" t="s">
        <v>2134</v>
      </c>
      <c r="D340" s="899"/>
      <c r="E340" s="1342" t="str">
        <f>E319</f>
        <v>(Határérték &lt;  100)</v>
      </c>
      <c r="F340" s="1342"/>
      <c r="G340" s="898" t="s">
        <v>2135</v>
      </c>
      <c r="H340" s="906"/>
      <c r="I340" s="1342" t="str">
        <f>I319</f>
        <v>(Határérték &lt;  3,0)</v>
      </c>
      <c r="J340" s="1342"/>
      <c r="K340" s="525"/>
      <c r="L340" s="598"/>
      <c r="M340" s="721"/>
      <c r="N340" s="721"/>
      <c r="O340" s="721"/>
      <c r="P340" s="721"/>
      <c r="Q340" s="721"/>
      <c r="R340" s="721"/>
      <c r="S340" s="721"/>
      <c r="T340" s="529"/>
      <c r="U340" s="525"/>
      <c r="V340" s="525"/>
      <c r="W340" s="525"/>
      <c r="X340" s="525"/>
      <c r="Y340" s="525"/>
      <c r="Z340" s="525"/>
      <c r="AA340" s="525"/>
      <c r="AB340" s="525"/>
      <c r="AC340" s="525"/>
      <c r="AD340" s="525"/>
      <c r="AE340" s="525"/>
      <c r="AF340" s="525"/>
      <c r="AG340" s="525"/>
      <c r="AH340" s="525"/>
      <c r="AI340" s="525"/>
      <c r="AJ340" s="525"/>
      <c r="AK340" s="525"/>
      <c r="AL340" s="525"/>
      <c r="AM340" s="525"/>
      <c r="AN340" s="525"/>
      <c r="AO340" s="525"/>
      <c r="AP340" s="525"/>
      <c r="AQ340" s="525"/>
      <c r="AR340" s="525"/>
      <c r="AS340" s="525"/>
      <c r="AT340" s="525"/>
      <c r="AU340" s="525"/>
      <c r="AV340" s="525"/>
      <c r="AW340" s="525"/>
      <c r="AX340" s="525"/>
      <c r="AY340" s="525"/>
      <c r="AZ340" s="525"/>
      <c r="BA340" s="525"/>
      <c r="BB340" s="525"/>
      <c r="BC340" s="525"/>
      <c r="BD340" s="525"/>
      <c r="BE340" s="525"/>
      <c r="BF340" s="525"/>
      <c r="BG340" s="525"/>
      <c r="BH340" s="525"/>
      <c r="BI340" s="525"/>
      <c r="BJ340" s="525"/>
      <c r="BK340" s="525"/>
      <c r="BL340" s="525"/>
      <c r="BM340" s="525"/>
      <c r="BN340" s="525"/>
      <c r="BO340" s="525"/>
      <c r="BP340" s="525"/>
      <c r="BQ340" s="525"/>
    </row>
    <row r="341" spans="1:69" s="497" customFormat="1" ht="12.75" customHeight="1">
      <c r="A341" s="525"/>
      <c r="B341" s="528"/>
      <c r="C341" s="815"/>
      <c r="D341" s="815"/>
      <c r="E341" s="815"/>
      <c r="F341" s="815"/>
      <c r="G341" s="815"/>
      <c r="H341" s="815"/>
      <c r="I341" s="815"/>
      <c r="J341" s="815"/>
      <c r="K341" s="525"/>
      <c r="L341" s="598"/>
      <c r="M341" s="721"/>
      <c r="N341" s="721"/>
      <c r="O341" s="721"/>
      <c r="P341" s="721"/>
      <c r="Q341" s="721"/>
      <c r="R341" s="721"/>
      <c r="S341" s="721"/>
      <c r="T341" s="529"/>
      <c r="U341" s="525"/>
      <c r="V341" s="525"/>
      <c r="W341" s="525"/>
      <c r="X341" s="525"/>
      <c r="Y341" s="525"/>
      <c r="Z341" s="525"/>
      <c r="AA341" s="525"/>
      <c r="AB341" s="525"/>
      <c r="AC341" s="525"/>
      <c r="AD341" s="525"/>
      <c r="AE341" s="525"/>
      <c r="AF341" s="525"/>
      <c r="AG341" s="525"/>
      <c r="AH341" s="525"/>
      <c r="AI341" s="525"/>
      <c r="AJ341" s="525"/>
      <c r="AK341" s="525"/>
      <c r="AL341" s="525"/>
      <c r="AM341" s="525"/>
      <c r="AN341" s="525"/>
      <c r="AO341" s="525"/>
      <c r="AP341" s="525"/>
      <c r="AQ341" s="525"/>
      <c r="AR341" s="525"/>
      <c r="AS341" s="525"/>
      <c r="AT341" s="525"/>
      <c r="AU341" s="525"/>
      <c r="AV341" s="525"/>
      <c r="AW341" s="525"/>
      <c r="AX341" s="525"/>
      <c r="AY341" s="525"/>
      <c r="AZ341" s="525"/>
      <c r="BA341" s="525"/>
      <c r="BB341" s="525"/>
      <c r="BC341" s="525"/>
      <c r="BD341" s="525"/>
      <c r="BE341" s="525"/>
      <c r="BF341" s="525"/>
      <c r="BG341" s="525"/>
      <c r="BH341" s="525"/>
      <c r="BI341" s="525"/>
      <c r="BJ341" s="525"/>
      <c r="BK341" s="525"/>
      <c r="BL341" s="525"/>
      <c r="BM341" s="525"/>
      <c r="BN341" s="525"/>
      <c r="BO341" s="525"/>
      <c r="BP341" s="525"/>
      <c r="BQ341" s="525"/>
    </row>
    <row r="342" spans="1:69" s="497" customFormat="1" ht="12.75" customHeight="1">
      <c r="A342" s="525"/>
      <c r="B342" s="528"/>
      <c r="C342" s="815"/>
      <c r="D342" s="815"/>
      <c r="E342" s="815"/>
      <c r="F342" s="815"/>
      <c r="G342" s="815"/>
      <c r="H342" s="815"/>
      <c r="I342" s="815"/>
      <c r="J342" s="815"/>
      <c r="K342" s="525"/>
      <c r="L342" s="598"/>
      <c r="M342" s="721"/>
      <c r="N342" s="721"/>
      <c r="O342" s="721"/>
      <c r="P342" s="721"/>
      <c r="Q342" s="721"/>
      <c r="R342" s="721"/>
      <c r="S342" s="721"/>
      <c r="T342" s="529"/>
      <c r="U342" s="525"/>
      <c r="V342" s="525"/>
      <c r="W342" s="525"/>
      <c r="X342" s="525"/>
      <c r="Y342" s="525"/>
      <c r="Z342" s="525"/>
      <c r="AA342" s="525"/>
      <c r="AB342" s="525"/>
      <c r="AC342" s="525"/>
      <c r="AD342" s="525"/>
      <c r="AE342" s="525"/>
      <c r="AF342" s="525"/>
      <c r="AG342" s="525"/>
      <c r="AH342" s="525"/>
      <c r="AI342" s="525"/>
      <c r="AJ342" s="525"/>
      <c r="AK342" s="525"/>
      <c r="AL342" s="525"/>
      <c r="AM342" s="525"/>
      <c r="AN342" s="525"/>
      <c r="AO342" s="525"/>
      <c r="AP342" s="525"/>
      <c r="AQ342" s="525"/>
      <c r="AR342" s="525"/>
      <c r="AS342" s="525"/>
      <c r="AT342" s="525"/>
      <c r="AU342" s="525"/>
      <c r="AV342" s="525"/>
      <c r="AW342" s="525"/>
      <c r="AX342" s="525"/>
      <c r="AY342" s="525"/>
      <c r="AZ342" s="525"/>
      <c r="BA342" s="525"/>
      <c r="BB342" s="525"/>
      <c r="BC342" s="525"/>
      <c r="BD342" s="525"/>
      <c r="BE342" s="525"/>
      <c r="BF342" s="525"/>
      <c r="BG342" s="525"/>
      <c r="BH342" s="525"/>
      <c r="BI342" s="525"/>
      <c r="BJ342" s="525"/>
      <c r="BK342" s="525"/>
      <c r="BL342" s="525"/>
      <c r="BM342" s="525"/>
      <c r="BN342" s="525"/>
      <c r="BO342" s="525"/>
      <c r="BP342" s="525"/>
      <c r="BQ342" s="525"/>
    </row>
    <row r="343" spans="1:69" s="497" customFormat="1" ht="12.75" customHeight="1">
      <c r="A343" s="525"/>
      <c r="B343" s="648" t="str">
        <f>B324</f>
        <v>Csatolom</v>
      </c>
      <c r="C343" s="626"/>
      <c r="D343" s="626"/>
      <c r="E343" s="626"/>
      <c r="F343" s="634"/>
      <c r="G343" s="642"/>
      <c r="H343" s="642"/>
      <c r="I343" s="626"/>
      <c r="J343" s="626"/>
      <c r="K343" s="525"/>
      <c r="L343" s="598"/>
      <c r="M343" s="721"/>
      <c r="N343" s="721"/>
      <c r="O343" s="721"/>
      <c r="P343" s="721"/>
      <c r="Q343" s="721"/>
      <c r="R343" s="721"/>
      <c r="S343" s="721"/>
      <c r="T343" s="529"/>
      <c r="U343" s="525"/>
      <c r="V343" s="525"/>
      <c r="W343" s="525"/>
      <c r="X343" s="525"/>
      <c r="Y343" s="525"/>
      <c r="Z343" s="525"/>
      <c r="AA343" s="525"/>
      <c r="AB343" s="525"/>
      <c r="AC343" s="525"/>
      <c r="AD343" s="525"/>
      <c r="AE343" s="525"/>
      <c r="AF343" s="525"/>
      <c r="AG343" s="525"/>
      <c r="AH343" s="525"/>
      <c r="AI343" s="525"/>
      <c r="AJ343" s="525"/>
      <c r="AK343" s="525"/>
      <c r="AL343" s="525"/>
      <c r="AM343" s="525"/>
      <c r="AN343" s="525"/>
      <c r="AO343" s="525"/>
      <c r="AP343" s="525"/>
      <c r="AQ343" s="525"/>
      <c r="AR343" s="525"/>
      <c r="AS343" s="525"/>
      <c r="AT343" s="525"/>
      <c r="AU343" s="525"/>
      <c r="AV343" s="525"/>
      <c r="AW343" s="525"/>
      <c r="AX343" s="525"/>
      <c r="AY343" s="525"/>
      <c r="AZ343" s="525"/>
      <c r="BA343" s="525"/>
      <c r="BB343" s="525"/>
      <c r="BC343" s="525"/>
      <c r="BD343" s="525"/>
      <c r="BE343" s="525"/>
      <c r="BF343" s="525"/>
      <c r="BG343" s="525"/>
      <c r="BH343" s="525"/>
      <c r="BI343" s="525"/>
      <c r="BJ343" s="525"/>
      <c r="BK343" s="525"/>
      <c r="BL343" s="525"/>
      <c r="BM343" s="525"/>
      <c r="BN343" s="525"/>
      <c r="BO343" s="525"/>
      <c r="BP343" s="525"/>
      <c r="BQ343" s="525"/>
    </row>
    <row r="344" ht="7.5" customHeight="1"/>
    <row r="345" spans="2:15" ht="25" customHeight="1">
      <c r="B345" s="528" t="str">
        <f>IF(AND(L345=FALSE,L336=TRUE),IF(Adatlap!$L$1="Magyar","Jelölje be!","Please, check!"),"")</f>
        <v/>
      </c>
      <c r="C345" s="1202" t="str">
        <f>IF(Adatlap!$L$1="Magyar",Fordítások!C530,Fordítások!B530)</f>
        <v>a beszállítók nyilatkozatát</v>
      </c>
      <c r="D345" s="1202"/>
      <c r="E345" s="1202"/>
      <c r="F345" s="1202"/>
      <c r="G345" s="1202"/>
      <c r="H345" s="1202"/>
      <c r="I345" s="1202"/>
      <c r="J345" s="1202"/>
      <c r="L345" s="572" t="b">
        <v>0</v>
      </c>
      <c r="O345" s="721"/>
    </row>
    <row r="346" ht="8.15" customHeight="1">
      <c r="C346" s="646"/>
    </row>
    <row r="347" spans="2:15" ht="25" customHeight="1">
      <c r="B347" s="528" t="str">
        <f>IF(AND(L347=FALSE,L336=TRUE),IF(Adatlap!$L$1="Magyar","Jelölje be!","Please, check!"),"")</f>
        <v/>
      </c>
      <c r="C347" s="646" t="str">
        <f>IF(Adatlap!$L$1="Magyar",Fordítások!C529,Fordítások!B529)</f>
        <v>minden hozzááadott színezék biztonsági adatlapját</v>
      </c>
      <c r="L347" s="572" t="b">
        <v>0</v>
      </c>
      <c r="O347" s="721"/>
    </row>
    <row r="348" ht="8.15" customHeight="1">
      <c r="C348" s="646"/>
    </row>
    <row r="349" spans="2:15" ht="25" customHeight="1">
      <c r="B349" s="528" t="str">
        <f>IF(AND(L336=TRUE,L349=FALSE),IF(Adatlap!$L$1="Magyar","Jelölje be!","Please, check!"),"")</f>
        <v/>
      </c>
      <c r="C349" s="646" t="str">
        <f>C328</f>
        <v>a termék BCF vagy log Kow értékére vonatkozó információt</v>
      </c>
      <c r="L349" s="572" t="b">
        <v>0</v>
      </c>
      <c r="O349" s="721"/>
    </row>
    <row r="350" spans="1:20" s="523" customFormat="1" ht="12.75" customHeight="1">
      <c r="A350" s="622"/>
      <c r="B350" s="602"/>
      <c r="F350" s="535"/>
      <c r="G350" s="813"/>
      <c r="H350" s="813"/>
      <c r="L350" s="572"/>
      <c r="M350" s="835"/>
      <c r="N350" s="835"/>
      <c r="O350" s="835"/>
      <c r="P350" s="835"/>
      <c r="Q350" s="835"/>
      <c r="R350" s="835"/>
      <c r="S350" s="835"/>
      <c r="T350" s="844"/>
    </row>
    <row r="351" spans="1:15" ht="25" customHeight="1">
      <c r="A351" s="528" t="str">
        <f>IF(AND(L334=FALSE,L336=FALSE,L351=FALSE),IF(Adatlap!L1="Magyar","Jelölje be!","Please, check!"),"")</f>
        <v>Jelölje be!</v>
      </c>
      <c r="B351" s="1202" t="str">
        <f>IF(Adatlap!$L$1="Magyar",Fordítások!C526,Fordítások!B526)</f>
        <v>A termék csak élelmiszerekben való felhasználásra engedélyezett színezőanyago(ka)t tartalmaz.</v>
      </c>
      <c r="C351" s="1202"/>
      <c r="D351" s="1202"/>
      <c r="E351" s="1202"/>
      <c r="F351" s="1202"/>
      <c r="G351" s="1202"/>
      <c r="H351" s="1202"/>
      <c r="I351" s="1202"/>
      <c r="J351" s="1202"/>
      <c r="L351" s="572" t="b">
        <v>0</v>
      </c>
      <c r="O351" s="721"/>
    </row>
    <row r="352" spans="2:15" ht="25" customHeight="1">
      <c r="B352" s="528" t="str">
        <f>IF(AND(M351=TRUE,M352=FALSE),IF(Adatlap!$L$1="Magyar","Jelölje be!","Please, check!"),"")</f>
        <v/>
      </c>
      <c r="C352" s="1202" t="str">
        <f>IF(Adatlap!$L$1="Magyar",Fordítások!C531,Fordítások!B531)</f>
        <v>Csatolom a dokumentációt, amely igazolja, hogy a színezőanyag élelmiszerekben való felhasználását engedélyezték.</v>
      </c>
      <c r="D352" s="1202"/>
      <c r="E352" s="1202"/>
      <c r="F352" s="1202"/>
      <c r="G352" s="1202"/>
      <c r="H352" s="1202"/>
      <c r="I352" s="1202"/>
      <c r="J352" s="1202"/>
      <c r="L352" s="572" t="b">
        <v>0</v>
      </c>
      <c r="O352" s="721"/>
    </row>
    <row r="353" spans="1:69" s="563" customFormat="1" ht="24" customHeight="1">
      <c r="A353" s="1346" t="str">
        <f>IF(AND(L334=FALSE,L336=FALSE,L351=FALSE),IF(Adatlap!L1="Magyar","Az 'f) Színezékek' fejezetnél az A oszlopban található 3 jelölőnégyzet egyikét be kell jelölni!","Please, check one of the three Checkboxes in Cloumn A in section 'f) Colouring agents'."),"")</f>
        <v>Az 'f) Színezékek' fejezetnél az A oszlopban található 3 jelölőnégyzet egyikét be kell jelölni!</v>
      </c>
      <c r="B353" s="1346"/>
      <c r="C353" s="1346"/>
      <c r="D353" s="1346"/>
      <c r="E353" s="1346"/>
      <c r="F353" s="1346"/>
      <c r="G353" s="1346"/>
      <c r="H353" s="1346"/>
      <c r="I353" s="1346"/>
      <c r="J353" s="1346"/>
      <c r="K353" s="646"/>
      <c r="L353" s="718"/>
      <c r="M353" s="849"/>
      <c r="N353" s="849"/>
      <c r="O353" s="849"/>
      <c r="P353" s="849"/>
      <c r="Q353" s="849"/>
      <c r="R353" s="849"/>
      <c r="S353" s="849"/>
      <c r="T353" s="850"/>
      <c r="U353" s="646"/>
      <c r="V353" s="646"/>
      <c r="W353" s="646"/>
      <c r="X353" s="646"/>
      <c r="Y353" s="646"/>
      <c r="Z353" s="646"/>
      <c r="AA353" s="646"/>
      <c r="AB353" s="646"/>
      <c r="AC353" s="646"/>
      <c r="AD353" s="646"/>
      <c r="AE353" s="646"/>
      <c r="AF353" s="646"/>
      <c r="AG353" s="646"/>
      <c r="AH353" s="646"/>
      <c r="AI353" s="646"/>
      <c r="AJ353" s="646"/>
      <c r="AK353" s="646"/>
      <c r="AL353" s="646"/>
      <c r="AM353" s="646"/>
      <c r="AN353" s="646"/>
      <c r="AO353" s="646"/>
      <c r="AP353" s="646"/>
      <c r="AQ353" s="646"/>
      <c r="AR353" s="646"/>
      <c r="AS353" s="646"/>
      <c r="AT353" s="646"/>
      <c r="AU353" s="646"/>
      <c r="AV353" s="646"/>
      <c r="AW353" s="646"/>
      <c r="AX353" s="646"/>
      <c r="AY353" s="646"/>
      <c r="AZ353" s="646"/>
      <c r="BA353" s="646"/>
      <c r="BB353" s="646"/>
      <c r="BC353" s="646"/>
      <c r="BD353" s="646"/>
      <c r="BE353" s="646"/>
      <c r="BF353" s="646"/>
      <c r="BG353" s="646"/>
      <c r="BH353" s="646"/>
      <c r="BI353" s="646"/>
      <c r="BJ353" s="646"/>
      <c r="BK353" s="646"/>
      <c r="BL353" s="646"/>
      <c r="BM353" s="646"/>
      <c r="BN353" s="646"/>
      <c r="BO353" s="646"/>
      <c r="BP353" s="646"/>
      <c r="BQ353" s="646"/>
    </row>
    <row r="354" spans="1:2" ht="13">
      <c r="A354" s="622" t="str">
        <f>IF(Adatlap!L1="Magyar","g)","(g)")</f>
        <v>g)</v>
      </c>
      <c r="B354" s="602" t="str">
        <f>IF(Adatlap!$L$1="Magyar",CONCATENATE(Fordítások!C532),CONCATENATE(Fordítások!B532))</f>
        <v>Enzimek</v>
      </c>
    </row>
    <row r="356" spans="1:15" ht="25" customHeight="1">
      <c r="A356" s="528" t="str">
        <f>IF(AND(L356=FALSE,L366=FALSE),IF(Adatlap!$L$1="Magyar","Jelölje be!","Please, check!"),"")</f>
        <v>Jelölje be!</v>
      </c>
      <c r="B356" s="1202" t="str">
        <f>IF(Adatlap!$L$1="Magyar",Fordítások!C533,Fordítások!B533)</f>
        <v>A termék enzimeket tartalmaz.</v>
      </c>
      <c r="C356" s="1202"/>
      <c r="D356" s="1202"/>
      <c r="E356" s="1202"/>
      <c r="F356" s="1202"/>
      <c r="G356" s="1202"/>
      <c r="H356" s="1202"/>
      <c r="I356" s="1202"/>
      <c r="J356" s="1202"/>
      <c r="L356" s="572" t="b">
        <v>0</v>
      </c>
      <c r="O356" s="721"/>
    </row>
    <row r="357" ht="8.15" customHeight="1"/>
    <row r="358" spans="2:15" ht="26.15" customHeight="1">
      <c r="B358" s="528" t="str">
        <f>IF(AND(L356=TRUE,L358=FALSE),IF(Adatlap!$L$1="Magyar","Jelölje be!","Please, check!"),"")</f>
        <v/>
      </c>
      <c r="C358" s="1202" t="str">
        <f>IF(Adatlap!$L$1="Magyar",Fordítások!C534,Fordítások!B534)</f>
        <v>Kijelentem, hogy a termékhez csak kapszulázott (szilárd formában lévő) enzim és enzimtartalmú folyadék/szuszpenzió lett hozzáadva.</v>
      </c>
      <c r="D358" s="1202"/>
      <c r="E358" s="1202"/>
      <c r="F358" s="1202"/>
      <c r="G358" s="1202"/>
      <c r="H358" s="1202"/>
      <c r="I358" s="1202"/>
      <c r="J358" s="1202"/>
      <c r="L358" s="572" t="b">
        <v>0</v>
      </c>
      <c r="O358" s="721"/>
    </row>
    <row r="359" spans="2:10" ht="23.25" customHeight="1">
      <c r="B359" s="648" t="str">
        <f>B343</f>
        <v>Csatolom</v>
      </c>
      <c r="C359" s="810"/>
      <c r="D359" s="810"/>
      <c r="E359" s="810"/>
      <c r="F359" s="810"/>
      <c r="G359" s="810"/>
      <c r="H359" s="810"/>
      <c r="I359" s="810"/>
      <c r="J359" s="810"/>
    </row>
    <row r="360" spans="2:10" ht="8.15" customHeight="1">
      <c r="B360" s="648"/>
      <c r="C360" s="810"/>
      <c r="D360" s="810"/>
      <c r="E360" s="810"/>
      <c r="F360" s="810"/>
      <c r="G360" s="810"/>
      <c r="H360" s="810"/>
      <c r="I360" s="810"/>
      <c r="J360" s="810"/>
    </row>
    <row r="361" spans="2:15" ht="12.75" customHeight="1">
      <c r="B361" s="1220" t="str">
        <f>IF(AND(L361=FALSE,L356=TRUE),IF(Adatlap!$L$1="Magyar","Jelölje be!","Please, check!"),"")</f>
        <v/>
      </c>
      <c r="C361" s="1202" t="str">
        <f>C345</f>
        <v>a beszállítók nyilatkozatát</v>
      </c>
      <c r="D361" s="1202"/>
      <c r="E361" s="1202"/>
      <c r="F361" s="1202"/>
      <c r="G361" s="1202"/>
      <c r="H361" s="1202"/>
      <c r="I361" s="1202"/>
      <c r="J361" s="1202"/>
      <c r="L361" s="572" t="b">
        <v>0</v>
      </c>
      <c r="O361" s="721"/>
    </row>
    <row r="362" spans="2:10" ht="12.75" customHeight="1">
      <c r="B362" s="1220"/>
      <c r="C362" s="810"/>
      <c r="D362" s="810"/>
      <c r="E362" s="810"/>
      <c r="F362" s="810"/>
      <c r="G362" s="810"/>
      <c r="H362" s="810"/>
      <c r="I362" s="810"/>
      <c r="J362" s="810"/>
    </row>
    <row r="363" spans="2:10" ht="8.15" customHeight="1">
      <c r="B363" s="812"/>
      <c r="C363" s="810"/>
      <c r="D363" s="810"/>
      <c r="E363" s="810"/>
      <c r="F363" s="810"/>
      <c r="G363" s="810"/>
      <c r="H363" s="810"/>
      <c r="I363" s="810"/>
      <c r="J363" s="810"/>
    </row>
    <row r="364" spans="2:15" ht="12.75" customHeight="1">
      <c r="B364" s="1220" t="str">
        <f>IF(AND(L364=FALSE,L356=TRUE),IF(Adatlap!$L$1="Magyar","Jelölje be!","Please, check!"),"")</f>
        <v/>
      </c>
      <c r="C364" s="1202" t="str">
        <f>IF(Adatlap!$L$1="Magyar",Fordítások!C689,Fordítások!B689)</f>
        <v>minden hozzáadott enzim biztonsági adatlapját.</v>
      </c>
      <c r="D364" s="1202"/>
      <c r="E364" s="1202"/>
      <c r="F364" s="1202"/>
      <c r="G364" s="1202"/>
      <c r="H364" s="1202"/>
      <c r="I364" s="1202"/>
      <c r="J364" s="1202"/>
      <c r="L364" s="572" t="b">
        <v>0</v>
      </c>
      <c r="O364" s="721"/>
    </row>
    <row r="365" spans="2:10" ht="12.75" customHeight="1">
      <c r="B365" s="1220"/>
      <c r="C365" s="810"/>
      <c r="D365" s="810"/>
      <c r="E365" s="810"/>
      <c r="F365" s="810"/>
      <c r="G365" s="810"/>
      <c r="H365" s="810"/>
      <c r="I365" s="810"/>
      <c r="J365" s="810"/>
    </row>
    <row r="366" spans="1:15" ht="25" customHeight="1">
      <c r="A366" s="528" t="str">
        <f>IF(AND(L356=FALSE,L366=FALSE),IF(Adatlap!$L$1="Magyar","Jelölje be!","Please, check!"),"")</f>
        <v>Jelölje be!</v>
      </c>
      <c r="B366" s="1158" t="str">
        <f>IF(Adatlap!$L$1="Magyar",Fordítások!C535,Fordítások!B535)</f>
        <v>A termék nem tartalmaz enzimeket.</v>
      </c>
      <c r="C366" s="1158"/>
      <c r="D366" s="1158"/>
      <c r="E366" s="1158"/>
      <c r="F366" s="1158"/>
      <c r="G366" s="1158"/>
      <c r="H366" s="1158"/>
      <c r="I366" s="1158"/>
      <c r="J366" s="1158"/>
      <c r="L366" s="572" t="b">
        <v>0</v>
      </c>
      <c r="O366" s="721"/>
    </row>
    <row r="367" spans="1:10" ht="26.25" customHeight="1">
      <c r="A367" s="1347" t="str">
        <f>IF(AND(L356=FALSE,L366=FALSE,L351=FALSE),IF(Adatlap!L1="Magyar","Az 'g) Enzimek' fejezetnél az A oszlopban található 2 jelölőnégyzet egyikét be kell jelölni!","Please, check one of the two Checkboxes in Cloumn A in section 'g) Enzymes'."),"")</f>
        <v>Az 'g) Enzimek' fejezetnél az A oszlopban található 2 jelölőnégyzet egyikét be kell jelölni!</v>
      </c>
      <c r="B367" s="1347"/>
      <c r="C367" s="1347"/>
      <c r="D367" s="1347"/>
      <c r="E367" s="1347"/>
      <c r="F367" s="1347"/>
      <c r="G367" s="1347"/>
      <c r="H367" s="1347"/>
      <c r="I367" s="1347"/>
      <c r="J367" s="1347"/>
    </row>
    <row r="368" spans="1:2" ht="13" hidden="1">
      <c r="A368" s="622" t="str">
        <f>IF(Adatlap!L1="Magyar","h)","(h)")</f>
        <v>h)</v>
      </c>
      <c r="B368" s="602" t="str">
        <f>IF(Adatlap!$L$1="Magyar",CONCATENATE(Fordítások!C227,"ok"),CONCATENATE(Fordítások!B227,"s"))</f>
        <v>Mikroorganizmusok</v>
      </c>
    </row>
    <row r="369" ht="12.75" hidden="1"/>
    <row r="370" spans="1:15" ht="25" customHeight="1" hidden="1">
      <c r="A370" s="528" t="str">
        <f>IF(AND(L370=FALSE,L372=FALSE),IF(Adatlap!$L$1="Magyar","Jelölje be!","Please, check!"),"")</f>
        <v/>
      </c>
      <c r="B370" s="1202" t="str">
        <f>IF(Adatlap!$L$1="Magyar",Fordítások!C536,Fordítások!B536)</f>
        <v>Kijelentem, hogy a termék nem tartalmaz szándékosan hozzáadott mikroorganizmusokat.</v>
      </c>
      <c r="C370" s="1202"/>
      <c r="D370" s="1202"/>
      <c r="E370" s="1202"/>
      <c r="F370" s="1202"/>
      <c r="G370" s="1202"/>
      <c r="H370" s="1202"/>
      <c r="I370" s="1202"/>
      <c r="J370" s="1202"/>
      <c r="L370" s="572" t="b">
        <v>1</v>
      </c>
      <c r="O370" s="721"/>
    </row>
    <row r="371" spans="2:10" ht="12.75" hidden="1">
      <c r="B371" s="646"/>
      <c r="C371" s="646"/>
      <c r="D371" s="646"/>
      <c r="E371" s="646"/>
      <c r="F371" s="650"/>
      <c r="G371" s="647"/>
      <c r="H371" s="647"/>
      <c r="I371" s="646"/>
      <c r="J371" s="646"/>
    </row>
    <row r="372" spans="1:15" ht="25" customHeight="1" hidden="1">
      <c r="A372" s="528" t="str">
        <f>IF(AND(L370=FALSE,L372=FALSE),IF(Adatlap!$L$1="Magyar","Jelölje be!","Please, check!"),"")</f>
        <v/>
      </c>
      <c r="B372" s="1202" t="str">
        <f>IF(Adatlap!$L$1="Magyar",Fordítások!C537,Fordítások!B537)</f>
        <v xml:space="preserve">Kijelentem, hogy a termék  szándékosan hozzáadott mikroorganizmusokat tartalmaz, amelyek koncentrációja ≥ 0,010 % (m/m). </v>
      </c>
      <c r="C372" s="1202"/>
      <c r="D372" s="1202"/>
      <c r="E372" s="1202"/>
      <c r="F372" s="1202"/>
      <c r="G372" s="1202"/>
      <c r="H372" s="1202"/>
      <c r="I372" s="1202"/>
      <c r="J372" s="1202"/>
      <c r="L372" s="572" t="b">
        <v>0</v>
      </c>
      <c r="O372" s="721"/>
    </row>
    <row r="373" ht="12.75" hidden="1"/>
    <row r="374" spans="2:15" ht="25" customHeight="1" hidden="1">
      <c r="B374" s="528" t="str">
        <f>IF(AND(L372=TRUE,L374=FALSE),IF(Adatlap!$L$1="Magyar","Jelölje be!","Please, check!"),"")</f>
        <v/>
      </c>
      <c r="C374" s="646" t="str">
        <f>IF(Adatlap!$L$1="Magyar",Fordítások!C538,Fordítások!B538)</f>
        <v>Kijelentem, hogy a termék az alábbi (i)-(x) alkritériumok mindegyikének megfelel:</v>
      </c>
      <c r="L374" s="572" t="b">
        <v>0</v>
      </c>
      <c r="O374" s="721"/>
    </row>
    <row r="375" ht="12.75" hidden="1"/>
    <row r="376" spans="2:9" ht="36.75" customHeight="1" hidden="1">
      <c r="B376" s="1158" t="str">
        <f>IF(Adatlap!$L$1="Magyar",Fordítások!C539,Fordítások!B539)</f>
        <v>i. Azonosítás: Válassza ki minden szándékosan hozzáadott mikroorganizmus ATCC3-számát, IDA4 számát, vagy csatolja a  16S riboszómális DNS-szekventálással vagy azzal egyenértékű módszerrel végzett törzsazonosítási dokumentációját.</v>
      </c>
      <c r="C376" s="1158"/>
      <c r="D376" s="1158"/>
      <c r="E376" s="1158"/>
      <c r="F376" s="1158"/>
      <c r="G376" s="1158"/>
      <c r="H376" s="1158"/>
      <c r="I376" s="1158"/>
    </row>
    <row r="377" ht="12.75" hidden="1"/>
    <row r="378" spans="2:9" ht="39" customHeight="1" hidden="1">
      <c r="B378" s="1341" t="str">
        <f>IF(Adatlap!$L$1="Magyar",Fordítások!C541,Fordítások!B541)</f>
        <v>Név (törzs)</v>
      </c>
      <c r="C378" s="1341"/>
      <c r="D378" s="1234" t="str">
        <f>IF(Adatlap!$L$1="Magyar","ATCC szám","ATCC number")</f>
        <v>ATCC szám</v>
      </c>
      <c r="E378" s="1234"/>
      <c r="F378" s="1234" t="str">
        <f>IF(Adatlap!$L$1="Magyar","IDA szám","IDA number")</f>
        <v>IDA szám</v>
      </c>
      <c r="G378" s="1234"/>
      <c r="H378" s="1234" t="str">
        <f>IF(Adatlap!$L$1="Magyar",Fordítások!C540,Fordítások!B540)</f>
        <v>Csatolom a DNS-azonosítási dokumentációt.</v>
      </c>
      <c r="I378" s="1234"/>
    </row>
    <row r="379" spans="2:12" ht="15" customHeight="1" hidden="1">
      <c r="B379" s="1221"/>
      <c r="C379" s="1221"/>
      <c r="D379" s="1221"/>
      <c r="E379" s="1221"/>
      <c r="F379" s="1221"/>
      <c r="G379" s="1221"/>
      <c r="H379" s="1222"/>
      <c r="I379" s="1222"/>
      <c r="L379" s="572" t="b">
        <v>0</v>
      </c>
    </row>
    <row r="380" spans="2:12" ht="15" customHeight="1" hidden="1">
      <c r="B380" s="1221"/>
      <c r="C380" s="1221"/>
      <c r="D380" s="1221"/>
      <c r="E380" s="1221"/>
      <c r="F380" s="1221"/>
      <c r="G380" s="1221"/>
      <c r="H380" s="1222"/>
      <c r="I380" s="1222"/>
      <c r="L380" s="572" t="b">
        <v>0</v>
      </c>
    </row>
    <row r="381" spans="2:12" ht="15" customHeight="1" hidden="1">
      <c r="B381" s="1221"/>
      <c r="C381" s="1221"/>
      <c r="D381" s="1221"/>
      <c r="E381" s="1221"/>
      <c r="F381" s="1221"/>
      <c r="G381" s="1221"/>
      <c r="H381" s="1222"/>
      <c r="I381" s="1222"/>
      <c r="L381" s="572" t="b">
        <v>0</v>
      </c>
    </row>
    <row r="382" spans="2:12" ht="15" customHeight="1" hidden="1">
      <c r="B382" s="1221"/>
      <c r="C382" s="1221"/>
      <c r="D382" s="1221"/>
      <c r="E382" s="1221"/>
      <c r="F382" s="1221"/>
      <c r="G382" s="1221"/>
      <c r="H382" s="1222"/>
      <c r="I382" s="1222"/>
      <c r="L382" s="572" t="b">
        <v>0</v>
      </c>
    </row>
    <row r="383" ht="12.75" hidden="1"/>
    <row r="384" spans="2:9" ht="13" hidden="1">
      <c r="B384" s="654" t="str">
        <f>IF(Adatlap!$L$1="Magyar",Fordítások!C542,Fordítások!B542)</f>
        <v>ii. Biztonság:</v>
      </c>
      <c r="C384" s="653"/>
      <c r="D384" s="653"/>
      <c r="E384" s="653"/>
      <c r="F384" s="653"/>
      <c r="G384" s="653"/>
      <c r="H384" s="653"/>
      <c r="I384" s="653"/>
    </row>
    <row r="385" ht="12.75" hidden="1"/>
    <row r="386" spans="2:12" ht="25" customHeight="1" hidden="1">
      <c r="B386" s="528" t="str">
        <f>IF(AND($L$372=TRUE,L386=FALSE),IF(Adatlap!$L$1="Magyar","Jelölje be!","Please, check!"),"")</f>
        <v/>
      </c>
      <c r="C386" s="646" t="str">
        <f>IF(Adatlap!$L$1="Magyar",Fordítások!C543,Fordítások!B543)</f>
        <v>Kijelentem, hogy minden szándékosan hozzáadott mikroorganizmus a következőkbe tartozik:</v>
      </c>
      <c r="L386" s="572" t="b">
        <v>0</v>
      </c>
    </row>
    <row r="387" spans="3:10" ht="38.15" customHeight="1" hidden="1">
      <c r="C387" s="1202" t="str">
        <f>IF(Adatlap!$L$1="Magyar",Fordítások!C544,Fordítások!B544)</f>
        <v>— a 2000/54/EK irányelv (1) meghatározása szerinti I. kockázati csoport – a munka során biológiai anyagoknak való kitettség,</v>
      </c>
      <c r="D387" s="1202"/>
      <c r="E387" s="1202"/>
      <c r="F387" s="1202"/>
      <c r="G387" s="1202"/>
      <c r="H387" s="1202"/>
      <c r="I387" s="1202"/>
      <c r="J387" s="1202"/>
    </row>
    <row r="388" spans="3:10" ht="38.15" customHeight="1" hidden="1">
      <c r="C388" s="1202" t="str">
        <f>IF(Adatlap!$L$1="Magyar",Fordítások!C545,Fordítások!B545)</f>
        <v>— az Európai Élelmiszerbiztonsági Hatóság (EFSA) által közzétett, „vélelmezetten biztonságos” minősítésű anyagok jegyzéke.</v>
      </c>
      <c r="D388" s="1202"/>
      <c r="E388" s="1202"/>
      <c r="F388" s="1202"/>
      <c r="G388" s="1202"/>
      <c r="H388" s="1202"/>
      <c r="I388" s="1202"/>
      <c r="J388" s="1202"/>
    </row>
    <row r="389" spans="2:12" ht="27" customHeight="1" hidden="1">
      <c r="B389" s="528" t="str">
        <f>IF(AND($L$372=TRUE,L389=FALSE),IF(Adatlap!$L$1="Magyar","Jelölje be!","Please, check!"),"")</f>
        <v/>
      </c>
      <c r="C389" s="1202" t="str">
        <f>IF(Adatlap!$L$1="Magyar",Fordítások!C546,Fordítások!B546)</f>
        <v>Csatolom a dokumentációt, amelyik bizonyítja, hogy minden szándékosan hozzáadott mikroorganizmus az I. kockázati csopotba és a "vélelmezetten biztonságos" minősítésű anyagok jegyzékébe tartozik.</v>
      </c>
      <c r="D389" s="1202"/>
      <c r="E389" s="1202"/>
      <c r="F389" s="1202"/>
      <c r="G389" s="1202"/>
      <c r="H389" s="1202"/>
      <c r="I389" s="1202"/>
      <c r="J389" s="1202"/>
      <c r="L389" s="572" t="b">
        <v>0</v>
      </c>
    </row>
    <row r="390" spans="3:10" ht="12.75" hidden="1">
      <c r="C390" s="1202"/>
      <c r="D390" s="1202"/>
      <c r="E390" s="1202"/>
      <c r="F390" s="1202"/>
      <c r="G390" s="1202"/>
      <c r="H390" s="1202"/>
      <c r="I390" s="1202"/>
      <c r="J390" s="1202"/>
    </row>
    <row r="391" ht="12.75" hidden="1"/>
    <row r="392" ht="13" hidden="1">
      <c r="B392" s="654" t="str">
        <f>IF(Adatlap!$L$1="Magyar",Fordítások!C547,Fordítások!B547)</f>
        <v>iii. Szennyező anyagok hiánya:</v>
      </c>
    </row>
    <row r="393" ht="12.75" hidden="1"/>
    <row r="394" spans="2:12" ht="12.75" hidden="1">
      <c r="B394" s="1220" t="str">
        <f>IF(AND($L$372=TRUE,L394=FALSE),IF(Adatlap!$L$1="Magyar","Jelölje be!","Please, check!"),"")</f>
        <v/>
      </c>
      <c r="C394" s="646" t="str">
        <f>IF(Adatlap!$L$1="Magyar",Fordítások!C548,Fordítások!B548)</f>
        <v>Kijelentem, hogy a termékben nincsenek az alábbiak közé tartozó  mikroorganizmusok.</v>
      </c>
      <c r="L394" s="572" t="b">
        <v>0</v>
      </c>
    </row>
    <row r="395" ht="12.75" hidden="1">
      <c r="B395" s="1220"/>
    </row>
    <row r="396" spans="3:10" ht="25" customHeight="1" hidden="1">
      <c r="C396" s="1206" t="str">
        <f>IF(Adatlap!$L$1="Magyar",Fordítások!C549,Fordítások!B549)</f>
        <v xml:space="preserve">— E. Coli, az ISO 16649-3:2005 szabvány szerinti vizsgálati módszer, </v>
      </c>
      <c r="D396" s="1206"/>
      <c r="E396" s="1206"/>
      <c r="F396" s="1206"/>
      <c r="G396" s="1206"/>
      <c r="H396" s="1206"/>
      <c r="I396" s="1206"/>
      <c r="J396" s="1206"/>
    </row>
    <row r="397" spans="3:10" ht="25" customHeight="1" hidden="1">
      <c r="C397" s="1206" t="str">
        <f>IF(Adatlap!$L$1="Magyar",Fordítások!C550,Fordítások!B550)</f>
        <v xml:space="preserve">— Streptococcus (Enterococcus), az ISO 21528-1:2004 szabvány szerinti vizsgálati módszer, </v>
      </c>
      <c r="D397" s="1206"/>
      <c r="E397" s="1206"/>
      <c r="F397" s="1206"/>
      <c r="G397" s="1206"/>
      <c r="H397" s="1206"/>
      <c r="I397" s="1206"/>
      <c r="J397" s="1206"/>
    </row>
    <row r="398" spans="3:10" ht="25" customHeight="1" hidden="1">
      <c r="C398" s="1206" t="str">
        <f>IF(Adatlap!$L$1="Magyar",Fordítások!C551,Fordítások!B551)</f>
        <v xml:space="preserve">— Staphylococcus aureus, az ISO 6888-1 szabvány szerinti vizsgálati módszer, </v>
      </c>
      <c r="D398" s="1206"/>
      <c r="E398" s="1206"/>
      <c r="F398" s="1206"/>
      <c r="G398" s="1206"/>
      <c r="H398" s="1206"/>
      <c r="I398" s="1206"/>
      <c r="J398" s="1206"/>
    </row>
    <row r="399" spans="3:10" ht="25" customHeight="1" hidden="1">
      <c r="C399" s="1206" t="str">
        <f>IF(Adatlap!$L$1="Magyar",Fordítások!C552,Fordítások!B552)</f>
        <v xml:space="preserve">— Bacillus cereus, az ISO 7932:2004 vagy az ISO 21871 szabvány szerinti vizsgálati módszer, </v>
      </c>
      <c r="D399" s="1206"/>
      <c r="E399" s="1206"/>
      <c r="F399" s="1206"/>
      <c r="G399" s="1206"/>
      <c r="H399" s="1206"/>
      <c r="I399" s="1206"/>
      <c r="J399" s="1206"/>
    </row>
    <row r="400" spans="3:10" ht="25" customHeight="1" hidden="1">
      <c r="C400" s="1206" t="str">
        <f>IF(Adatlap!$L$1="Magyar",Fordítások!C553,Fordítások!B553)</f>
        <v>— Salmonella, az ISO 6579:2002 vagy az ISO 19250 szabvány szerinti vizsgálati módszer.</v>
      </c>
      <c r="D400" s="1206"/>
      <c r="E400" s="1206"/>
      <c r="F400" s="1206"/>
      <c r="G400" s="1206"/>
      <c r="H400" s="1206"/>
      <c r="I400" s="1206"/>
      <c r="J400" s="1206"/>
    </row>
    <row r="401" spans="2:15" ht="12.75" customHeight="1" hidden="1">
      <c r="B401" s="1220" t="str">
        <f>IF(AND($L$372=TRUE,L401=FALSE),IF(Adatlap!$L$1="Magyar","Jelölje be!","Please, check!"),"")</f>
        <v/>
      </c>
      <c r="C401" s="1202" t="str">
        <f>IF(Adatlap!$L$1="Magyar",Fordítások!C554,Fordítások!B554)</f>
        <v>Csatolom a dokumentációt, amelyik bizonyítja, hogy a termékben nincsenek patogén mikroorganizmusok.</v>
      </c>
      <c r="D401" s="1202"/>
      <c r="E401" s="1202"/>
      <c r="F401" s="1202"/>
      <c r="G401" s="1202"/>
      <c r="H401" s="1202"/>
      <c r="I401" s="1202"/>
      <c r="J401" s="1202"/>
      <c r="L401" s="572" t="b">
        <v>0</v>
      </c>
      <c r="O401" s="721"/>
    </row>
    <row r="402" spans="2:10" ht="12.75" hidden="1">
      <c r="B402" s="1220"/>
      <c r="C402" s="1202"/>
      <c r="D402" s="1202"/>
      <c r="E402" s="1202"/>
      <c r="F402" s="1202"/>
      <c r="G402" s="1202"/>
      <c r="H402" s="1202"/>
      <c r="I402" s="1202"/>
      <c r="J402" s="1202"/>
    </row>
    <row r="403" ht="12.75" hidden="1"/>
    <row r="404" ht="13" hidden="1">
      <c r="B404" s="654" t="str">
        <f>IF(Adatlap!$L$1="Magyar",Fordítások!C555,Fordítások!B555)</f>
        <v>iv. Géntechnológiával módosított mikroorganizmusok (GMM-ek)</v>
      </c>
    </row>
    <row r="405" ht="12.75" hidden="1"/>
    <row r="406" spans="2:15" ht="12.75" customHeight="1" hidden="1">
      <c r="B406" s="1220" t="str">
        <f>IF(AND($L$372=TRUE,L406=FALSE),IF(Adatlap!$L$1="Magyar","Jelölje be!","Please, check!"),"")</f>
        <v/>
      </c>
      <c r="C406" s="1202" t="str">
        <f>IF(Adatlap!$L$1="Magyar",Fordítások!C556,Fordítások!B556)</f>
        <v>A szándékosan hozzáadott mikroorganizmusok nem  géntechnológiával módosított mikroorganizmusok.</v>
      </c>
      <c r="D406" s="1202"/>
      <c r="E406" s="1202"/>
      <c r="F406" s="1202"/>
      <c r="G406" s="1202"/>
      <c r="H406" s="1202"/>
      <c r="I406" s="1202"/>
      <c r="J406" s="1202"/>
      <c r="L406" s="572" t="b">
        <v>0</v>
      </c>
      <c r="O406" s="721"/>
    </row>
    <row r="407" spans="2:10" ht="12.75" hidden="1">
      <c r="B407" s="1220"/>
      <c r="C407" s="1202"/>
      <c r="D407" s="1202"/>
      <c r="E407" s="1202"/>
      <c r="F407" s="1202"/>
      <c r="G407" s="1202"/>
      <c r="H407" s="1202"/>
      <c r="I407" s="1202"/>
      <c r="J407" s="1202"/>
    </row>
    <row r="408" ht="12.75" hidden="1"/>
    <row r="409" spans="2:15" ht="12.75" customHeight="1" hidden="1">
      <c r="B409" s="1220" t="str">
        <f>IF(AND($L$372=TRUE,L409=FALSE),IF(Adatlap!$L$1="Magyar","Jelölje be!","Please, check!"),"")</f>
        <v/>
      </c>
      <c r="C409" s="1202" t="str">
        <f>IF(Adatlap!$L$1="Magyar",Fordítások!C557,Fordítások!B557)</f>
        <v>Csatolom a dokumentációt, amelyik bizonyítja, hogy a szándékosan hozzáadott mikroorganizmusok nem GMM-ek.</v>
      </c>
      <c r="D409" s="1202"/>
      <c r="E409" s="1202"/>
      <c r="F409" s="1202"/>
      <c r="G409" s="1202"/>
      <c r="H409" s="1202"/>
      <c r="I409" s="1202"/>
      <c r="J409" s="1202"/>
      <c r="L409" s="572" t="b">
        <v>0</v>
      </c>
      <c r="O409" s="721"/>
    </row>
    <row r="410" spans="2:10" ht="12.75" hidden="1">
      <c r="B410" s="1220"/>
      <c r="C410" s="1202"/>
      <c r="D410" s="1202"/>
      <c r="E410" s="1202"/>
      <c r="F410" s="1202"/>
      <c r="G410" s="1202"/>
      <c r="H410" s="1202"/>
      <c r="I410" s="1202"/>
      <c r="J410" s="1202"/>
    </row>
    <row r="411" ht="12.75" hidden="1"/>
    <row r="412" ht="13" hidden="1">
      <c r="B412" s="654" t="str">
        <f>IF(Adatlap!$L$1="Magyar",Fordítások!C558,Fordítások!B558)</f>
        <v>v. Antibiotikumokkal szembeni érzékenység:</v>
      </c>
    </row>
    <row r="413" ht="12.75" hidden="1"/>
    <row r="414" spans="2:15" ht="12.75" customHeight="1" hidden="1">
      <c r="B414" s="1220" t="str">
        <f>IF(AND($L$372=TRUE,L414=FALSE),IF(Adatlap!$L$1="Magyar","Jelölje be!","Please, check!"),"")</f>
        <v/>
      </c>
      <c r="C414" s="1202" t="str">
        <f>IF(Adatlap!$L$1="Magyar",Fordítások!C559,Fordítások!B559)</f>
        <v>Kijelentem, hogy minden szándékosan hozzáadott mikroorganizmus – a természetes ellenállását leszámítva – az EUCAST korongdiffúziós módszerével vagy azzal egyenértékű módszerrel igazoltan érzékeny az öt nagy antibiotikum-osztály mindegyikére (aminoglikozidok, makrolidok, béta-laktámok, tetraciklinek és fluorkinolonok).</v>
      </c>
      <c r="D414" s="1202"/>
      <c r="E414" s="1202"/>
      <c r="F414" s="1202"/>
      <c r="G414" s="1202"/>
      <c r="H414" s="1202"/>
      <c r="I414" s="1202"/>
      <c r="J414" s="1202"/>
      <c r="L414" s="572" t="b">
        <v>0</v>
      </c>
      <c r="O414" s="721"/>
    </row>
    <row r="415" spans="2:10" ht="12.75" hidden="1">
      <c r="B415" s="1220"/>
      <c r="C415" s="1202"/>
      <c r="D415" s="1202"/>
      <c r="E415" s="1202"/>
      <c r="F415" s="1202"/>
      <c r="G415" s="1202"/>
      <c r="H415" s="1202"/>
      <c r="I415" s="1202"/>
      <c r="J415" s="1202"/>
    </row>
    <row r="416" spans="3:10" ht="38.25" customHeight="1" hidden="1">
      <c r="C416" s="1202"/>
      <c r="D416" s="1202"/>
      <c r="E416" s="1202"/>
      <c r="F416" s="1202"/>
      <c r="G416" s="1202"/>
      <c r="H416" s="1202"/>
      <c r="I416" s="1202"/>
      <c r="J416" s="1202"/>
    </row>
    <row r="417" spans="2:15" ht="12.75" customHeight="1" hidden="1">
      <c r="B417" s="1220" t="str">
        <f>IF(AND($L$372=TRUE,L417=FALSE),IF(Adatlap!$L$1="Magyar","Jelölje be!","Please, check!"),"")</f>
        <v/>
      </c>
      <c r="C417" s="1202" t="str">
        <f>IF(Adatlap!$L$1="Magyar",Fordítások!C560,Fordítások!B560)</f>
        <v>Csatolom a dokumentációt, amelyik bizonyítja, hogy a szándékosan hozzáadott mikroorganizmus – a természetes ellenállásukat leszámítva -  érzékenyek az alkritériumban felsorolt öt nagy antibiotikum-osztály mindegyikére.</v>
      </c>
      <c r="D417" s="1202"/>
      <c r="E417" s="1202"/>
      <c r="F417" s="1202"/>
      <c r="G417" s="1202"/>
      <c r="H417" s="1202"/>
      <c r="I417" s="1202"/>
      <c r="J417" s="1202"/>
      <c r="L417" s="572" t="b">
        <v>0</v>
      </c>
      <c r="O417" s="721"/>
    </row>
    <row r="418" spans="2:10" ht="12.75" hidden="1">
      <c r="B418" s="1220"/>
      <c r="C418" s="1202"/>
      <c r="D418" s="1202"/>
      <c r="E418" s="1202"/>
      <c r="F418" s="1202"/>
      <c r="G418" s="1202"/>
      <c r="H418" s="1202"/>
      <c r="I418" s="1202"/>
      <c r="J418" s="1202"/>
    </row>
    <row r="419" spans="3:10" ht="12.75" hidden="1">
      <c r="C419" s="1202"/>
      <c r="D419" s="1202"/>
      <c r="E419" s="1202"/>
      <c r="F419" s="1202"/>
      <c r="G419" s="1202"/>
      <c r="H419" s="1202"/>
      <c r="I419" s="1202"/>
      <c r="J419" s="1202"/>
    </row>
    <row r="420" ht="12.75" hidden="1"/>
    <row r="421" ht="13" hidden="1">
      <c r="B421" s="654" t="str">
        <f>IF(Adatlap!$L$1="Magyar",Fordítások!C561,Fordítások!B561)</f>
        <v>vi. Mikrobaszám:</v>
      </c>
    </row>
    <row r="422" ht="12.75" hidden="1"/>
    <row r="423" spans="2:15" ht="12.75" customHeight="1" hidden="1">
      <c r="B423" s="1220" t="str">
        <f>IF(AND($L$372=TRUE,L423=FALSE),IF(Adatlap!$L$1="Magyar","Jelölje be!","Please, check!"),"")</f>
        <v/>
      </c>
      <c r="C423" s="1202" t="str">
        <f>IF(Adatlap!$L$1="Magyar",Fordítások!C562,Fordítások!B562)</f>
        <v>Kijelentem, hogy a használatra kész formában lévő termékek normál csíraszáma milliliterenként</v>
      </c>
      <c r="D423" s="1202"/>
      <c r="E423" s="1202"/>
      <c r="F423" s="1202"/>
      <c r="G423" s="1202"/>
      <c r="H423" s="1202"/>
      <c r="I423" s="1348"/>
      <c r="J423" s="1350" t="str">
        <f>IF(Adatlap!L1="Magyar",".","CFU per ml")</f>
        <v>.</v>
      </c>
      <c r="L423" s="572" t="b">
        <v>0</v>
      </c>
      <c r="O423" s="721"/>
    </row>
    <row r="424" spans="2:10" ht="12.75" hidden="1">
      <c r="B424" s="1220"/>
      <c r="C424" s="1202"/>
      <c r="D424" s="1202"/>
      <c r="E424" s="1202"/>
      <c r="F424" s="1202"/>
      <c r="G424" s="1202"/>
      <c r="H424" s="1202"/>
      <c r="I424" s="1349"/>
      <c r="J424" s="1350"/>
    </row>
    <row r="425" spans="3:10" ht="48.75" customHeight="1" hidden="1">
      <c r="C425" s="1236" t="str">
        <f>IF(Adatlap!$L$1="Magyar",Fordítások!C563,Fordítások!B563)</f>
        <v>(határérték: legalább 1 × 105 telepképző egység (CFU) kell, hogy legyen az ISO 4833-1:2014 szabványnak megfelelően.) [Megjegyzés: Hígítatlan termékek esetében a normál tisztításra javasolt hígítási arányt kell alkalmazni.]</v>
      </c>
      <c r="D425" s="1236"/>
      <c r="E425" s="1236"/>
      <c r="F425" s="1236"/>
      <c r="G425" s="1236"/>
      <c r="H425" s="1236"/>
      <c r="I425" s="1236"/>
      <c r="J425" s="1236"/>
    </row>
    <row r="426" spans="2:15" ht="25" customHeight="1" hidden="1">
      <c r="B426" s="655" t="str">
        <f>IF(AND($L$372=TRUE,L426=FALSE),IF(Adatlap!$L$1="Magyar","Jelölje be!","Please, check!"),"")</f>
        <v/>
      </c>
      <c r="C426" s="1202" t="str">
        <f>IF(Adatlap!$L$1="Magyar",Fordítások!C564,Fordítások!B564)</f>
        <v xml:space="preserve">Csatolom a használatra kész oldat CFU/ml tartalmáról szóló vizsgálati dokumentációt. </v>
      </c>
      <c r="D426" s="1202"/>
      <c r="E426" s="1202"/>
      <c r="F426" s="1202"/>
      <c r="G426" s="1202"/>
      <c r="H426" s="1202"/>
      <c r="I426" s="1202"/>
      <c r="J426" s="1202"/>
      <c r="L426" s="572" t="b">
        <v>0</v>
      </c>
      <c r="O426" s="721"/>
    </row>
    <row r="427" spans="2:10" ht="31.5" customHeight="1" hidden="1">
      <c r="B427" s="654" t="str">
        <f>IF(Adatlap!$L$1="Magyar",Fordítások!C565,Fordítások!B565)</f>
        <v>vii. Eltarthatóság:</v>
      </c>
      <c r="C427" s="818"/>
      <c r="D427" s="818"/>
      <c r="E427" s="818"/>
      <c r="F427" s="818"/>
      <c r="G427" s="818"/>
      <c r="H427" s="818"/>
      <c r="I427" s="818"/>
      <c r="J427" s="818"/>
    </row>
    <row r="428" spans="3:10" ht="12.75" hidden="1">
      <c r="C428" s="818"/>
      <c r="D428" s="818"/>
      <c r="E428" s="818"/>
      <c r="F428" s="818"/>
      <c r="G428" s="818"/>
      <c r="H428" s="818"/>
      <c r="I428" s="818"/>
      <c r="J428" s="818"/>
    </row>
    <row r="429" spans="2:15" ht="12.75" customHeight="1" hidden="1">
      <c r="B429" s="1220" t="str">
        <f>IF(AND($L$372=TRUE,L429=FALSE),IF(Adatlap!$L$1="Magyar","Jelölje be!","Please, check!"),"")</f>
        <v/>
      </c>
      <c r="C429" s="1202" t="str">
        <f>IF(Adatlap!$L$1="Magyar",Fordítások!C566,Fordítások!B566)</f>
        <v>Kijelentem, hogy a termék minimális eltarthatósága legalább 24 hónap, és a mikrobaszám 12 hónap alatt nem csökken 10 %-ot meghaladó mértékben, az ISO 4833-1:2014 szabványnak megfelelően.</v>
      </c>
      <c r="D429" s="1202"/>
      <c r="E429" s="1202"/>
      <c r="F429" s="1202"/>
      <c r="G429" s="1202"/>
      <c r="H429" s="1202"/>
      <c r="I429" s="1202"/>
      <c r="J429" s="1202"/>
      <c r="L429" s="572" t="b">
        <v>0</v>
      </c>
      <c r="O429" s="721"/>
    </row>
    <row r="430" spans="2:10" ht="12.75" hidden="1">
      <c r="B430" s="1220"/>
      <c r="C430" s="1202"/>
      <c r="D430" s="1202"/>
      <c r="E430" s="1202"/>
      <c r="F430" s="1202"/>
      <c r="G430" s="1202"/>
      <c r="H430" s="1202"/>
      <c r="I430" s="1202"/>
      <c r="J430" s="1202"/>
    </row>
    <row r="431" spans="3:10" ht="20.25" customHeight="1" hidden="1">
      <c r="C431" s="1202"/>
      <c r="D431" s="1202"/>
      <c r="E431" s="1202"/>
      <c r="F431" s="1202"/>
      <c r="G431" s="1202"/>
      <c r="H431" s="1202"/>
      <c r="I431" s="1202"/>
      <c r="J431" s="1202"/>
    </row>
    <row r="432" spans="2:15" ht="12.75" customHeight="1" hidden="1">
      <c r="B432" s="1220" t="str">
        <f>IF(AND($L$372=TRUE,L432=FALSE),IF(Adatlap!$L$1="Magyar","Jelölje be!","Please, check!"),"")</f>
        <v/>
      </c>
      <c r="C432" s="1202" t="str">
        <f>IF(Adatlap!$L$1="Magyar",Fordítások!C567,Fordítások!B567)</f>
        <v>Csatolom az eltarthatóságának végéig tárolt termékből készített használatra kész oldat 12 havonta mért CFU/ml tartalmáról  szóló vizsgálati dokumentációt.</v>
      </c>
      <c r="D432" s="1202"/>
      <c r="E432" s="1202"/>
      <c r="F432" s="1202"/>
      <c r="G432" s="1202"/>
      <c r="H432" s="1202"/>
      <c r="I432" s="1202"/>
      <c r="J432" s="1202"/>
      <c r="L432" s="572" t="b">
        <v>0</v>
      </c>
      <c r="O432" s="721"/>
    </row>
    <row r="433" spans="2:10" ht="12.75" hidden="1">
      <c r="B433" s="1220"/>
      <c r="C433" s="1202"/>
      <c r="D433" s="1202"/>
      <c r="E433" s="1202"/>
      <c r="F433" s="1202"/>
      <c r="G433" s="1202"/>
      <c r="H433" s="1202"/>
      <c r="I433" s="1202"/>
      <c r="J433" s="1202"/>
    </row>
    <row r="434" spans="3:10" ht="12.75" hidden="1">
      <c r="C434" s="818"/>
      <c r="D434" s="818"/>
      <c r="E434" s="818"/>
      <c r="F434" s="818"/>
      <c r="G434" s="818"/>
      <c r="H434" s="818"/>
      <c r="I434" s="818"/>
      <c r="J434" s="818"/>
    </row>
    <row r="435" spans="2:10" ht="13" hidden="1">
      <c r="B435" s="654" t="str">
        <f>IF(Adatlap!$L$1="Magyar",Fordítások!C568,Fordítások!B568)</f>
        <v>viii. Használatra való alkalmasság:</v>
      </c>
      <c r="C435" s="818"/>
      <c r="D435" s="818"/>
      <c r="E435" s="818"/>
      <c r="F435" s="818"/>
      <c r="G435" s="818"/>
      <c r="H435" s="818"/>
      <c r="I435" s="818"/>
      <c r="J435" s="818"/>
    </row>
    <row r="436" spans="3:10" ht="12.75" hidden="1">
      <c r="C436" s="818"/>
      <c r="D436" s="818"/>
      <c r="E436" s="818"/>
      <c r="F436" s="818"/>
      <c r="G436" s="818"/>
      <c r="H436" s="818"/>
      <c r="I436" s="818"/>
      <c r="J436" s="818"/>
    </row>
    <row r="437" spans="2:15" ht="12.75" customHeight="1" hidden="1">
      <c r="B437" s="1220" t="str">
        <f>IF(AND($L$372=TRUE,L437=FALSE),IF(Adatlap!$L$1="Magyar","Jelölje be!","Please, check!"),"")</f>
        <v/>
      </c>
      <c r="C437" s="1202" t="str">
        <f>IF(Adatlap!$L$1="Magyar",Fordítások!C569,Fordítások!B569)</f>
        <v>Kijelentem, hogy a termék teljesíti a 6. kritérium keretében a használatra való alkalmasságra, illetve a gyártó által a termékben jelen lévő mikroorganizmusok mikrobaölő vagy fertőtlenítő hatására vonatkozóan tett állításokra előírt valamennyi követelményt.</v>
      </c>
      <c r="D437" s="1202"/>
      <c r="E437" s="1202"/>
      <c r="F437" s="1202"/>
      <c r="G437" s="1202"/>
      <c r="H437" s="1202"/>
      <c r="I437" s="1202"/>
      <c r="J437" s="1202"/>
      <c r="L437" s="572" t="b">
        <v>0</v>
      </c>
      <c r="O437" s="721"/>
    </row>
    <row r="438" spans="2:10" ht="12.75" hidden="1">
      <c r="B438" s="1220"/>
      <c r="C438" s="1202"/>
      <c r="D438" s="1202"/>
      <c r="E438" s="1202"/>
      <c r="F438" s="1202"/>
      <c r="G438" s="1202"/>
      <c r="H438" s="1202"/>
      <c r="I438" s="1202"/>
      <c r="J438" s="1202"/>
    </row>
    <row r="439" spans="3:10" ht="12.75" hidden="1">
      <c r="C439" s="1202"/>
      <c r="D439" s="1202"/>
      <c r="E439" s="1202"/>
      <c r="F439" s="1202"/>
      <c r="G439" s="1202"/>
      <c r="H439" s="1202"/>
      <c r="I439" s="1202"/>
      <c r="J439" s="1202"/>
    </row>
    <row r="440" spans="3:10" ht="10.5" customHeight="1" hidden="1">
      <c r="C440" s="810"/>
      <c r="D440" s="810"/>
      <c r="E440" s="810"/>
      <c r="F440" s="810"/>
      <c r="G440" s="810"/>
      <c r="H440" s="810"/>
      <c r="I440" s="810"/>
      <c r="J440" s="810"/>
    </row>
    <row r="441" spans="2:10" ht="17.25" customHeight="1" hidden="1">
      <c r="B441" s="646" t="str">
        <f>B343</f>
        <v>Csatolom</v>
      </c>
      <c r="C441" s="810"/>
      <c r="D441" s="810"/>
      <c r="E441" s="810"/>
      <c r="F441" s="810"/>
      <c r="G441" s="810"/>
      <c r="H441" s="810"/>
      <c r="I441" s="810"/>
      <c r="J441" s="810"/>
    </row>
    <row r="442" spans="2:15" ht="12.75" customHeight="1" hidden="1">
      <c r="B442" s="1220" t="str">
        <f>IF(AND($L$372=TRUE,L442=FALSE),IF(Adatlap!$L$1="Magyar","Jelölje be!","Please, check!"),"")</f>
        <v/>
      </c>
      <c r="C442" s="1202" t="str">
        <f>IF(Adatlap!$L$1="Magyar",Fordítások!C570,Fordítások!B570)</f>
        <v>harmadik fél laboratóriuma által végzett vizsgálat eredményeit, amelyek igazolják a mikroorganizmusok hatásaira vonatkozóan tett állításokat</v>
      </c>
      <c r="D442" s="1202"/>
      <c r="E442" s="1202"/>
      <c r="F442" s="1202"/>
      <c r="G442" s="1202"/>
      <c r="H442" s="1202"/>
      <c r="I442" s="1202"/>
      <c r="J442" s="1202"/>
      <c r="L442" s="572" t="b">
        <v>0</v>
      </c>
      <c r="O442" s="721"/>
    </row>
    <row r="443" spans="2:10" ht="12.75" hidden="1">
      <c r="B443" s="1220"/>
      <c r="C443" s="1202"/>
      <c r="D443" s="1202"/>
      <c r="E443" s="1202"/>
      <c r="F443" s="1202"/>
      <c r="G443" s="1202"/>
      <c r="H443" s="1202"/>
      <c r="I443" s="1202"/>
      <c r="J443" s="1202"/>
    </row>
    <row r="444" ht="12.75" hidden="1"/>
    <row r="445" spans="2:15" ht="12.75" customHeight="1" hidden="1">
      <c r="B445" s="1220" t="str">
        <f>IF(AND($L$372=TRUE,L445=FALSE),IF(Adatlap!$L$1="Magyar","Jelölje be!","Please, check!"),"")</f>
        <v/>
      </c>
      <c r="C445" s="1202" t="str">
        <f>IF(Adatlap!$L$1="Magyar",Fordítások!C571,Fordítások!B571)</f>
        <v>a csomagolás  vagy a termékcímke tervét, amelyen láthatóak a mikroorganizmusok hatásaira vonatkozó állítások</v>
      </c>
      <c r="D445" s="1202"/>
      <c r="E445" s="1202"/>
      <c r="F445" s="1202"/>
      <c r="G445" s="1202"/>
      <c r="H445" s="1202"/>
      <c r="I445" s="1202"/>
      <c r="J445" s="1202"/>
      <c r="L445" s="572" t="b">
        <v>0</v>
      </c>
      <c r="O445" s="721"/>
    </row>
    <row r="446" spans="2:10" ht="12.75" hidden="1">
      <c r="B446" s="1220"/>
      <c r="C446" s="1202"/>
      <c r="D446" s="1202"/>
      <c r="E446" s="1202"/>
      <c r="F446" s="1202"/>
      <c r="G446" s="1202"/>
      <c r="H446" s="1202"/>
      <c r="I446" s="1202"/>
      <c r="J446" s="1202"/>
    </row>
    <row r="447" ht="12.75" hidden="1"/>
    <row r="448" spans="2:10" ht="13" hidden="1">
      <c r="B448" s="654" t="str">
        <f>IF(Adatlap!$L$1="Magyar",Fordítások!C572,Fordítások!B572)</f>
        <v>ix. Állítások:</v>
      </c>
      <c r="C448" s="818"/>
      <c r="D448" s="818"/>
      <c r="E448" s="818"/>
      <c r="F448" s="818"/>
      <c r="G448" s="818"/>
      <c r="H448" s="818"/>
      <c r="I448" s="818"/>
      <c r="J448" s="818"/>
    </row>
    <row r="449" spans="3:10" ht="12.75" hidden="1">
      <c r="C449" s="818"/>
      <c r="D449" s="818"/>
      <c r="E449" s="818"/>
      <c r="F449" s="818"/>
      <c r="G449" s="818"/>
      <c r="H449" s="818"/>
      <c r="I449" s="818"/>
      <c r="J449" s="818"/>
    </row>
    <row r="450" spans="2:15" ht="12.75" customHeight="1" hidden="1">
      <c r="B450" s="1220" t="str">
        <f>IF(AND($L$372=TRUE,L450=FALSE),IF(Adatlap!$L$1="Magyar","Jelölje be!","Please, check!"),"")</f>
        <v/>
      </c>
      <c r="C450" s="1202" t="str">
        <f>IF(Adatlap!$L$1="Magyar",Fordítások!C573,Fordítások!B573)</f>
        <v>Kijelentem, hogy a termék csomagolása vagy bármely egyéb tájékoztató anyag nem állítja vagy sugallja, hogy a termék mikrobaölő vagy fertőtlenítő hatású.</v>
      </c>
      <c r="D450" s="1202"/>
      <c r="E450" s="1202"/>
      <c r="F450" s="1202"/>
      <c r="G450" s="1202"/>
      <c r="H450" s="1202"/>
      <c r="I450" s="1202"/>
      <c r="J450" s="1202"/>
      <c r="L450" s="572" t="b">
        <v>0</v>
      </c>
      <c r="O450" s="721"/>
    </row>
    <row r="451" spans="2:10" ht="12.75" hidden="1">
      <c r="B451" s="1220"/>
      <c r="C451" s="1202"/>
      <c r="D451" s="1202"/>
      <c r="E451" s="1202"/>
      <c r="F451" s="1202"/>
      <c r="G451" s="1202"/>
      <c r="H451" s="1202"/>
      <c r="I451" s="1202"/>
      <c r="J451" s="1202"/>
    </row>
    <row r="452" spans="3:10" ht="12.75" hidden="1">
      <c r="C452" s="1202"/>
      <c r="D452" s="1202"/>
      <c r="E452" s="1202"/>
      <c r="F452" s="1202"/>
      <c r="G452" s="1202"/>
      <c r="H452" s="1202"/>
      <c r="I452" s="1202"/>
      <c r="J452" s="1202"/>
    </row>
    <row r="453" spans="2:15" ht="25" customHeight="1" hidden="1">
      <c r="B453" s="528" t="str">
        <f>IF(AND($L$372=TRUE,L453=FALSE),IF(Adatlap!$L$1="Magyar","Jelölje be!","Please, check!"),"")</f>
        <v/>
      </c>
      <c r="C453" s="1202" t="str">
        <f>IF(Adatlap!$L$1="Magyar",Fordítások!C574,Fordítások!B574)</f>
        <v>Csatolom a termék csomagolásának a tervét vagy a címketervet.</v>
      </c>
      <c r="D453" s="1202"/>
      <c r="E453" s="1202"/>
      <c r="F453" s="1202"/>
      <c r="G453" s="1202"/>
      <c r="H453" s="1202"/>
      <c r="I453" s="1202"/>
      <c r="J453" s="1202"/>
      <c r="L453" s="572" t="b">
        <v>0</v>
      </c>
      <c r="O453" s="721"/>
    </row>
    <row r="454" spans="3:10" ht="12.75" hidden="1">
      <c r="C454" s="1202"/>
      <c r="D454" s="1202"/>
      <c r="E454" s="1202"/>
      <c r="F454" s="1202"/>
      <c r="G454" s="1202"/>
      <c r="H454" s="1202"/>
      <c r="I454" s="1202"/>
      <c r="J454" s="1202"/>
    </row>
    <row r="455" ht="12.75" hidden="1"/>
    <row r="456" spans="2:10" ht="13" hidden="1">
      <c r="B456" s="654" t="str">
        <f>IF(Adatlap!$L$1="Magyar",Fordítások!C575,Fordítások!B575)</f>
        <v>x. A felhasználók tájékoztatása:</v>
      </c>
      <c r="C456" s="818"/>
      <c r="D456" s="818"/>
      <c r="E456" s="818"/>
      <c r="F456" s="818"/>
      <c r="G456" s="818"/>
      <c r="H456" s="818"/>
      <c r="I456" s="818"/>
      <c r="J456" s="818"/>
    </row>
    <row r="457" spans="3:10" ht="12.75" hidden="1">
      <c r="C457" s="818"/>
      <c r="D457" s="818"/>
      <c r="E457" s="818"/>
      <c r="F457" s="818"/>
      <c r="G457" s="818"/>
      <c r="H457" s="818"/>
      <c r="I457" s="818"/>
      <c r="J457" s="818"/>
    </row>
    <row r="458" spans="2:15" ht="25" customHeight="1" hidden="1">
      <c r="B458" s="528" t="str">
        <f>IF(AND($L$372=TRUE,L458=FALSE),IF(Adatlap!$L$1="Magyar","Jelölje be!","Please, check!"),"")</f>
        <v/>
      </c>
      <c r="C458" s="1202" t="str">
        <f>IF(Adatlap!$L$1="Magyar",Fordítások!C576,Fordítások!B576)</f>
        <v>Kijelentem, hogy a termékcímke tartalmazza a következő információkat:</v>
      </c>
      <c r="D458" s="1202"/>
      <c r="E458" s="1202"/>
      <c r="F458" s="1202"/>
      <c r="G458" s="1202"/>
      <c r="H458" s="1202"/>
      <c r="I458" s="1202"/>
      <c r="J458" s="1202"/>
      <c r="L458" s="572" t="b">
        <v>0</v>
      </c>
      <c r="O458" s="721"/>
    </row>
    <row r="459" spans="3:10" ht="20.15" customHeight="1" hidden="1">
      <c r="C459" s="1202" t="str">
        <f>IF(Adatlap!$L$1="Magyar",Fordítások!C577,Fordítások!B577)</f>
        <v>— hogy a termék mikroorganizmusokat tartalmaz,</v>
      </c>
      <c r="D459" s="1202"/>
      <c r="E459" s="1202"/>
      <c r="F459" s="1202"/>
      <c r="G459" s="1202"/>
      <c r="H459" s="1202"/>
      <c r="I459" s="1202"/>
      <c r="J459" s="1202"/>
    </row>
    <row r="460" spans="3:10" ht="20.15" customHeight="1" hidden="1">
      <c r="C460" s="1202" t="str">
        <f>IF(Adatlap!$L$1="Magyar",Fordítások!C578,Fordítások!B578)</f>
        <v>— hogy a terméket nem szabad szórófej-mechanizmussal együtt használni,</v>
      </c>
      <c r="D460" s="1202"/>
      <c r="E460" s="1202"/>
      <c r="F460" s="1202"/>
      <c r="G460" s="1202"/>
      <c r="H460" s="1202"/>
      <c r="I460" s="1202"/>
      <c r="J460" s="1202"/>
    </row>
    <row r="461" spans="3:10" ht="20.15" customHeight="1" hidden="1">
      <c r="C461" s="1202" t="str">
        <f>IF(Adatlap!$L$1="Magyar",Fordítások!C579,Fordítások!B579)</f>
        <v>— hogy a terméket nem szabad élelmiszerrel érintkezésbe kerülő felületeken használni,</v>
      </c>
      <c r="D461" s="1202"/>
      <c r="E461" s="1202"/>
      <c r="F461" s="1202"/>
      <c r="G461" s="1202"/>
      <c r="H461" s="1202"/>
      <c r="I461" s="1202"/>
      <c r="J461" s="1202"/>
    </row>
    <row r="462" spans="3:10" ht="20.15" customHeight="1" hidden="1">
      <c r="C462" s="1202" t="str">
        <f>IF(Adatlap!$L$1="Magyar",Fordítások!C580,Fordítások!B580)</f>
        <v>— a termék eltarthatósága.</v>
      </c>
      <c r="D462" s="1202"/>
      <c r="E462" s="1202"/>
      <c r="F462" s="1202"/>
      <c r="G462" s="1202"/>
      <c r="H462" s="1202"/>
      <c r="I462" s="1202"/>
      <c r="J462" s="1202"/>
    </row>
    <row r="463" spans="3:10" ht="12.75" hidden="1">
      <c r="C463" s="1202"/>
      <c r="D463" s="1202"/>
      <c r="E463" s="1202"/>
      <c r="F463" s="1202"/>
      <c r="G463" s="1202"/>
      <c r="H463" s="1202"/>
      <c r="I463" s="1202"/>
      <c r="J463" s="1202"/>
    </row>
    <row r="464" spans="2:15" ht="12.75" customHeight="1" hidden="1">
      <c r="B464" s="1220" t="str">
        <f>IF(AND($L$372=TRUE,L464=FALSE),IF(Adatlap!$L$1="Magyar","Jelölje be!","Please, check!"),"")</f>
        <v/>
      </c>
      <c r="C464" s="1202" t="str">
        <f>C453</f>
        <v>Csatolom a termék csomagolásának a tervét vagy a címketervet.</v>
      </c>
      <c r="D464" s="1202"/>
      <c r="E464" s="1202"/>
      <c r="F464" s="1202"/>
      <c r="G464" s="1202"/>
      <c r="H464" s="1202"/>
      <c r="I464" s="1202"/>
      <c r="J464" s="1202"/>
      <c r="L464" s="572" t="b">
        <v>0</v>
      </c>
      <c r="O464" s="721"/>
    </row>
    <row r="465" spans="2:10" ht="12.75" hidden="1">
      <c r="B465" s="1220"/>
      <c r="C465" s="1202"/>
      <c r="D465" s="1202"/>
      <c r="E465" s="1202"/>
      <c r="F465" s="1202"/>
      <c r="G465" s="1202"/>
      <c r="H465" s="1202"/>
      <c r="I465" s="1202"/>
      <c r="J465" s="1202"/>
    </row>
    <row r="466" ht="12.75" hidden="1"/>
    <row r="467" spans="1:2" ht="12.75">
      <c r="A467" s="599" t="str">
        <f>A368</f>
        <v>h)</v>
      </c>
      <c r="B467" s="602" t="str">
        <f>IF(Adatlap!$L$1="Magyar",Fordítások!C677,Fordítások!B677)</f>
        <v>Maró hatás</v>
      </c>
    </row>
    <row r="468" ht="12.75"/>
    <row r="469" spans="1:12" ht="25.5" customHeight="1">
      <c r="A469" s="853" t="str">
        <f>IF(L469=FALSE,IF(Adatlap!$L$1="Magyar","Jelölje be!","Please, check!"),"")</f>
        <v>Jelölje be!</v>
      </c>
      <c r="B469" s="1202" t="str">
        <f>IF(Adatlap!$L$1="Magyar",Fordítások!C678,Fordítások!B678)</f>
        <v>Kijelentem, hogy a késztemék nem minősül a 1272/2008/EK rendelet szerinti „korrozív hatású” (C) keveréknek.</v>
      </c>
      <c r="C469" s="1202"/>
      <c r="D469" s="1202"/>
      <c r="E469" s="1202"/>
      <c r="F469" s="1202"/>
      <c r="G469" s="1202"/>
      <c r="H469" s="1202"/>
      <c r="I469" s="1202"/>
      <c r="J469" s="1202"/>
      <c r="L469" s="572" t="b">
        <v>0</v>
      </c>
    </row>
    <row r="471" spans="1:12" ht="12.75">
      <c r="A471" s="1207" t="str">
        <f>IF(L471=FALSE,IF(Adatlap!$L$1="Magyar","Jelölje be!","Please, check!"),"")</f>
        <v>Jelölje be!</v>
      </c>
      <c r="B471" s="1206" t="str">
        <f>IF(Adatlap!$L$1="Magyar",Fordítások!C679,Fordítások!B679)</f>
        <v>Kijelentem, hogy a termékhez az alábbi, az 1272/2008/EK rendelet  besorolása szerint „korrozív hatású” (C)  és a H314 figyelmeztető mondattal társított anyagok kerültek felhasználásra összetevőként vagy az összetételben szereplő bármely keverék részeként. Az alábbi táblázat tartalmazza a felhasznált maró hatású anyagok pontos koncentrációját.</v>
      </c>
      <c r="C471" s="1206"/>
      <c r="D471" s="1206"/>
      <c r="E471" s="1206"/>
      <c r="F471" s="1206"/>
      <c r="G471" s="1206"/>
      <c r="H471" s="1206"/>
      <c r="I471" s="1206"/>
      <c r="J471" s="1206"/>
      <c r="L471" s="572" t="b">
        <v>0</v>
      </c>
    </row>
    <row r="472" spans="1:10" ht="12.75">
      <c r="A472" s="1207"/>
      <c r="B472" s="1206"/>
      <c r="C472" s="1206"/>
      <c r="D472" s="1206"/>
      <c r="E472" s="1206"/>
      <c r="F472" s="1206"/>
      <c r="G472" s="1206"/>
      <c r="H472" s="1206"/>
      <c r="I472" s="1206"/>
      <c r="J472" s="1206"/>
    </row>
    <row r="473" spans="2:10" ht="36.75" customHeight="1">
      <c r="B473" s="1206"/>
      <c r="C473" s="1206"/>
      <c r="D473" s="1206"/>
      <c r="E473" s="1206"/>
      <c r="F473" s="1206"/>
      <c r="G473" s="1206"/>
      <c r="H473" s="1206"/>
      <c r="I473" s="1206"/>
      <c r="J473" s="1206"/>
    </row>
    <row r="474" spans="2:14" ht="13">
      <c r="B474" s="1218" t="str">
        <f>IF(Adatlap!$L$1="Magyar",Fordítások!C21,Fordítások!B21)</f>
        <v>Figyelmeztető mondatok 
(H-mondatok)</v>
      </c>
      <c r="C474" s="1218"/>
      <c r="D474" s="1218"/>
      <c r="E474" s="1219" t="str">
        <f>IF(Adatlap!$L$1="Magyar",Fordítások!C368,Fordítások!B368)</f>
        <v>Az összetevő neve</v>
      </c>
      <c r="F474" s="1219"/>
      <c r="G474" s="1219"/>
      <c r="H474" s="1201" t="str">
        <f>IF(Adatlap!$L$1="Magyar",Fordítások!C680,Fordítások!B680)</f>
        <v>Koncentráció a végtermékben</v>
      </c>
      <c r="I474" s="1201"/>
      <c r="J474" s="1201"/>
      <c r="N474" s="721" t="s">
        <v>2101</v>
      </c>
    </row>
    <row r="475" spans="2:10" ht="13">
      <c r="B475" s="1218"/>
      <c r="C475" s="1218"/>
      <c r="D475" s="1218"/>
      <c r="E475" s="1219"/>
      <c r="F475" s="1219"/>
      <c r="G475" s="1219"/>
      <c r="H475" s="1201" t="str">
        <f>IF(Adatlap!$L$1="Magyar",Fordítások!C433,Fordítások!B433)</f>
        <v>% (m/m)</v>
      </c>
      <c r="I475" s="1201"/>
      <c r="J475" s="1201"/>
    </row>
    <row r="476" spans="2:14" ht="12.75" customHeight="1">
      <c r="B476" s="1209" t="str">
        <f>IF(Adatlap!$L$1="Magyar",Fordítások!C681,Fordítások!B681)</f>
        <v>H314 Súlyos égési sérülést és szemkárosodást okoz</v>
      </c>
      <c r="C476" s="1209"/>
      <c r="D476" s="1209"/>
      <c r="E476" s="1193" t="str">
        <f>IF(Összetétel!O13=0,Összetétel!B13,"")</f>
        <v/>
      </c>
      <c r="F476" s="1194"/>
      <c r="G476" s="1195"/>
      <c r="H476" s="1193" t="str">
        <f>IF(Összetétel!O13=0,Összetétel!E13,"")</f>
        <v/>
      </c>
      <c r="I476" s="1194"/>
      <c r="J476" s="1195"/>
      <c r="L476" s="572" t="b">
        <f>IF(E476="",FALSE,TRUE)</f>
        <v>0</v>
      </c>
      <c r="M476" s="572" t="b">
        <f>IF(H476="",FALSE,TRUE)</f>
        <v>0</v>
      </c>
      <c r="N476" s="835" t="b">
        <f>IF(AND(L476=TRUE,M476=TRUE),IGAZHAMIS)</f>
        <v>0</v>
      </c>
    </row>
    <row r="477" spans="2:14" ht="12.75">
      <c r="B477" s="1209"/>
      <c r="C477" s="1209"/>
      <c r="D477" s="1209"/>
      <c r="E477" s="1210" t="str">
        <f>IF(Összetétel!O14=0,Összetétel!B14,"")</f>
        <v/>
      </c>
      <c r="F477" s="1194"/>
      <c r="G477" s="1195"/>
      <c r="H477" s="1193" t="str">
        <f>IF(Összetétel!O14=0,Összetétel!E14,"")</f>
        <v/>
      </c>
      <c r="I477" s="1194"/>
      <c r="J477" s="1195"/>
      <c r="L477" s="572" t="b">
        <f aca="true" t="shared" si="2" ref="L477:L486">IF(E477="",FALSE,TRUE)</f>
        <v>0</v>
      </c>
      <c r="M477" s="572" t="b">
        <f aca="true" t="shared" si="3" ref="M477:M486">IF(H477="",FALSE,TRUE)</f>
        <v>0</v>
      </c>
      <c r="N477" s="835" t="b">
        <f>IF(AND(L477=TRUE,M477=TRUE),IGAZHAMIS)</f>
        <v>0</v>
      </c>
    </row>
    <row r="478" spans="2:14" ht="12.75">
      <c r="B478" s="1209"/>
      <c r="C478" s="1209"/>
      <c r="D478" s="1209"/>
      <c r="E478" s="1210" t="str">
        <f>IF(Összetétel!O15=0,Összetétel!B15,"")</f>
        <v/>
      </c>
      <c r="F478" s="1194"/>
      <c r="G478" s="1195"/>
      <c r="H478" s="1193" t="str">
        <f>IF(Összetétel!O15=0,Összetétel!E15,"")</f>
        <v/>
      </c>
      <c r="I478" s="1194"/>
      <c r="J478" s="1195"/>
      <c r="L478" s="572" t="b">
        <f t="shared" si="2"/>
        <v>0</v>
      </c>
      <c r="M478" s="572" t="b">
        <f t="shared" si="3"/>
        <v>0</v>
      </c>
      <c r="N478" s="835" t="b">
        <f>IF(AND(L478=TRUE,M478=TRUE),IGAZHAMIS)</f>
        <v>0</v>
      </c>
    </row>
    <row r="479" spans="2:14" ht="12.75">
      <c r="B479" s="1209"/>
      <c r="C479" s="1209"/>
      <c r="D479" s="1209"/>
      <c r="E479" s="1210" t="str">
        <f>IF(Összetétel!O16=0,Összetétel!B16,"")</f>
        <v/>
      </c>
      <c r="F479" s="1194"/>
      <c r="G479" s="1195"/>
      <c r="H479" s="1193" t="str">
        <f>IF(Összetétel!O16=0,Összetétel!E16,"")</f>
        <v/>
      </c>
      <c r="I479" s="1194"/>
      <c r="J479" s="1195"/>
      <c r="L479" s="572" t="b">
        <f t="shared" si="2"/>
        <v>0</v>
      </c>
      <c r="M479" s="572" t="b">
        <f t="shared" si="3"/>
        <v>0</v>
      </c>
      <c r="N479" s="835" t="b">
        <f>IF(AND(L479=TRUE,M479=TRUE),IGAZHAMIS)</f>
        <v>0</v>
      </c>
    </row>
    <row r="480" spans="2:14" ht="12.75">
      <c r="B480" s="1209"/>
      <c r="C480" s="1209"/>
      <c r="D480" s="1209"/>
      <c r="E480" s="1210" t="str">
        <f>IF(Összetétel!O17=0,Összetétel!B17,"")</f>
        <v/>
      </c>
      <c r="F480" s="1194"/>
      <c r="G480" s="1195"/>
      <c r="H480" s="1193" t="str">
        <f>IF(Összetétel!O17=0,Összetétel!E17,"")</f>
        <v/>
      </c>
      <c r="I480" s="1194"/>
      <c r="J480" s="1195"/>
      <c r="L480" s="572" t="b">
        <f t="shared" si="2"/>
        <v>0</v>
      </c>
      <c r="M480" s="572" t="b">
        <f t="shared" si="3"/>
        <v>0</v>
      </c>
      <c r="N480" s="835" t="b">
        <f>IF(AND(L480=TRUE,M480=TRUE),IGAZHAMIS)</f>
        <v>0</v>
      </c>
    </row>
    <row r="481" spans="2:14" ht="12.75">
      <c r="B481" s="1209"/>
      <c r="C481" s="1209"/>
      <c r="D481" s="1209"/>
      <c r="E481" s="1210" t="str">
        <f>IF(Összetétel!O18=0,Összetétel!B18,"")</f>
        <v/>
      </c>
      <c r="F481" s="1194"/>
      <c r="G481" s="1195"/>
      <c r="H481" s="1193" t="str">
        <f>IF(Összetétel!O18=0,Összetétel!E18,"")</f>
        <v/>
      </c>
      <c r="I481" s="1194"/>
      <c r="J481" s="1195"/>
      <c r="L481" s="572" t="b">
        <f t="shared" si="2"/>
        <v>0</v>
      </c>
      <c r="M481" s="572" t="b">
        <f t="shared" si="3"/>
        <v>0</v>
      </c>
      <c r="N481" s="835" t="b">
        <f>IF(AND(L481=TRUE,M481=TRUE),IGAZHAMIS)</f>
        <v>0</v>
      </c>
    </row>
    <row r="482" spans="2:14" ht="12.75">
      <c r="B482" s="1209"/>
      <c r="C482" s="1209"/>
      <c r="D482" s="1209"/>
      <c r="E482" s="1210" t="str">
        <f>IF(Összetétel!O19=0,Összetétel!B19,"")</f>
        <v/>
      </c>
      <c r="F482" s="1194"/>
      <c r="G482" s="1195"/>
      <c r="H482" s="1193" t="str">
        <f>IF(Összetétel!O19=0,Összetétel!E19,"")</f>
        <v/>
      </c>
      <c r="I482" s="1194"/>
      <c r="J482" s="1195"/>
      <c r="L482" s="572" t="b">
        <f t="shared" si="2"/>
        <v>0</v>
      </c>
      <c r="M482" s="572" t="b">
        <f t="shared" si="3"/>
        <v>0</v>
      </c>
      <c r="N482" s="835" t="b">
        <f>IF(AND(L482=TRUE,M482=TRUE),IGAZHAMIS)</f>
        <v>0</v>
      </c>
    </row>
    <row r="483" spans="2:14" ht="12.75">
      <c r="B483" s="1209"/>
      <c r="C483" s="1209"/>
      <c r="D483" s="1209"/>
      <c r="E483" s="1210" t="str">
        <f>IF(Összetétel!O20=0,Összetétel!B20,"")</f>
        <v/>
      </c>
      <c r="F483" s="1194"/>
      <c r="G483" s="1195"/>
      <c r="H483" s="1193" t="str">
        <f>IF(Összetétel!O20=0,Összetétel!E20,"")</f>
        <v/>
      </c>
      <c r="I483" s="1194"/>
      <c r="J483" s="1195"/>
      <c r="L483" s="572" t="b">
        <f t="shared" si="2"/>
        <v>0</v>
      </c>
      <c r="M483" s="572" t="b">
        <f t="shared" si="3"/>
        <v>0</v>
      </c>
      <c r="N483" s="835" t="b">
        <f>IF(AND(L483=TRUE,M483=TRUE),IGAZHAMIS)</f>
        <v>0</v>
      </c>
    </row>
    <row r="484" spans="2:14" ht="12.75">
      <c r="B484" s="1209"/>
      <c r="C484" s="1209"/>
      <c r="D484" s="1209"/>
      <c r="E484" s="1210" t="str">
        <f>IF(Összetétel!O21=0,Összetétel!B21,"")</f>
        <v/>
      </c>
      <c r="F484" s="1194"/>
      <c r="G484" s="1195"/>
      <c r="H484" s="1193" t="str">
        <f>IF(Összetétel!O21=0,Összetétel!E21,"")</f>
        <v/>
      </c>
      <c r="I484" s="1194"/>
      <c r="J484" s="1195"/>
      <c r="L484" s="572" t="b">
        <f t="shared" si="2"/>
        <v>0</v>
      </c>
      <c r="M484" s="572" t="b">
        <f t="shared" si="3"/>
        <v>0</v>
      </c>
      <c r="N484" s="835" t="b">
        <f>IF(AND(L484=TRUE,M484=TRUE),IGAZHAMIS)</f>
        <v>0</v>
      </c>
    </row>
    <row r="485" spans="2:14" ht="12.75">
      <c r="B485" s="1209"/>
      <c r="C485" s="1209"/>
      <c r="D485" s="1209"/>
      <c r="E485" s="1210" t="str">
        <f>IF(Összetétel!O22=0,Összetétel!B22,"")</f>
        <v/>
      </c>
      <c r="F485" s="1194"/>
      <c r="G485" s="1195"/>
      <c r="H485" s="1193" t="str">
        <f>IF(Összetétel!O22=0,Összetétel!E22,"")</f>
        <v/>
      </c>
      <c r="I485" s="1194"/>
      <c r="J485" s="1195"/>
      <c r="L485" s="572" t="b">
        <f t="shared" si="2"/>
        <v>0</v>
      </c>
      <c r="M485" s="572" t="b">
        <f t="shared" si="3"/>
        <v>0</v>
      </c>
      <c r="N485" s="835" t="b">
        <f>IF(AND(L485=TRUE,M485=TRUE),IGAZHAMIS)</f>
        <v>0</v>
      </c>
    </row>
    <row r="486" spans="2:14" ht="12.75">
      <c r="B486" s="1209"/>
      <c r="C486" s="1209"/>
      <c r="D486" s="1209"/>
      <c r="E486" s="1210" t="str">
        <f>IF(Összetétel!O23=0,Összetétel!B23,"")</f>
        <v/>
      </c>
      <c r="F486" s="1194"/>
      <c r="G486" s="1195"/>
      <c r="H486" s="1193" t="str">
        <f>IF(Összetétel!O23=0,Összetétel!E23,"")</f>
        <v/>
      </c>
      <c r="I486" s="1194"/>
      <c r="J486" s="1195"/>
      <c r="L486" s="572" t="b">
        <f t="shared" si="2"/>
        <v>0</v>
      </c>
      <c r="M486" s="572" t="b">
        <f t="shared" si="3"/>
        <v>0</v>
      </c>
      <c r="N486" s="835" t="b">
        <f>IF(AND(L486=TRUE,M486=TRUE),IGAZHAMIS)</f>
        <v>0</v>
      </c>
    </row>
    <row r="487" ht="12.75"/>
    <row r="488" spans="2:14" ht="12.75">
      <c r="B488" s="1139" t="str">
        <f>IF(L488=FALSE,IF(Adatlap!$L$1="Magyar","Jelölje be!","Please, check!"),"")</f>
        <v>Jelölje be!</v>
      </c>
      <c r="C488" s="523" t="str">
        <f>IF(Adatlap!$L$1="Magyar",Fordítások!C683,Fordítások!B683)</f>
        <v>Csatolom a termék biztonsági adatlapját.</v>
      </c>
      <c r="L488" s="572" t="b">
        <v>0</v>
      </c>
      <c r="N488" s="835">
        <f>COUNTIFS(N476:N486,TRUE)</f>
        <v>0</v>
      </c>
    </row>
    <row r="489" ht="12.75">
      <c r="B489" s="1139"/>
    </row>
    <row r="491" spans="2:10" ht="32.25" customHeight="1">
      <c r="B491" s="1208" t="str">
        <f>IF(Összetétel!O62=Nyilatkozatok_3!N488,"",IF(Adatlap!$L$1="Magyar",Fordítások!C682,Fordítások!B682))</f>
        <v/>
      </c>
      <c r="C491" s="1208"/>
      <c r="D491" s="1208"/>
      <c r="E491" s="1208"/>
      <c r="F491" s="1208"/>
      <c r="G491" s="1208"/>
      <c r="H491" s="1208"/>
      <c r="I491" s="1208"/>
      <c r="J491" s="1208"/>
    </row>
    <row r="805" ht="12.75">
      <c r="L805" s="572" t="b">
        <v>0</v>
      </c>
    </row>
    <row r="807" ht="12.75">
      <c r="L807" s="572" t="b">
        <v>1</v>
      </c>
    </row>
  </sheetData>
  <sheetProtection algorithmName="SHA-512" hashValue="bISqPkfcBAGyATbg7AoZ5DaJJyA8dtgiSmloAWPKwTByUNnOWTDA1whXpsfvUKD6DEn0Lgogmrllb3Mso2vUyw==" saltValue="aw6H8OwPv56BVlLWFfYelA==" spinCount="100000" sheet="1" objects="1" scenarios="1" selectLockedCells="1"/>
  <mergeCells count="596">
    <mergeCell ref="B464:B465"/>
    <mergeCell ref="B450:B451"/>
    <mergeCell ref="B445:B446"/>
    <mergeCell ref="B442:B443"/>
    <mergeCell ref="B437:B438"/>
    <mergeCell ref="B432:B433"/>
    <mergeCell ref="B429:B430"/>
    <mergeCell ref="C437:J439"/>
    <mergeCell ref="C442:J443"/>
    <mergeCell ref="C445:J446"/>
    <mergeCell ref="C450:J452"/>
    <mergeCell ref="C453:J454"/>
    <mergeCell ref="C464:J465"/>
    <mergeCell ref="C458:J458"/>
    <mergeCell ref="C459:J459"/>
    <mergeCell ref="C460:J460"/>
    <mergeCell ref="C461:J461"/>
    <mergeCell ref="C388:J388"/>
    <mergeCell ref="C389:J390"/>
    <mergeCell ref="C399:J399"/>
    <mergeCell ref="C400:J400"/>
    <mergeCell ref="C397:J397"/>
    <mergeCell ref="C398:J398"/>
    <mergeCell ref="P17:Q17"/>
    <mergeCell ref="P18:Q18"/>
    <mergeCell ref="P20:Q20"/>
    <mergeCell ref="C277:F279"/>
    <mergeCell ref="C280:F282"/>
    <mergeCell ref="C283:F285"/>
    <mergeCell ref="C396:J396"/>
    <mergeCell ref="A78:B79"/>
    <mergeCell ref="C78:D78"/>
    <mergeCell ref="E78:F78"/>
    <mergeCell ref="G78:H78"/>
    <mergeCell ref="I78:J78"/>
    <mergeCell ref="C79:D79"/>
    <mergeCell ref="E79:F79"/>
    <mergeCell ref="G79:H79"/>
    <mergeCell ref="C463:J463"/>
    <mergeCell ref="C429:J431"/>
    <mergeCell ref="C426:J426"/>
    <mergeCell ref="C432:J433"/>
    <mergeCell ref="C406:J407"/>
    <mergeCell ref="C409:J410"/>
    <mergeCell ref="C414:J416"/>
    <mergeCell ref="C417:J419"/>
    <mergeCell ref="C423:H424"/>
    <mergeCell ref="I423:I424"/>
    <mergeCell ref="C425:J425"/>
    <mergeCell ref="J423:J424"/>
    <mergeCell ref="C462:J462"/>
    <mergeCell ref="A284:B284"/>
    <mergeCell ref="G288:H288"/>
    <mergeCell ref="I288:J288"/>
    <mergeCell ref="A285:B285"/>
    <mergeCell ref="G286:H286"/>
    <mergeCell ref="I286:J286"/>
    <mergeCell ref="I281:J281"/>
    <mergeCell ref="A282:B282"/>
    <mergeCell ref="I279:J279"/>
    <mergeCell ref="A281:B281"/>
    <mergeCell ref="C401:J402"/>
    <mergeCell ref="B376:I376"/>
    <mergeCell ref="B378:C378"/>
    <mergeCell ref="D378:E378"/>
    <mergeCell ref="F378:G378"/>
    <mergeCell ref="H378:I378"/>
    <mergeCell ref="B379:C379"/>
    <mergeCell ref="D379:E379"/>
    <mergeCell ref="A277:B277"/>
    <mergeCell ref="G283:H283"/>
    <mergeCell ref="I283:J283"/>
    <mergeCell ref="G284:H284"/>
    <mergeCell ref="C293:J293"/>
    <mergeCell ref="A292:J292"/>
    <mergeCell ref="I340:J340"/>
    <mergeCell ref="C338:J338"/>
    <mergeCell ref="B296:J297"/>
    <mergeCell ref="B299:J299"/>
    <mergeCell ref="B301:J301"/>
    <mergeCell ref="B307:J307"/>
    <mergeCell ref="B306:J306"/>
    <mergeCell ref="B305:J305"/>
    <mergeCell ref="B294:J294"/>
    <mergeCell ref="A291:B291"/>
    <mergeCell ref="E61:G61"/>
    <mergeCell ref="B62:D62"/>
    <mergeCell ref="E62:G62"/>
    <mergeCell ref="I275:J275"/>
    <mergeCell ref="I282:J282"/>
    <mergeCell ref="A280:B280"/>
    <mergeCell ref="G280:H280"/>
    <mergeCell ref="I280:J280"/>
    <mergeCell ref="G281:H281"/>
    <mergeCell ref="C274:F274"/>
    <mergeCell ref="G274:H274"/>
    <mergeCell ref="A279:B279"/>
    <mergeCell ref="I79:J79"/>
    <mergeCell ref="A80:B80"/>
    <mergeCell ref="C80:D80"/>
    <mergeCell ref="G80:H80"/>
    <mergeCell ref="I80:J80"/>
    <mergeCell ref="H68:I68"/>
    <mergeCell ref="H69:I69"/>
    <mergeCell ref="H70:I70"/>
    <mergeCell ref="B72:J72"/>
    <mergeCell ref="B69:D69"/>
    <mergeCell ref="E69:G69"/>
    <mergeCell ref="B70:D70"/>
    <mergeCell ref="E70:G70"/>
    <mergeCell ref="B68:D68"/>
    <mergeCell ref="E68:G68"/>
    <mergeCell ref="F234:J234"/>
    <mergeCell ref="B235:J235"/>
    <mergeCell ref="B231:E231"/>
    <mergeCell ref="F231:J231"/>
    <mergeCell ref="F217:G217"/>
    <mergeCell ref="B230:E230"/>
    <mergeCell ref="F230:J230"/>
    <mergeCell ref="D98:E98"/>
    <mergeCell ref="J97:J98"/>
    <mergeCell ref="B97:C98"/>
    <mergeCell ref="H97:I98"/>
    <mergeCell ref="F97:G98"/>
    <mergeCell ref="B99:C99"/>
    <mergeCell ref="B100:C100"/>
    <mergeCell ref="B101:C101"/>
    <mergeCell ref="B102:C102"/>
    <mergeCell ref="B103:C103"/>
    <mergeCell ref="B60:D60"/>
    <mergeCell ref="E60:G60"/>
    <mergeCell ref="B61:D61"/>
    <mergeCell ref="B48:J48"/>
    <mergeCell ref="A44:B44"/>
    <mergeCell ref="B41:J42"/>
    <mergeCell ref="H59:I59"/>
    <mergeCell ref="B35:D35"/>
    <mergeCell ref="B66:D66"/>
    <mergeCell ref="E66:G66"/>
    <mergeCell ref="B37:D37"/>
    <mergeCell ref="E37:F37"/>
    <mergeCell ref="G37:H37"/>
    <mergeCell ref="I37:J37"/>
    <mergeCell ref="H60:I60"/>
    <mergeCell ref="H61:I61"/>
    <mergeCell ref="H62:I62"/>
    <mergeCell ref="B46:J46"/>
    <mergeCell ref="B49:J49"/>
    <mergeCell ref="B50:J51"/>
    <mergeCell ref="B55:J55"/>
    <mergeCell ref="B57:J57"/>
    <mergeCell ref="B59:D59"/>
    <mergeCell ref="E59:G59"/>
    <mergeCell ref="H66:I66"/>
    <mergeCell ref="H67:I67"/>
    <mergeCell ref="B63:D63"/>
    <mergeCell ref="E63:G63"/>
    <mergeCell ref="B64:D64"/>
    <mergeCell ref="E64:G64"/>
    <mergeCell ref="B65:D65"/>
    <mergeCell ref="E65:G65"/>
    <mergeCell ref="H63:I63"/>
    <mergeCell ref="H64:I64"/>
    <mergeCell ref="H65:I65"/>
    <mergeCell ref="B67:D67"/>
    <mergeCell ref="E67:G67"/>
    <mergeCell ref="M5:O5"/>
    <mergeCell ref="M6:M8"/>
    <mergeCell ref="N6:N8"/>
    <mergeCell ref="O6:O7"/>
    <mergeCell ref="B38:D38"/>
    <mergeCell ref="E38:F38"/>
    <mergeCell ref="G38:H38"/>
    <mergeCell ref="I38:J38"/>
    <mergeCell ref="B39:D39"/>
    <mergeCell ref="E39:F39"/>
    <mergeCell ref="G39:H39"/>
    <mergeCell ref="I39:J39"/>
    <mergeCell ref="B36:D36"/>
    <mergeCell ref="E36:F36"/>
    <mergeCell ref="G36:H36"/>
    <mergeCell ref="I36:J36"/>
    <mergeCell ref="B33:D33"/>
    <mergeCell ref="E33:F33"/>
    <mergeCell ref="G33:H33"/>
    <mergeCell ref="I33:J33"/>
    <mergeCell ref="B34:D34"/>
    <mergeCell ref="E34:F34"/>
    <mergeCell ref="G34:H34"/>
    <mergeCell ref="I34:J34"/>
    <mergeCell ref="B31:D31"/>
    <mergeCell ref="E31:F31"/>
    <mergeCell ref="G31:H31"/>
    <mergeCell ref="I31:J31"/>
    <mergeCell ref="G8:H8"/>
    <mergeCell ref="G9:H9"/>
    <mergeCell ref="G10:H10"/>
    <mergeCell ref="I10:J10"/>
    <mergeCell ref="L7:L8"/>
    <mergeCell ref="A14:F14"/>
    <mergeCell ref="A15:F15"/>
    <mergeCell ref="G11:H11"/>
    <mergeCell ref="G12:H12"/>
    <mergeCell ref="G13:H13"/>
    <mergeCell ref="G14:H14"/>
    <mergeCell ref="G15:H15"/>
    <mergeCell ref="G16:H16"/>
    <mergeCell ref="A16:F16"/>
    <mergeCell ref="A7:F8"/>
    <mergeCell ref="A9:F9"/>
    <mergeCell ref="A10:F10"/>
    <mergeCell ref="A11:F11"/>
    <mergeCell ref="A12:F12"/>
    <mergeCell ref="A13:F13"/>
    <mergeCell ref="C1:J1"/>
    <mergeCell ref="B5:J5"/>
    <mergeCell ref="G7:H7"/>
    <mergeCell ref="I7:J7"/>
    <mergeCell ref="I8:J8"/>
    <mergeCell ref="I9:J9"/>
    <mergeCell ref="I13:J13"/>
    <mergeCell ref="I14:J14"/>
    <mergeCell ref="B30:D30"/>
    <mergeCell ref="E30:F30"/>
    <mergeCell ref="G30:H30"/>
    <mergeCell ref="I30:J30"/>
    <mergeCell ref="A3:B3"/>
    <mergeCell ref="B18:J18"/>
    <mergeCell ref="B22:J22"/>
    <mergeCell ref="B29:D29"/>
    <mergeCell ref="E29:F29"/>
    <mergeCell ref="G29:H29"/>
    <mergeCell ref="I29:J29"/>
    <mergeCell ref="C3:J3"/>
    <mergeCell ref="I11:J11"/>
    <mergeCell ref="I12:J12"/>
    <mergeCell ref="I15:J15"/>
    <mergeCell ref="I16:J16"/>
    <mergeCell ref="B28:D28"/>
    <mergeCell ref="E28:F28"/>
    <mergeCell ref="G28:H28"/>
    <mergeCell ref="I28:J28"/>
    <mergeCell ref="B24:J24"/>
    <mergeCell ref="B26:D27"/>
    <mergeCell ref="G26:H27"/>
    <mergeCell ref="I26:J27"/>
    <mergeCell ref="E26:F26"/>
    <mergeCell ref="E27:F27"/>
    <mergeCell ref="B32:D32"/>
    <mergeCell ref="E32:F32"/>
    <mergeCell ref="G32:H32"/>
    <mergeCell ref="I32:J32"/>
    <mergeCell ref="B76:J77"/>
    <mergeCell ref="A88:B88"/>
    <mergeCell ref="B89:J89"/>
    <mergeCell ref="B93:J93"/>
    <mergeCell ref="B95:J95"/>
    <mergeCell ref="E80:F80"/>
    <mergeCell ref="E82:F82"/>
    <mergeCell ref="E83:F83"/>
    <mergeCell ref="E84:F84"/>
    <mergeCell ref="E85:F85"/>
    <mergeCell ref="A86:B86"/>
    <mergeCell ref="C86:D86"/>
    <mergeCell ref="E86:F86"/>
    <mergeCell ref="G86:H86"/>
    <mergeCell ref="I86:J86"/>
    <mergeCell ref="A82:D83"/>
    <mergeCell ref="A84:D85"/>
    <mergeCell ref="E35:F35"/>
    <mergeCell ref="G35:H35"/>
    <mergeCell ref="I35:J35"/>
    <mergeCell ref="F99:G99"/>
    <mergeCell ref="H99:I99"/>
    <mergeCell ref="B105:C105"/>
    <mergeCell ref="F106:G106"/>
    <mergeCell ref="H106:I106"/>
    <mergeCell ref="F107:G107"/>
    <mergeCell ref="H107:I107"/>
    <mergeCell ref="B106:C106"/>
    <mergeCell ref="B107:C107"/>
    <mergeCell ref="B104:C104"/>
    <mergeCell ref="F104:G104"/>
    <mergeCell ref="H104:I104"/>
    <mergeCell ref="F105:G105"/>
    <mergeCell ref="H105:I105"/>
    <mergeCell ref="F100:G100"/>
    <mergeCell ref="H100:I100"/>
    <mergeCell ref="F101:G101"/>
    <mergeCell ref="H101:I101"/>
    <mergeCell ref="F102:G102"/>
    <mergeCell ref="H102:I102"/>
    <mergeCell ref="F103:G103"/>
    <mergeCell ref="H103:I103"/>
    <mergeCell ref="E143:F143"/>
    <mergeCell ref="G143:H143"/>
    <mergeCell ref="B149:J149"/>
    <mergeCell ref="B151:J151"/>
    <mergeCell ref="F109:G109"/>
    <mergeCell ref="H109:I109"/>
    <mergeCell ref="F110:G110"/>
    <mergeCell ref="H110:I110"/>
    <mergeCell ref="C121:J121"/>
    <mergeCell ref="C123:J123"/>
    <mergeCell ref="B125:D125"/>
    <mergeCell ref="H125:I125"/>
    <mergeCell ref="B126:D126"/>
    <mergeCell ref="H126:I126"/>
    <mergeCell ref="C115:J115"/>
    <mergeCell ref="A115:B115"/>
    <mergeCell ref="A116:J116"/>
    <mergeCell ref="B119:J119"/>
    <mergeCell ref="B117:J117"/>
    <mergeCell ref="F108:G108"/>
    <mergeCell ref="H108:I108"/>
    <mergeCell ref="B108:C108"/>
    <mergeCell ref="B109:C109"/>
    <mergeCell ref="B110:C110"/>
    <mergeCell ref="B111:C111"/>
    <mergeCell ref="F111:G111"/>
    <mergeCell ref="H111:I111"/>
    <mergeCell ref="B139:D139"/>
    <mergeCell ref="E139:F139"/>
    <mergeCell ref="G139:H139"/>
    <mergeCell ref="B127:D127"/>
    <mergeCell ref="H127:I127"/>
    <mergeCell ref="B128:D128"/>
    <mergeCell ref="H128:I128"/>
    <mergeCell ref="B129:D129"/>
    <mergeCell ref="H129:I129"/>
    <mergeCell ref="H130:I130"/>
    <mergeCell ref="B131:D131"/>
    <mergeCell ref="B153:J153"/>
    <mergeCell ref="B155:J155"/>
    <mergeCell ref="B140:D140"/>
    <mergeCell ref="E140:F140"/>
    <mergeCell ref="B187:J187"/>
    <mergeCell ref="B189:J189"/>
    <mergeCell ref="F246:J246"/>
    <mergeCell ref="B247:E247"/>
    <mergeCell ref="F247:J247"/>
    <mergeCell ref="H209:J209"/>
    <mergeCell ref="F209:G209"/>
    <mergeCell ref="H217:J217"/>
    <mergeCell ref="C205:J205"/>
    <mergeCell ref="B209:E209"/>
    <mergeCell ref="I200:J200"/>
    <mergeCell ref="H192:J192"/>
    <mergeCell ref="H193:J193"/>
    <mergeCell ref="H194:J194"/>
    <mergeCell ref="H195:J195"/>
    <mergeCell ref="H196:J196"/>
    <mergeCell ref="H197:J197"/>
    <mergeCell ref="H198:J198"/>
    <mergeCell ref="H199:J199"/>
    <mergeCell ref="H212:J212"/>
    <mergeCell ref="B248:E248"/>
    <mergeCell ref="B135:J136"/>
    <mergeCell ref="B138:D138"/>
    <mergeCell ref="E138:F138"/>
    <mergeCell ref="G138:H138"/>
    <mergeCell ref="G140:H140"/>
    <mergeCell ref="B141:D141"/>
    <mergeCell ref="E141:F141"/>
    <mergeCell ref="G141:H141"/>
    <mergeCell ref="G182:H182"/>
    <mergeCell ref="B182:F182"/>
    <mergeCell ref="G183:H183"/>
    <mergeCell ref="G184:H184"/>
    <mergeCell ref="G185:H185"/>
    <mergeCell ref="H213:J213"/>
    <mergeCell ref="H214:J214"/>
    <mergeCell ref="B225:J226"/>
    <mergeCell ref="F191:G191"/>
    <mergeCell ref="H191:J191"/>
    <mergeCell ref="B192:E192"/>
    <mergeCell ref="H210:J210"/>
    <mergeCell ref="H211:J211"/>
    <mergeCell ref="B207:J207"/>
    <mergeCell ref="B203:J204"/>
    <mergeCell ref="I185:J185"/>
    <mergeCell ref="I182:J182"/>
    <mergeCell ref="B183:F183"/>
    <mergeCell ref="B197:E197"/>
    <mergeCell ref="F197:G197"/>
    <mergeCell ref="B198:E198"/>
    <mergeCell ref="F198:G198"/>
    <mergeCell ref="B199:E199"/>
    <mergeCell ref="F199:G199"/>
    <mergeCell ref="B184:F184"/>
    <mergeCell ref="B130:D130"/>
    <mergeCell ref="B249:E249"/>
    <mergeCell ref="F249:J249"/>
    <mergeCell ref="G287:H287"/>
    <mergeCell ref="C317:J317"/>
    <mergeCell ref="A275:B275"/>
    <mergeCell ref="B257:E257"/>
    <mergeCell ref="F237:J237"/>
    <mergeCell ref="B238:E238"/>
    <mergeCell ref="F238:J238"/>
    <mergeCell ref="B240:E240"/>
    <mergeCell ref="F240:J240"/>
    <mergeCell ref="B241:E241"/>
    <mergeCell ref="F241:J241"/>
    <mergeCell ref="B242:E242"/>
    <mergeCell ref="F242:J242"/>
    <mergeCell ref="B239:J239"/>
    <mergeCell ref="B237:E237"/>
    <mergeCell ref="I274:J274"/>
    <mergeCell ref="A273:B273"/>
    <mergeCell ref="I273:J273"/>
    <mergeCell ref="A283:B283"/>
    <mergeCell ref="B142:D142"/>
    <mergeCell ref="E142:F142"/>
    <mergeCell ref="H382:I382"/>
    <mergeCell ref="B414:B415"/>
    <mergeCell ref="B409:B410"/>
    <mergeCell ref="B406:B407"/>
    <mergeCell ref="B401:B402"/>
    <mergeCell ref="B394:B395"/>
    <mergeCell ref="C387:J387"/>
    <mergeCell ref="H131:I131"/>
    <mergeCell ref="B143:D143"/>
    <mergeCell ref="G142:H142"/>
    <mergeCell ref="B156:J156"/>
    <mergeCell ref="B157:J157"/>
    <mergeCell ref="B158:J158"/>
    <mergeCell ref="B159:J159"/>
    <mergeCell ref="A147:B147"/>
    <mergeCell ref="C147:J147"/>
    <mergeCell ref="H215:J215"/>
    <mergeCell ref="H216:J216"/>
    <mergeCell ref="F210:G210"/>
    <mergeCell ref="F211:G211"/>
    <mergeCell ref="B176:J176"/>
    <mergeCell ref="B180:J180"/>
    <mergeCell ref="I183:J183"/>
    <mergeCell ref="I184:J184"/>
    <mergeCell ref="A274:B274"/>
    <mergeCell ref="A276:B276"/>
    <mergeCell ref="C275:F275"/>
    <mergeCell ref="G275:H275"/>
    <mergeCell ref="C273:F273"/>
    <mergeCell ref="I284:J284"/>
    <mergeCell ref="G279:H279"/>
    <mergeCell ref="B474:D475"/>
    <mergeCell ref="E474:G475"/>
    <mergeCell ref="B423:B424"/>
    <mergeCell ref="B417:B418"/>
    <mergeCell ref="B380:C380"/>
    <mergeCell ref="D380:E380"/>
    <mergeCell ref="F380:G380"/>
    <mergeCell ref="H380:I380"/>
    <mergeCell ref="F379:G379"/>
    <mergeCell ref="H379:I379"/>
    <mergeCell ref="B381:C381"/>
    <mergeCell ref="D381:E381"/>
    <mergeCell ref="F381:G381"/>
    <mergeCell ref="H381:I381"/>
    <mergeCell ref="B382:C382"/>
    <mergeCell ref="D382:E382"/>
    <mergeCell ref="F382:G382"/>
    <mergeCell ref="B370:J370"/>
    <mergeCell ref="C345:J345"/>
    <mergeCell ref="B351:J351"/>
    <mergeCell ref="D332:J333"/>
    <mergeCell ref="C352:J352"/>
    <mergeCell ref="B356:J356"/>
    <mergeCell ref="B366:J366"/>
    <mergeCell ref="C358:J358"/>
    <mergeCell ref="C361:J361"/>
    <mergeCell ref="C364:J364"/>
    <mergeCell ref="A353:J353"/>
    <mergeCell ref="B361:B362"/>
    <mergeCell ref="B364:B365"/>
    <mergeCell ref="A367:J367"/>
    <mergeCell ref="E340:F340"/>
    <mergeCell ref="B259:E259"/>
    <mergeCell ref="F259:J259"/>
    <mergeCell ref="B258:J258"/>
    <mergeCell ref="B253:J253"/>
    <mergeCell ref="B252:E252"/>
    <mergeCell ref="F252:J252"/>
    <mergeCell ref="B271:J271"/>
    <mergeCell ref="G273:H273"/>
    <mergeCell ref="B254:E254"/>
    <mergeCell ref="F254:J254"/>
    <mergeCell ref="B255:E255"/>
    <mergeCell ref="F255:J255"/>
    <mergeCell ref="F257:J257"/>
    <mergeCell ref="B491:J491"/>
    <mergeCell ref="B488:B489"/>
    <mergeCell ref="B476:D486"/>
    <mergeCell ref="E476:G476"/>
    <mergeCell ref="H476:J476"/>
    <mergeCell ref="E477:G477"/>
    <mergeCell ref="E478:G478"/>
    <mergeCell ref="E479:G479"/>
    <mergeCell ref="E480:G480"/>
    <mergeCell ref="E481:G481"/>
    <mergeCell ref="E482:G482"/>
    <mergeCell ref="E483:G483"/>
    <mergeCell ref="E484:G484"/>
    <mergeCell ref="E485:G485"/>
    <mergeCell ref="E486:G486"/>
    <mergeCell ref="H477:J477"/>
    <mergeCell ref="H478:J478"/>
    <mergeCell ref="H479:J479"/>
    <mergeCell ref="H482:J482"/>
    <mergeCell ref="H480:J480"/>
    <mergeCell ref="H481:J481"/>
    <mergeCell ref="H485:J485"/>
    <mergeCell ref="H483:J483"/>
    <mergeCell ref="H484:J484"/>
    <mergeCell ref="A87:B87"/>
    <mergeCell ref="C87:D87"/>
    <mergeCell ref="E87:F87"/>
    <mergeCell ref="G87:H87"/>
    <mergeCell ref="I87:J87"/>
    <mergeCell ref="H475:J475"/>
    <mergeCell ref="B268:J269"/>
    <mergeCell ref="B256:E256"/>
    <mergeCell ref="F256:J256"/>
    <mergeCell ref="B372:J372"/>
    <mergeCell ref="D311:J312"/>
    <mergeCell ref="D303:J304"/>
    <mergeCell ref="B322:J322"/>
    <mergeCell ref="C326:J326"/>
    <mergeCell ref="B334:J334"/>
    <mergeCell ref="B336:J336"/>
    <mergeCell ref="B315:J315"/>
    <mergeCell ref="B313:J313"/>
    <mergeCell ref="B191:E191"/>
    <mergeCell ref="B471:J473"/>
    <mergeCell ref="B469:J469"/>
    <mergeCell ref="A471:A472"/>
    <mergeCell ref="H474:J474"/>
    <mergeCell ref="B251:E251"/>
    <mergeCell ref="B232:E232"/>
    <mergeCell ref="F232:J232"/>
    <mergeCell ref="B233:E233"/>
    <mergeCell ref="F233:J233"/>
    <mergeCell ref="B234:E234"/>
    <mergeCell ref="B243:J243"/>
    <mergeCell ref="B246:E246"/>
    <mergeCell ref="F248:J248"/>
    <mergeCell ref="H486:J486"/>
    <mergeCell ref="F251:J251"/>
    <mergeCell ref="B263:J264"/>
    <mergeCell ref="C266:J267"/>
    <mergeCell ref="I287:J287"/>
    <mergeCell ref="C276:F276"/>
    <mergeCell ref="G276:H276"/>
    <mergeCell ref="I276:J276"/>
    <mergeCell ref="G277:H277"/>
    <mergeCell ref="I277:J277"/>
    <mergeCell ref="A278:B278"/>
    <mergeCell ref="G278:H278"/>
    <mergeCell ref="I278:J278"/>
    <mergeCell ref="G285:H285"/>
    <mergeCell ref="I285:J285"/>
    <mergeCell ref="G282:H282"/>
    <mergeCell ref="C291:F291"/>
    <mergeCell ref="G291:H291"/>
    <mergeCell ref="I291:J291"/>
    <mergeCell ref="G289:H289"/>
    <mergeCell ref="G290:H290"/>
    <mergeCell ref="I289:J289"/>
    <mergeCell ref="I290:J290"/>
    <mergeCell ref="A286:B290"/>
    <mergeCell ref="C289:F290"/>
    <mergeCell ref="C286:F286"/>
    <mergeCell ref="B250:E250"/>
    <mergeCell ref="F250:J250"/>
    <mergeCell ref="F192:G192"/>
    <mergeCell ref="B193:E193"/>
    <mergeCell ref="F193:G193"/>
    <mergeCell ref="B194:E194"/>
    <mergeCell ref="F194:G194"/>
    <mergeCell ref="B195:E195"/>
    <mergeCell ref="F195:G195"/>
    <mergeCell ref="B196:E196"/>
    <mergeCell ref="F196:G196"/>
    <mergeCell ref="B244:E244"/>
    <mergeCell ref="F244:J244"/>
    <mergeCell ref="B245:E245"/>
    <mergeCell ref="F245:J245"/>
    <mergeCell ref="F212:G212"/>
    <mergeCell ref="F213:G213"/>
    <mergeCell ref="B229:J229"/>
    <mergeCell ref="B228:J228"/>
    <mergeCell ref="F214:G214"/>
    <mergeCell ref="F215:G215"/>
    <mergeCell ref="F216:G216"/>
    <mergeCell ref="B236:E236"/>
    <mergeCell ref="F236:J236"/>
  </mergeCells>
  <conditionalFormatting sqref="A5">
    <cfRule type="expression" priority="175" dxfId="0">
      <formula>$L$5=FALSE</formula>
    </cfRule>
  </conditionalFormatting>
  <conditionalFormatting sqref="A18">
    <cfRule type="expression" priority="174" dxfId="0">
      <formula>$L$18=FALSE</formula>
    </cfRule>
  </conditionalFormatting>
  <conditionalFormatting sqref="A22 A24">
    <cfRule type="expression" priority="173" dxfId="0">
      <formula>AND($L$22=FALSE,$L$24=FALSE)</formula>
    </cfRule>
  </conditionalFormatting>
  <conditionalFormatting sqref="A41">
    <cfRule type="expression" priority="172" dxfId="0">
      <formula>AND($L$10=FALSE,L24=TRUE)</formula>
    </cfRule>
  </conditionalFormatting>
  <conditionalFormatting sqref="A48">
    <cfRule type="expression" priority="171" dxfId="0">
      <formula>$L$10=FALSE</formula>
    </cfRule>
  </conditionalFormatting>
  <conditionalFormatting sqref="I28:J28">
    <cfRule type="expression" priority="170" dxfId="0">
      <formula>AND($I$28="",COUNTA($B$28)=1)</formula>
    </cfRule>
  </conditionalFormatting>
  <conditionalFormatting sqref="I29:J29">
    <cfRule type="expression" priority="169" dxfId="0">
      <formula>AND($I$29="",COUNTA($B$29)=1)</formula>
    </cfRule>
  </conditionalFormatting>
  <conditionalFormatting sqref="A50">
    <cfRule type="expression" priority="168" dxfId="0">
      <formula>$L$10=FALSE</formula>
    </cfRule>
  </conditionalFormatting>
  <conditionalFormatting sqref="A55">
    <cfRule type="expression" priority="167" dxfId="0">
      <formula>AND($L$55=FALSE,$L$57=FALSE)</formula>
    </cfRule>
  </conditionalFormatting>
  <conditionalFormatting sqref="A57">
    <cfRule type="expression" priority="166" dxfId="0">
      <formula>AND($L$57=FALSE,$L$55=FALSE)</formula>
    </cfRule>
  </conditionalFormatting>
  <conditionalFormatting sqref="A72">
    <cfRule type="expression" priority="165" dxfId="0">
      <formula>$L$10=FALSE</formula>
    </cfRule>
  </conditionalFormatting>
  <conditionalFormatting sqref="A76">
    <cfRule type="expression" priority="164" dxfId="0">
      <formula>$L$76=FALSE</formula>
    </cfRule>
  </conditionalFormatting>
  <conditionalFormatting sqref="A89">
    <cfRule type="expression" priority="163" dxfId="0">
      <formula>$L$89=FALSE</formula>
    </cfRule>
  </conditionalFormatting>
  <conditionalFormatting sqref="A93">
    <cfRule type="expression" priority="162" dxfId="0">
      <formula>AND($L$93=FALSE,L95=FALSE)</formula>
    </cfRule>
  </conditionalFormatting>
  <conditionalFormatting sqref="A95">
    <cfRule type="expression" priority="161" dxfId="0">
      <formula>AND($L$93=FALSE,$L$95=FALSE)</formula>
    </cfRule>
  </conditionalFormatting>
  <conditionalFormatting sqref="F99:I99">
    <cfRule type="expression" priority="160" dxfId="86">
      <formula>ISBLANK($B$99)=FALSE</formula>
    </cfRule>
  </conditionalFormatting>
  <conditionalFormatting sqref="F100:I100">
    <cfRule type="expression" priority="159" dxfId="86">
      <formula>ISBLANK($B$100)=FALSE</formula>
    </cfRule>
  </conditionalFormatting>
  <conditionalFormatting sqref="F101:I101">
    <cfRule type="expression" priority="158" dxfId="86">
      <formula>ISBLANK($B$101)=FALSE</formula>
    </cfRule>
  </conditionalFormatting>
  <conditionalFormatting sqref="F102:I102">
    <cfRule type="expression" priority="157" dxfId="86">
      <formula>ISBLANK($B$102)=FALSE</formula>
    </cfRule>
  </conditionalFormatting>
  <conditionalFormatting sqref="F103:I103">
    <cfRule type="expression" priority="156" dxfId="86">
      <formula>ISBLANK($B$103=FALSE)</formula>
    </cfRule>
  </conditionalFormatting>
  <conditionalFormatting sqref="F104:I104">
    <cfRule type="expression" priority="155" dxfId="86">
      <formula>ISBLANK($B$104)=FALSE</formula>
    </cfRule>
  </conditionalFormatting>
  <conditionalFormatting sqref="F105:I105">
    <cfRule type="expression" priority="154" dxfId="86">
      <formula>ISBLANK($B$105)=FALSE</formula>
    </cfRule>
  </conditionalFormatting>
  <conditionalFormatting sqref="F106:I106">
    <cfRule type="expression" priority="153" dxfId="86">
      <formula>ISBLANK($B$106)=FALSE</formula>
    </cfRule>
  </conditionalFormatting>
  <conditionalFormatting sqref="F107:I107">
    <cfRule type="expression" priority="152" dxfId="86">
      <formula>ISBLANK($B$107)=FALSE</formula>
    </cfRule>
  </conditionalFormatting>
  <conditionalFormatting sqref="F108:I108">
    <cfRule type="expression" priority="151" dxfId="86">
      <formula>ISBLANK($B$108)=FALSE</formula>
    </cfRule>
  </conditionalFormatting>
  <conditionalFormatting sqref="F109:I109">
    <cfRule type="expression" priority="150" dxfId="86">
      <formula>ISBLANK($B$109)=FALSE</formula>
    </cfRule>
  </conditionalFormatting>
  <conditionalFormatting sqref="F110:I110">
    <cfRule type="expression" priority="149" dxfId="86">
      <formula>ISBLANK($B$110)=FALSE</formula>
    </cfRule>
  </conditionalFormatting>
  <conditionalFormatting sqref="F111:I111">
    <cfRule type="expression" priority="148" dxfId="86">
      <formula>ISBLANK($B$111)=FALSE</formula>
    </cfRule>
  </conditionalFormatting>
  <conditionalFormatting sqref="A113">
    <cfRule type="expression" priority="147" dxfId="0">
      <formula>$L$113=FALSE</formula>
    </cfRule>
  </conditionalFormatting>
  <conditionalFormatting sqref="A117">
    <cfRule type="expression" priority="146" dxfId="0">
      <formula>AND($L$117=FALSE,$L$119=FALSE)</formula>
    </cfRule>
  </conditionalFormatting>
  <conditionalFormatting sqref="A119">
    <cfRule type="expression" priority="145" dxfId="0">
      <formula>AND($L$117=FALSE,$L$119=FALSE)</formula>
    </cfRule>
  </conditionalFormatting>
  <conditionalFormatting sqref="B121">
    <cfRule type="expression" priority="144" dxfId="0">
      <formula>AND($L$119=TRUE,$L$121=FALSE,$L$123=FALSE)</formula>
    </cfRule>
  </conditionalFormatting>
  <conditionalFormatting sqref="B123">
    <cfRule type="expression" priority="143" dxfId="0">
      <formula>AND($L$119=TRUE,$L$121=FALSE,$L$123=FALSE)</formula>
    </cfRule>
  </conditionalFormatting>
  <conditionalFormatting sqref="B133">
    <cfRule type="expression" priority="142" dxfId="0">
      <formula>AND($L$133=FALSE, $L$123=TRUE)</formula>
    </cfRule>
  </conditionalFormatting>
  <conditionalFormatting sqref="A135">
    <cfRule type="expression" priority="141" dxfId="0">
      <formula>$L$113=FALSE</formula>
    </cfRule>
  </conditionalFormatting>
  <conditionalFormatting sqref="E126:I126">
    <cfRule type="expression" priority="140" dxfId="86">
      <formula>AND(ISBLANK($B$126)=FALSE,$E$126="",$F$126="",$G$126="",$H$126="")</formula>
    </cfRule>
  </conditionalFormatting>
  <conditionalFormatting sqref="E127:I127">
    <cfRule type="expression" priority="139" dxfId="86">
      <formula>AND(ISBLANK($B$127)=FALSE,$E$127="",$F$127="",$G$127="",$H$127="")</formula>
    </cfRule>
  </conditionalFormatting>
  <conditionalFormatting sqref="E128:I128">
    <cfRule type="expression" priority="138" dxfId="86">
      <formula>AND(ISBLANK($B$128)=FALSE,$E$128="",$F$128="",$G$128="",$H$128="")</formula>
    </cfRule>
  </conditionalFormatting>
  <conditionalFormatting sqref="E129:I129">
    <cfRule type="expression" priority="137" dxfId="86">
      <formula>AND(ISBLANK($B$129)=FALSE,$E$129="",$F$129="",$G$129="",$H$129="")</formula>
    </cfRule>
  </conditionalFormatting>
  <conditionalFormatting sqref="E130:I130">
    <cfRule type="expression" priority="136" dxfId="86">
      <formula>AND(ISBLANK($B$130)=FALSE,$E$130="",$F$130="",$G$130="",$H$130="")</formula>
    </cfRule>
  </conditionalFormatting>
  <conditionalFormatting sqref="E131:I131">
    <cfRule type="expression" priority="135" dxfId="86">
      <formula>AND(ISBLANK($B$131)=FALSE,$E$131="",$F$131="",$G$131="",$H$131="")</formula>
    </cfRule>
  </conditionalFormatting>
  <conditionalFormatting sqref="B145">
    <cfRule type="expression" priority="134" dxfId="0">
      <formula>AND($L$145=FALSE, $L$135=TRUE)</formula>
    </cfRule>
  </conditionalFormatting>
  <conditionalFormatting sqref="A153">
    <cfRule type="expression" priority="133" dxfId="86">
      <formula>L153 = FALSE</formula>
    </cfRule>
  </conditionalFormatting>
  <conditionalFormatting sqref="A176">
    <cfRule type="expression" priority="132" dxfId="86">
      <formula>L176 = FALSE</formula>
    </cfRule>
  </conditionalFormatting>
  <conditionalFormatting sqref="A180">
    <cfRule type="expression" priority="131" dxfId="86">
      <formula>L180 = FALSE</formula>
    </cfRule>
  </conditionalFormatting>
  <conditionalFormatting sqref="G185:H185">
    <cfRule type="expression" priority="130" dxfId="86">
      <formula>$G$185=""</formula>
    </cfRule>
  </conditionalFormatting>
  <conditionalFormatting sqref="G183:H183">
    <cfRule type="expression" priority="129" dxfId="86">
      <formula>$G$183=""</formula>
    </cfRule>
  </conditionalFormatting>
  <conditionalFormatting sqref="G184:H184">
    <cfRule type="expression" priority="128" dxfId="86">
      <formula>$G$184=""</formula>
    </cfRule>
  </conditionalFormatting>
  <conditionalFormatting sqref="A187">
    <cfRule type="expression" priority="127" dxfId="86">
      <formula>L187 = FALSE</formula>
    </cfRule>
  </conditionalFormatting>
  <conditionalFormatting sqref="A189">
    <cfRule type="expression" priority="126" dxfId="86">
      <formula>L189 = FALSE</formula>
    </cfRule>
  </conditionalFormatting>
  <conditionalFormatting sqref="B201">
    <cfRule type="expression" priority="125" dxfId="86">
      <formula>$L$201=FALSE</formula>
    </cfRule>
  </conditionalFormatting>
  <conditionalFormatting sqref="A203">
    <cfRule type="expression" priority="124" dxfId="86">
      <formula>L203 = FALSE</formula>
    </cfRule>
  </conditionalFormatting>
  <conditionalFormatting sqref="B219">
    <cfRule type="expression" priority="123" dxfId="86">
      <formula>$L$201=FALSE</formula>
    </cfRule>
  </conditionalFormatting>
  <conditionalFormatting sqref="A225">
    <cfRule type="expression" priority="122" dxfId="86">
      <formula>L225 = FALSE</formula>
    </cfRule>
  </conditionalFormatting>
  <conditionalFormatting sqref="A207">
    <cfRule type="expression" priority="120" dxfId="86">
      <formula>L207 = FALSE</formula>
    </cfRule>
  </conditionalFormatting>
  <conditionalFormatting sqref="A263">
    <cfRule type="expression" priority="119" dxfId="86">
      <formula>L263 = FALSE</formula>
    </cfRule>
  </conditionalFormatting>
  <conditionalFormatting sqref="B266">
    <cfRule type="expression" priority="118" dxfId="86">
      <formula>L266 = FALSE</formula>
    </cfRule>
  </conditionalFormatting>
  <conditionalFormatting sqref="A271">
    <cfRule type="expression" priority="116" dxfId="86">
      <formula>AND(L271 = FALSE,$L$268=TRUE)</formula>
    </cfRule>
  </conditionalFormatting>
  <conditionalFormatting sqref="I30:J30">
    <cfRule type="expression" priority="115" dxfId="0">
      <formula>AND($I$29="",COUNTA($B$29)=1)</formula>
    </cfRule>
  </conditionalFormatting>
  <conditionalFormatting sqref="I31:J31">
    <cfRule type="expression" priority="114" dxfId="0">
      <formula>AND($I$29="",COUNTA($B$29)=1)</formula>
    </cfRule>
  </conditionalFormatting>
  <conditionalFormatting sqref="I32:J32">
    <cfRule type="expression" priority="113" dxfId="0">
      <formula>AND($I$29="",COUNTA($B$29)=1)</formula>
    </cfRule>
  </conditionalFormatting>
  <conditionalFormatting sqref="I33:J33">
    <cfRule type="expression" priority="112" dxfId="0">
      <formula>AND($I$29="",COUNTA($B$29)=1)</formula>
    </cfRule>
  </conditionalFormatting>
  <conditionalFormatting sqref="I34:J34">
    <cfRule type="expression" priority="111" dxfId="0">
      <formula>AND($I$29="",COUNTA($B$29)=1)</formula>
    </cfRule>
  </conditionalFormatting>
  <conditionalFormatting sqref="I35:J35">
    <cfRule type="expression" priority="110" dxfId="0">
      <formula>AND($I$29="",COUNTA($B$29)=1)</formula>
    </cfRule>
  </conditionalFormatting>
  <conditionalFormatting sqref="I36:J36">
    <cfRule type="expression" priority="109" dxfId="0">
      <formula>AND($I$29="",COUNTA($B$29)=1)</formula>
    </cfRule>
  </conditionalFormatting>
  <conditionalFormatting sqref="I37:J37">
    <cfRule type="expression" priority="108" dxfId="0">
      <formula>AND($I$29="",COUNTA($B$29)=1)</formula>
    </cfRule>
  </conditionalFormatting>
  <conditionalFormatting sqref="I38:J38">
    <cfRule type="expression" priority="107" dxfId="0">
      <formula>AND($I$29="",COUNTA($B$29)=1)</formula>
    </cfRule>
  </conditionalFormatting>
  <conditionalFormatting sqref="I39:J39">
    <cfRule type="expression" priority="106" dxfId="0">
      <formula>AND($I$29="",COUNTA($B$29)=1)</formula>
    </cfRule>
  </conditionalFormatting>
  <conditionalFormatting sqref="A296">
    <cfRule type="expression" priority="104" dxfId="86">
      <formula>L296 = FALSE</formula>
    </cfRule>
  </conditionalFormatting>
  <conditionalFormatting sqref="A299">
    <cfRule type="expression" priority="103" dxfId="86">
      <formula>L299 = FALSE</formula>
    </cfRule>
  </conditionalFormatting>
  <conditionalFormatting sqref="A301">
    <cfRule type="expression" priority="102" dxfId="86">
      <formula>L301 = FALSE</formula>
    </cfRule>
  </conditionalFormatting>
  <conditionalFormatting sqref="B309">
    <cfRule type="expression" priority="99" dxfId="86">
      <formula>AND($L$309=FALSE,$L$307=TRUE)</formula>
    </cfRule>
  </conditionalFormatting>
  <conditionalFormatting sqref="B317">
    <cfRule type="expression" priority="97" dxfId="86">
      <formula>AND(L317 = FALSE,L315=TRUE)</formula>
    </cfRule>
  </conditionalFormatting>
  <conditionalFormatting sqref="A334">
    <cfRule type="expression" priority="96" dxfId="86">
      <formula>AND(L355=FALSE,L357=FALSE,L372=FALSE)</formula>
    </cfRule>
  </conditionalFormatting>
  <conditionalFormatting sqref="A322">
    <cfRule type="expression" priority="95" dxfId="86">
      <formula>$L$322=FALSE</formula>
    </cfRule>
  </conditionalFormatting>
  <conditionalFormatting sqref="B326">
    <cfRule type="expression" priority="94" dxfId="86">
      <formula>$L$322=FALSE</formula>
    </cfRule>
  </conditionalFormatting>
  <conditionalFormatting sqref="B328">
    <cfRule type="expression" priority="93" dxfId="86">
      <formula>$L$322=FALSE</formula>
    </cfRule>
  </conditionalFormatting>
  <conditionalFormatting sqref="B330">
    <cfRule type="expression" priority="92" dxfId="86">
      <formula>$L$322=FALSE</formula>
    </cfRule>
  </conditionalFormatting>
  <conditionalFormatting sqref="B338:B342">
    <cfRule type="expression" priority="91" dxfId="86">
      <formula>AND(L338 = FALSE,L336=TRUE)</formula>
    </cfRule>
  </conditionalFormatting>
  <conditionalFormatting sqref="B345">
    <cfRule type="expression" priority="90" dxfId="86">
      <formula>AND($L$345=FALSE,L336=TRUE)</formula>
    </cfRule>
  </conditionalFormatting>
  <conditionalFormatting sqref="B347">
    <cfRule type="expression" priority="89" dxfId="86">
      <formula>AND($L$347=FALSE,L336=TRUE)</formula>
    </cfRule>
  </conditionalFormatting>
  <conditionalFormatting sqref="B358">
    <cfRule type="expression" priority="88" dxfId="86">
      <formula>AND(L356=TRUE,L358=FALSE)</formula>
    </cfRule>
  </conditionalFormatting>
  <conditionalFormatting sqref="B352">
    <cfRule type="expression" priority="87" dxfId="86">
      <formula>AND(M351=TRUE,M352=FALSE)</formula>
    </cfRule>
  </conditionalFormatting>
  <conditionalFormatting sqref="B361">
    <cfRule type="expression" priority="86" dxfId="86">
      <formula>AND($L$361=FALSE,L356=TRUE)</formula>
    </cfRule>
  </conditionalFormatting>
  <conditionalFormatting sqref="B364">
    <cfRule type="expression" priority="85" dxfId="86">
      <formula>AND($L$364=FALSE,L356=TRUE)</formula>
    </cfRule>
  </conditionalFormatting>
  <conditionalFormatting sqref="A336">
    <cfRule type="expression" priority="84" dxfId="86">
      <formula>AND(L334=FALSE,L336=FALSE,L351=FALSE)</formula>
    </cfRule>
  </conditionalFormatting>
  <conditionalFormatting sqref="A351">
    <cfRule type="expression" priority="83" dxfId="86">
      <formula>AND(L334=FALSE,L336=FALSE,L351=FALSE)</formula>
    </cfRule>
  </conditionalFormatting>
  <conditionalFormatting sqref="A356">
    <cfRule type="expression" priority="82" dxfId="86">
      <formula>AND(L356=FALSE,L366=FALSE)</formula>
    </cfRule>
  </conditionalFormatting>
  <conditionalFormatting sqref="A366">
    <cfRule type="expression" priority="81" dxfId="86">
      <formula>AND(L366=FALSE,L356=FALSE)</formula>
    </cfRule>
  </conditionalFormatting>
  <conditionalFormatting sqref="A370">
    <cfRule type="expression" priority="80" dxfId="86">
      <formula>AND($L$370=FALSE,$L$372=FALSE)</formula>
    </cfRule>
  </conditionalFormatting>
  <conditionalFormatting sqref="A372">
    <cfRule type="expression" priority="79" dxfId="86">
      <formula>AND($K$370=FALSE,$L$372=FALSE)</formula>
    </cfRule>
  </conditionalFormatting>
  <conditionalFormatting sqref="B374">
    <cfRule type="expression" priority="78" dxfId="86">
      <formula>AND(L372=TRUE,L374=FALSE)</formula>
    </cfRule>
  </conditionalFormatting>
  <conditionalFormatting sqref="B379:H382">
    <cfRule type="expression" priority="77" dxfId="86">
      <formula>AND(COUNTA($B$379:$G$379)=0,$L$379=FALSE)</formula>
    </cfRule>
  </conditionalFormatting>
  <conditionalFormatting sqref="B380:H380">
    <cfRule type="expression" priority="76" dxfId="86">
      <formula>AND(COUNTA($B$380:$G$380)=0,$L$380=FALSE)</formula>
    </cfRule>
  </conditionalFormatting>
  <conditionalFormatting sqref="B381:I381">
    <cfRule type="expression" priority="75" dxfId="86">
      <formula>AND(COUNTA($B$381:$G$381)=0,$L$381=FALSE)</formula>
    </cfRule>
  </conditionalFormatting>
  <conditionalFormatting sqref="B382:I382">
    <cfRule type="expression" priority="74" dxfId="86">
      <formula>AND(COUNTA($B$382:$G$382)=0,$L$382=FALSE)</formula>
    </cfRule>
  </conditionalFormatting>
  <conditionalFormatting sqref="I423:I424">
    <cfRule type="expression" priority="73" dxfId="86">
      <formula>ISBLANK($I$423)=TRUE</formula>
    </cfRule>
  </conditionalFormatting>
  <conditionalFormatting sqref="B464">
    <cfRule type="expression" priority="72" dxfId="86">
      <formula>AND(L372=TRUE,L464=FALSE)</formula>
    </cfRule>
  </conditionalFormatting>
  <conditionalFormatting sqref="B458">
    <cfRule type="expression" priority="71" dxfId="86">
      <formula>AND(L372=TRUE,$L$458=FALSE)</formula>
    </cfRule>
  </conditionalFormatting>
  <conditionalFormatting sqref="B453">
    <cfRule type="expression" priority="70" dxfId="86">
      <formula>AND(L372=TRUE,$L$453=FALSE)</formula>
    </cfRule>
  </conditionalFormatting>
  <conditionalFormatting sqref="B450">
    <cfRule type="expression" priority="69" dxfId="86">
      <formula>AND(L372=TRUE,$L$450=FALSE)</formula>
    </cfRule>
  </conditionalFormatting>
  <conditionalFormatting sqref="B445:B446">
    <cfRule type="expression" priority="68" dxfId="86">
      <formula>AND(L372=TRUE,$L$445=FALSE)</formula>
    </cfRule>
  </conditionalFormatting>
  <conditionalFormatting sqref="B442:B443">
    <cfRule type="expression" priority="67" dxfId="86">
      <formula>AND(L372=TRUE,$L$442=FALSE)</formula>
    </cfRule>
  </conditionalFormatting>
  <conditionalFormatting sqref="B437:B438">
    <cfRule type="expression" priority="66" dxfId="86">
      <formula>AND(L372=TRUE,$L$437=FALSE)</formula>
    </cfRule>
  </conditionalFormatting>
  <conditionalFormatting sqref="B432:B433">
    <cfRule type="expression" priority="65" dxfId="86">
      <formula>AND(L372=TRUE,$L$432=FALSE)</formula>
    </cfRule>
  </conditionalFormatting>
  <conditionalFormatting sqref="B429:B430">
    <cfRule type="expression" priority="64" dxfId="86">
      <formula>AND($L$372=TRUE,$L$429=FALSE)</formula>
    </cfRule>
  </conditionalFormatting>
  <conditionalFormatting sqref="B426">
    <cfRule type="expression" priority="63" dxfId="86">
      <formula>AND(L372=TRUE,$L$426=FALSE)</formula>
    </cfRule>
  </conditionalFormatting>
  <conditionalFormatting sqref="B423:B424">
    <cfRule type="expression" priority="62" dxfId="86">
      <formula>AND(L372=TRUE,$L$423=FALSE)</formula>
    </cfRule>
  </conditionalFormatting>
  <conditionalFormatting sqref="B417:B418">
    <cfRule type="expression" priority="61" dxfId="86">
      <formula>AND(L372=TRUE,$L$417=FALSE)</formula>
    </cfRule>
  </conditionalFormatting>
  <conditionalFormatting sqref="B414:B415">
    <cfRule type="expression" priority="60" dxfId="86">
      <formula>AND(L372=TRUE,$L$414=FALSE)</formula>
    </cfRule>
  </conditionalFormatting>
  <conditionalFormatting sqref="B409:B410">
    <cfRule type="expression" priority="59" dxfId="86">
      <formula>AND(L372=TRUE,$L$409=FALSE)</formula>
    </cfRule>
  </conditionalFormatting>
  <conditionalFormatting sqref="B406:B407">
    <cfRule type="expression" priority="58" dxfId="86">
      <formula>AND(L372=TRUE,$L$406=FALSE)</formula>
    </cfRule>
  </conditionalFormatting>
  <conditionalFormatting sqref="B401:B402">
    <cfRule type="expression" priority="57" dxfId="86">
      <formula>AND(L372=TRUE,$L$401=FALSE)</formula>
    </cfRule>
  </conditionalFormatting>
  <conditionalFormatting sqref="B394:B395">
    <cfRule type="expression" priority="56" dxfId="86">
      <formula>AND(L372=TRUE,$L$394=FALSE)</formula>
    </cfRule>
  </conditionalFormatting>
  <conditionalFormatting sqref="B389">
    <cfRule type="expression" priority="55" dxfId="86">
      <formula>AND(L372=TRUE,$L$389=FALSE)</formula>
    </cfRule>
  </conditionalFormatting>
  <conditionalFormatting sqref="B386">
    <cfRule type="expression" priority="54" dxfId="86">
      <formula>AND(L372=TRUE,$L$386=FALSE)</formula>
    </cfRule>
  </conditionalFormatting>
  <conditionalFormatting sqref="A471:A472">
    <cfRule type="expression" priority="53" dxfId="86">
      <formula>$L$471=FALSE</formula>
    </cfRule>
  </conditionalFormatting>
  <conditionalFormatting sqref="A469">
    <cfRule type="expression" priority="52" dxfId="86">
      <formula>$L$469=FALSE</formula>
    </cfRule>
  </conditionalFormatting>
  <conditionalFormatting sqref="B488:B489">
    <cfRule type="expression" priority="51" dxfId="86">
      <formula>$L$488=FALSE</formula>
    </cfRule>
  </conditionalFormatting>
  <conditionalFormatting sqref="B205">
    <cfRule type="expression" priority="50" dxfId="86">
      <formula>$L$205=FALSE</formula>
    </cfRule>
  </conditionalFormatting>
  <conditionalFormatting sqref="A315">
    <cfRule type="expression" priority="48" dxfId="86">
      <formula>AND(L313=FALSE,L315=FALSE)</formula>
    </cfRule>
  </conditionalFormatting>
  <conditionalFormatting sqref="A313">
    <cfRule type="expression" priority="49" dxfId="86">
      <formula>AND(L313=FALSE,L315=FALSE)</formula>
    </cfRule>
  </conditionalFormatting>
  <conditionalFormatting sqref="G9:H9">
    <cfRule type="expression" priority="47" dxfId="265">
      <formula>"&gt;$I$9"</formula>
    </cfRule>
  </conditionalFormatting>
  <conditionalFormatting sqref="G10:H10">
    <cfRule type="expression" priority="46" dxfId="265">
      <formula>"&gt;$I$10"</formula>
    </cfRule>
  </conditionalFormatting>
  <conditionalFormatting sqref="G11:H11">
    <cfRule type="expression" priority="45" dxfId="265">
      <formula>"&gt;$I$11"</formula>
    </cfRule>
  </conditionalFormatting>
  <conditionalFormatting sqref="G12:H12">
    <cfRule type="expression" priority="44" dxfId="265">
      <formula>"&gt;$I$12"</formula>
    </cfRule>
  </conditionalFormatting>
  <conditionalFormatting sqref="G13:H13">
    <cfRule type="expression" priority="43" dxfId="265">
      <formula>"&gt;$I$13"</formula>
    </cfRule>
  </conditionalFormatting>
  <conditionalFormatting sqref="G14:H14">
    <cfRule type="expression" priority="42" dxfId="265">
      <formula>"&gt;$I$14"</formula>
    </cfRule>
  </conditionalFormatting>
  <conditionalFormatting sqref="G15:H15">
    <cfRule type="expression" priority="41" dxfId="265">
      <formula>"&gt;$I$15"</formula>
    </cfRule>
  </conditionalFormatting>
  <conditionalFormatting sqref="G16:H16">
    <cfRule type="expression" priority="40" dxfId="265">
      <formula>"&gt;$I$16"</formula>
    </cfRule>
  </conditionalFormatting>
  <conditionalFormatting sqref="E139:H139">
    <cfRule type="expression" priority="39" dxfId="260">
      <formula>$B$139&lt;&gt;$A$139</formula>
    </cfRule>
  </conditionalFormatting>
  <conditionalFormatting sqref="E140:H140">
    <cfRule type="expression" priority="38" dxfId="260">
      <formula>$B$140&lt;&gt;$A$140</formula>
    </cfRule>
  </conditionalFormatting>
  <conditionalFormatting sqref="E141:H141">
    <cfRule type="expression" priority="37" dxfId="260">
      <formula>$A$141&lt;&gt;$B$141</formula>
    </cfRule>
  </conditionalFormatting>
  <conditionalFormatting sqref="E142:H142">
    <cfRule type="expression" priority="36" dxfId="260">
      <formula>$A$142&lt;&gt;$B$141</formula>
    </cfRule>
  </conditionalFormatting>
  <conditionalFormatting sqref="E143:H143">
    <cfRule type="expression" priority="35" dxfId="260">
      <formula>$A$143&lt;&gt;$B$143</formula>
    </cfRule>
  </conditionalFormatting>
  <conditionalFormatting sqref="H340">
    <cfRule type="expression" priority="34" dxfId="0">
      <formula>AND($D$340="",$H$340="")</formula>
    </cfRule>
  </conditionalFormatting>
  <conditionalFormatting sqref="D319">
    <cfRule type="expression" priority="33" dxfId="0">
      <formula>AND($D$319="",$H$319="")</formula>
    </cfRule>
  </conditionalFormatting>
  <conditionalFormatting sqref="H319">
    <cfRule type="expression" priority="32" dxfId="0">
      <formula>AND($D$319="",$H$319="")</formula>
    </cfRule>
  </conditionalFormatting>
  <conditionalFormatting sqref="B126:D126">
    <cfRule type="expression" priority="31" dxfId="0">
      <formula>AND($B$126="",$L$119=TRUE)</formula>
    </cfRule>
  </conditionalFormatting>
  <conditionalFormatting sqref="B139:D139">
    <cfRule type="expression" priority="30" dxfId="0">
      <formula>AND(L135=TRUE,$B$139="")</formula>
    </cfRule>
  </conditionalFormatting>
  <conditionalFormatting sqref="J99">
    <cfRule type="expression" priority="24" dxfId="0">
      <formula>AND(ISBLANK($B$99)=FALSE,$J$99="")</formula>
    </cfRule>
  </conditionalFormatting>
  <conditionalFormatting sqref="I274:J274">
    <cfRule type="expression" priority="21" dxfId="236">
      <formula>ISBLANK($G$274)=TRUE</formula>
    </cfRule>
  </conditionalFormatting>
  <conditionalFormatting sqref="I275:J275">
    <cfRule type="expression" priority="18" dxfId="236">
      <formula>ISBLANK($G$274)=TRUE</formula>
    </cfRule>
  </conditionalFormatting>
  <conditionalFormatting sqref="I276:J276">
    <cfRule type="expression" priority="17" dxfId="236">
      <formula>ISBLANK($G$276)=TRUE</formula>
    </cfRule>
  </conditionalFormatting>
  <conditionalFormatting sqref="I277:J277">
    <cfRule type="expression" priority="16" dxfId="236">
      <formula>ISBLANK($G$277)=TRUE</formula>
    </cfRule>
  </conditionalFormatting>
  <conditionalFormatting sqref="I278:J278">
    <cfRule type="expression" priority="15" dxfId="236">
      <formula>ISBLANK($G$278)=TRUE</formula>
    </cfRule>
  </conditionalFormatting>
  <conditionalFormatting sqref="I279:J279">
    <cfRule type="expression" priority="14" dxfId="236">
      <formula>ISBLANK($G$279)=TRUE</formula>
    </cfRule>
  </conditionalFormatting>
  <conditionalFormatting sqref="I280:J280">
    <cfRule type="expression" priority="13" dxfId="236">
      <formula>ISBLANK($G$280)=TRUE</formula>
    </cfRule>
  </conditionalFormatting>
  <conditionalFormatting sqref="I281:J281">
    <cfRule type="expression" priority="12" dxfId="236">
      <formula>ISBLANK($G$281)=TRUE</formula>
    </cfRule>
  </conditionalFormatting>
  <conditionalFormatting sqref="I282:J282">
    <cfRule type="expression" priority="11" dxfId="236">
      <formula>ISBLANK($G$282)=TRUE</formula>
    </cfRule>
  </conditionalFormatting>
  <conditionalFormatting sqref="I283:J283">
    <cfRule type="expression" priority="10" dxfId="236">
      <formula>ISBLANK($G$283)=TRUE</formula>
    </cfRule>
  </conditionalFormatting>
  <conditionalFormatting sqref="I284:J284">
    <cfRule type="expression" priority="9" dxfId="236">
      <formula>ISBLANK($G$284)=TRUE</formula>
    </cfRule>
  </conditionalFormatting>
  <conditionalFormatting sqref="I285:J285">
    <cfRule type="expression" priority="8" dxfId="236">
      <formula>ISBLANK($G$285)=TRUE</formula>
    </cfRule>
  </conditionalFormatting>
  <conditionalFormatting sqref="I286:J286">
    <cfRule type="expression" priority="7" dxfId="236">
      <formula>ISBLANK($G$286)=TRUE</formula>
    </cfRule>
  </conditionalFormatting>
  <conditionalFormatting sqref="I287:J287">
    <cfRule type="expression" priority="6" dxfId="236">
      <formula>ISBLANK($G$287)=TRUE</formula>
    </cfRule>
  </conditionalFormatting>
  <conditionalFormatting sqref="I288:J288">
    <cfRule type="expression" priority="5" dxfId="236">
      <formula>ISBLANK($G$288)=TRUE</formula>
    </cfRule>
  </conditionalFormatting>
  <conditionalFormatting sqref="I289:J289">
    <cfRule type="expression" priority="4" dxfId="236">
      <formula>ISBLANK($G$289)=TRUE</formula>
    </cfRule>
  </conditionalFormatting>
  <conditionalFormatting sqref="I290:J290">
    <cfRule type="expression" priority="3" dxfId="236">
      <formula>ISBLANK($G$290)=TRUE</formula>
    </cfRule>
  </conditionalFormatting>
  <conditionalFormatting sqref="I291:J291">
    <cfRule type="expression" priority="2" dxfId="236">
      <formula>ISBLANK($G$291)=TRUE</formula>
    </cfRule>
  </conditionalFormatting>
  <conditionalFormatting sqref="G274:H291">
    <cfRule type="expression" priority="1" dxfId="0">
      <formula>AND($L$271=TRUE,$O$279&lt;$O$275)</formula>
    </cfRule>
  </conditionalFormatting>
  <conditionalFormatting sqref="A315">
    <cfRule type="expression" priority="98" dxfId="86">
      <formula>AND(L313=FALSE,OR('O:\Dokumentumok\VILMA\EU\Tisztítószeres segédlet magyarítás\[Pályázati_adatlap_calculation_gyártói.xlsm]Termék'!#REF!='O:\Dokumentumok\VILMA\EU\Tisztítószeres segédlet magyarítás\[Pályázati_adatlap_calculation_gyártói.xlsm]Auswahldaten'!#REF!,'O:\Dokumentumok\VILMA\EU\Tisztítószeres segédlet magyarítás\[Pályázati_adatlap_calculation_gyártói.xlsm]Alapanyagok'!#REF!&gt;0))</formula>
    </cfRule>
  </conditionalFormatting>
  <conditionalFormatting sqref="A268">
    <cfRule type="expression" priority="117" dxfId="86">
      <formula>AND(L268 = FALSE,SUM('O:\Dokumentumok\VILMA\EU\Tisztítószeres segédlet magyarítás\[Pályázati_adatlap_calculation_gyártói.xlsm]Alapanyagok'!#REF!)&gt;0)</formula>
    </cfRule>
  </conditionalFormatting>
  <conditionalFormatting sqref="A305">
    <cfRule type="expression" priority="101" dxfId="86">
      <formula>AND(L305=FALSE,'O:\Dokumentumok\VILMA\EU\Tisztítószeres segédlet magyarítás\[Pályázati_adatlap_calculation_gyártói.xlsm]Termék'!#REF!='O:\Dokumentumok\VILMA\EU\Tisztítószeres segédlet magyarítás\[Pályázati_adatlap_calculation_gyártói.xlsm]Auswahldaten'!#REF!,'O:\Dokumentumok\VILMA\EU\Tisztítószeres segédlet magyarítás\[Pályázati_adatlap_calculation_gyártói.xlsm]Alapanyagok'!#REF!=0)</formula>
    </cfRule>
  </conditionalFormatting>
  <conditionalFormatting sqref="A307">
    <cfRule type="expression" priority="100" dxfId="86">
      <formula>AND(L307=FALSE,OR('O:\Dokumentumok\VILMA\EU\Tisztítószeres segédlet magyarítás\[Pályázati_adatlap_calculation_gyártói.xlsm]Termék'!#REF!='O:\Dokumentumok\VILMA\EU\Tisztítószeres segédlet magyarítás\[Pályázati_adatlap_calculation_gyártói.xlsm]Auswahldaten'!#REF!,'O:\Dokumentumok\VILMA\EU\Tisztítószeres segédlet magyarítás\[Pályázati_adatlap_calculation_gyártói.xlsm]Alapanyagok'!#REF!&gt;0))</formula>
    </cfRule>
  </conditionalFormatting>
  <dataValidations count="1" disablePrompts="1">
    <dataValidation type="list" allowBlank="1" showInputMessage="1" showErrorMessage="1" sqref="I28:J39">
      <formula1>$O$22:$O$23</formula1>
    </dataValidation>
  </dataValidations>
  <printOptions/>
  <pageMargins left="0.7086614173228347" right="0.7086614173228347" top="0.5511811023622047" bottom="0.7480314960629921" header="0.31496062992125984" footer="0.31496062992125984"/>
  <pageSetup firstPageNumber="5" useFirstPageNumber="1" fitToHeight="0" fitToWidth="1" horizontalDpi="600" verticalDpi="600" orientation="portrait" paperSize="9" scale="90" r:id="rId3"/>
  <headerFooter>
    <oddFooter>&amp;C&amp;P</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18433" r:id="rId4" name="Check Box 1">
              <controlPr defaultSize="0" autoFill="0" autoLine="0" autoPict="0" macro="[0]!Nyilatkozatok_3_kritikus_hígítási_térfogat">
                <anchor moveWithCells="1">
                  <from>
                    <xdr:col>0</xdr:col>
                    <xdr:colOff>133350</xdr:colOff>
                    <xdr:row>4</xdr:row>
                    <xdr:rowOff>0</xdr:rowOff>
                  </from>
                  <to>
                    <xdr:col>0</xdr:col>
                    <xdr:colOff>438150</xdr:colOff>
                    <xdr:row>4</xdr:row>
                    <xdr:rowOff>222250</xdr:rowOff>
                  </to>
                </anchor>
              </controlPr>
            </control>
          </mc:Choice>
        </mc:AlternateContent>
        <mc:AlternateContent>
          <mc:Choice Requires="x14">
            <control xmlns:r="http://schemas.openxmlformats.org/officeDocument/2006/relationships" shapeId="18435" r:id="rId6" name="Check Box 3">
              <controlPr defaultSize="0" autoFill="0" autoLine="0" autoPict="0" macro="[0]!Nyilatkozatok_3_DID_lista_AB">
                <anchor moveWithCells="1">
                  <from>
                    <xdr:col>0</xdr:col>
                    <xdr:colOff>133350</xdr:colOff>
                    <xdr:row>21</xdr:row>
                    <xdr:rowOff>0</xdr:rowOff>
                  </from>
                  <to>
                    <xdr:col>0</xdr:col>
                    <xdr:colOff>438150</xdr:colOff>
                    <xdr:row>21</xdr:row>
                    <xdr:rowOff>222250</xdr:rowOff>
                  </to>
                </anchor>
              </controlPr>
            </control>
          </mc:Choice>
        </mc:AlternateContent>
        <mc:AlternateContent>
          <mc:Choice Requires="x14">
            <control xmlns:r="http://schemas.openxmlformats.org/officeDocument/2006/relationships" shapeId="18438" r:id="rId9" name="Check Box 6">
              <controlPr defaultSize="0" autoFill="0" autoLine="0" autoPict="0" macro="[0]!Nyilatkozatok_3_DID_lista_AB_2">
                <anchor moveWithCells="1">
                  <from>
                    <xdr:col>0</xdr:col>
                    <xdr:colOff>133350</xdr:colOff>
                    <xdr:row>23</xdr:row>
                    <xdr:rowOff>19050</xdr:rowOff>
                  </from>
                  <to>
                    <xdr:col>0</xdr:col>
                    <xdr:colOff>438150</xdr:colOff>
                    <xdr:row>23</xdr:row>
                    <xdr:rowOff>241300</xdr:rowOff>
                  </to>
                </anchor>
              </controlPr>
            </control>
          </mc:Choice>
        </mc:AlternateContent>
        <mc:AlternateContent>
          <mc:Choice Requires="x14">
            <control xmlns:r="http://schemas.openxmlformats.org/officeDocument/2006/relationships" shapeId="18441" r:id="rId11" name="Check Box 9">
              <controlPr defaultSize="0" autoFill="0" autoLine="0" autoPict="0" macro="[0]!Nyilatkozatok_3_crit_2a_1">
                <anchor moveWithCells="1">
                  <from>
                    <xdr:col>0</xdr:col>
                    <xdr:colOff>133350</xdr:colOff>
                    <xdr:row>54</xdr:row>
                    <xdr:rowOff>0</xdr:rowOff>
                  </from>
                  <to>
                    <xdr:col>0</xdr:col>
                    <xdr:colOff>438150</xdr:colOff>
                    <xdr:row>54</xdr:row>
                    <xdr:rowOff>222250</xdr:rowOff>
                  </to>
                </anchor>
              </controlPr>
            </control>
          </mc:Choice>
        </mc:AlternateContent>
        <mc:AlternateContent>
          <mc:Choice Requires="x14">
            <control xmlns:r="http://schemas.openxmlformats.org/officeDocument/2006/relationships" shapeId="18442" r:id="rId12" name="Check Box 10">
              <controlPr defaultSize="0" autoFill="0" autoLine="0" autoPict="0" macro="[0]!Nyilatkozatok_3_crit_2a_2">
                <anchor moveWithCells="1">
                  <from>
                    <xdr:col>0</xdr:col>
                    <xdr:colOff>133350</xdr:colOff>
                    <xdr:row>56</xdr:row>
                    <xdr:rowOff>0</xdr:rowOff>
                  </from>
                  <to>
                    <xdr:col>0</xdr:col>
                    <xdr:colOff>438150</xdr:colOff>
                    <xdr:row>56</xdr:row>
                    <xdr:rowOff>222250</xdr:rowOff>
                  </to>
                </anchor>
              </controlPr>
            </control>
          </mc:Choice>
        </mc:AlternateContent>
        <mc:AlternateContent>
          <mc:Choice Requires="x14">
            <control xmlns:r="http://schemas.openxmlformats.org/officeDocument/2006/relationships" shapeId="18447" r:id="rId16" name="Check Box 15">
              <controlPr defaultSize="0" autoFill="0" autoLine="0" autoPict="0" macro="[0]!Nyilatkozatok_3_crit_2b_1">
                <anchor moveWithCells="1">
                  <from>
                    <xdr:col>0</xdr:col>
                    <xdr:colOff>133350</xdr:colOff>
                    <xdr:row>92</xdr:row>
                    <xdr:rowOff>0</xdr:rowOff>
                  </from>
                  <to>
                    <xdr:col>0</xdr:col>
                    <xdr:colOff>438150</xdr:colOff>
                    <xdr:row>92</xdr:row>
                    <xdr:rowOff>222250</xdr:rowOff>
                  </to>
                </anchor>
              </controlPr>
            </control>
          </mc:Choice>
        </mc:AlternateContent>
        <mc:AlternateContent>
          <mc:Choice Requires="x14">
            <control xmlns:r="http://schemas.openxmlformats.org/officeDocument/2006/relationships" shapeId="18448" r:id="rId17" name="Check Box 16">
              <controlPr defaultSize="0" autoFill="0" autoLine="0" autoPict="0" macro="[0]!Nyilatkozatok_3_crit_2b_2">
                <anchor moveWithCells="1">
                  <from>
                    <xdr:col>0</xdr:col>
                    <xdr:colOff>133350</xdr:colOff>
                    <xdr:row>94</xdr:row>
                    <xdr:rowOff>0</xdr:rowOff>
                  </from>
                  <to>
                    <xdr:col>0</xdr:col>
                    <xdr:colOff>438150</xdr:colOff>
                    <xdr:row>94</xdr:row>
                    <xdr:rowOff>222250</xdr:rowOff>
                  </to>
                </anchor>
              </controlPr>
            </control>
          </mc:Choice>
        </mc:AlternateContent>
        <mc:AlternateContent>
          <mc:Choice Requires="x14">
            <control xmlns:r="http://schemas.openxmlformats.org/officeDocument/2006/relationships" shapeId="18453" r:id="rId22" name="Check Box 21">
              <controlPr defaultSize="0" autoFill="0" autoLine="0" autoPict="0" macro="[0]!Nyilatkozatok_3_palmaolaj_1">
                <anchor moveWithCells="1">
                  <from>
                    <xdr:col>1</xdr:col>
                    <xdr:colOff>133350</xdr:colOff>
                    <xdr:row>122</xdr:row>
                    <xdr:rowOff>0</xdr:rowOff>
                  </from>
                  <to>
                    <xdr:col>1</xdr:col>
                    <xdr:colOff>438150</xdr:colOff>
                    <xdr:row>122</xdr:row>
                    <xdr:rowOff>222250</xdr:rowOff>
                  </to>
                </anchor>
              </controlPr>
            </control>
          </mc:Choice>
        </mc:AlternateContent>
        <mc:AlternateContent>
          <mc:Choice Requires="x14">
            <control xmlns:r="http://schemas.openxmlformats.org/officeDocument/2006/relationships" shapeId="18455" r:id="rId24" name="Check Box 23">
              <controlPr defaultSize="0" autoFill="0" autoLine="0" autoPict="0" macro="[0]!Nyilatkozatok_3_palmaolaj_2">
                <anchor moveWithCells="1">
                  <from>
                    <xdr:col>0</xdr:col>
                    <xdr:colOff>133350</xdr:colOff>
                    <xdr:row>134</xdr:row>
                    <xdr:rowOff>0</xdr:rowOff>
                  </from>
                  <to>
                    <xdr:col>0</xdr:col>
                    <xdr:colOff>438150</xdr:colOff>
                    <xdr:row>134</xdr:row>
                    <xdr:rowOff>222250</xdr:rowOff>
                  </to>
                </anchor>
              </controlPr>
            </control>
          </mc:Choice>
        </mc:AlternateContent>
        <mc:AlternateContent>
          <mc:Choice Requires="x14">
            <control xmlns:r="http://schemas.openxmlformats.org/officeDocument/2006/relationships" shapeId="18473" r:id="rId38" name="Check Box 41">
              <controlPr defaultSize="0" autoFill="0" autoLine="0" autoPict="0" macro="[0]!Nyilatkozatok_3_H_mondatos_táblázat_0">
                <anchor moveWithCells="1">
                  <from>
                    <xdr:col>0</xdr:col>
                    <xdr:colOff>133350</xdr:colOff>
                    <xdr:row>267</xdr:row>
                    <xdr:rowOff>0</xdr:rowOff>
                  </from>
                  <to>
                    <xdr:col>0</xdr:col>
                    <xdr:colOff>438150</xdr:colOff>
                    <xdr:row>267</xdr:row>
                    <xdr:rowOff>222250</xdr:rowOff>
                  </to>
                </anchor>
              </controlPr>
            </control>
          </mc:Choice>
        </mc:AlternateContent>
        <mc:AlternateContent>
          <mc:Choice Requires="x14">
            <control xmlns:r="http://schemas.openxmlformats.org/officeDocument/2006/relationships" shapeId="18474" r:id="rId39" name="Check Box 42">
              <controlPr defaultSize="0" autoFill="0" autoLine="0" autoPict="0" macro="[0]!Nyilatkozatok_3_H_mondatos_táblázat">
                <anchor moveWithCells="1">
                  <from>
                    <xdr:col>0</xdr:col>
                    <xdr:colOff>133350</xdr:colOff>
                    <xdr:row>270</xdr:row>
                    <xdr:rowOff>0</xdr:rowOff>
                  </from>
                  <to>
                    <xdr:col>0</xdr:col>
                    <xdr:colOff>438150</xdr:colOff>
                    <xdr:row>270</xdr:row>
                    <xdr:rowOff>222250</xdr:rowOff>
                  </to>
                </anchor>
              </controlPr>
            </control>
          </mc:Choice>
        </mc:AlternateContent>
        <mc:AlternateContent>
          <mc:Choice Requires="x14">
            <control xmlns:r="http://schemas.openxmlformats.org/officeDocument/2006/relationships" shapeId="18479" r:id="rId43" name="Check Box 47">
              <controlPr defaultSize="0" autoFill="0" autoLine="0" autoPict="0" macro="[0]!Nyilatkozatok_3_crit_4d_1">
                <anchor moveWithCells="1">
                  <from>
                    <xdr:col>0</xdr:col>
                    <xdr:colOff>133350</xdr:colOff>
                    <xdr:row>304</xdr:row>
                    <xdr:rowOff>0</xdr:rowOff>
                  </from>
                  <to>
                    <xdr:col>0</xdr:col>
                    <xdr:colOff>438150</xdr:colOff>
                    <xdr:row>304</xdr:row>
                    <xdr:rowOff>222250</xdr:rowOff>
                  </to>
                </anchor>
              </controlPr>
            </control>
          </mc:Choice>
        </mc:AlternateContent>
        <mc:AlternateContent>
          <mc:Choice Requires="x14">
            <control xmlns:r="http://schemas.openxmlformats.org/officeDocument/2006/relationships" shapeId="18480" r:id="rId44" name="Check Box 48">
              <controlPr defaultSize="0" autoFill="0" autoLine="0" autoPict="0" macro="[0]!Nyilatkozatok_3_crit_4d_2">
                <anchor moveWithCells="1">
                  <from>
                    <xdr:col>0</xdr:col>
                    <xdr:colOff>133350</xdr:colOff>
                    <xdr:row>306</xdr:row>
                    <xdr:rowOff>0</xdr:rowOff>
                  </from>
                  <to>
                    <xdr:col>0</xdr:col>
                    <xdr:colOff>438150</xdr:colOff>
                    <xdr:row>306</xdr:row>
                    <xdr:rowOff>222250</xdr:rowOff>
                  </to>
                </anchor>
              </controlPr>
            </control>
          </mc:Choice>
        </mc:AlternateContent>
        <mc:AlternateContent>
          <mc:Choice Requires="x14">
            <control xmlns:r="http://schemas.openxmlformats.org/officeDocument/2006/relationships" shapeId="18482" r:id="rId46" name="Check Box 50">
              <controlPr defaultSize="0" autoFill="0" autoLine="0" autoPict="0" macro="[0]!Nyilatkozatok_3_crit_4e_tartósítószer">
                <anchor moveWithCells="1">
                  <from>
                    <xdr:col>0</xdr:col>
                    <xdr:colOff>133350</xdr:colOff>
                    <xdr:row>314</xdr:row>
                    <xdr:rowOff>0</xdr:rowOff>
                  </from>
                  <to>
                    <xdr:col>0</xdr:col>
                    <xdr:colOff>438150</xdr:colOff>
                    <xdr:row>314</xdr:row>
                    <xdr:rowOff>222250</xdr:rowOff>
                  </to>
                </anchor>
              </controlPr>
            </control>
          </mc:Choice>
        </mc:AlternateContent>
        <mc:AlternateContent>
          <mc:Choice Requires="x14">
            <control xmlns:r="http://schemas.openxmlformats.org/officeDocument/2006/relationships" shapeId="18484" r:id="rId48" name="Check Box 52">
              <controlPr defaultSize="0" autoFill="0" autoLine="0" autoPict="0" macro="[0]!Nyilatkozatok_3_crit_4e_tartósítószer0">
                <anchor moveWithCells="1">
                  <from>
                    <xdr:col>0</xdr:col>
                    <xdr:colOff>133350</xdr:colOff>
                    <xdr:row>312</xdr:row>
                    <xdr:rowOff>0</xdr:rowOff>
                  </from>
                  <to>
                    <xdr:col>0</xdr:col>
                    <xdr:colOff>438150</xdr:colOff>
                    <xdr:row>312</xdr:row>
                    <xdr:rowOff>222250</xdr:rowOff>
                  </to>
                </anchor>
              </controlPr>
            </control>
          </mc:Choice>
        </mc:AlternateContent>
        <mc:AlternateContent>
          <mc:Choice Requires="x14">
            <control xmlns:r="http://schemas.openxmlformats.org/officeDocument/2006/relationships" shapeId="18486" r:id="rId50" name="Check Box 54">
              <controlPr defaultSize="0" autoFill="0" autoLine="0" autoPict="0" macro="[0]!Nyilatkozatok_3_crit_4f_színezékek_2">
                <anchor moveWithCells="1">
                  <from>
                    <xdr:col>0</xdr:col>
                    <xdr:colOff>133350</xdr:colOff>
                    <xdr:row>350</xdr:row>
                    <xdr:rowOff>0</xdr:rowOff>
                  </from>
                  <to>
                    <xdr:col>0</xdr:col>
                    <xdr:colOff>438150</xdr:colOff>
                    <xdr:row>350</xdr:row>
                    <xdr:rowOff>222250</xdr:rowOff>
                  </to>
                </anchor>
              </controlPr>
            </control>
          </mc:Choice>
        </mc:AlternateContent>
        <mc:AlternateContent>
          <mc:Choice Requires="x14">
            <control xmlns:r="http://schemas.openxmlformats.org/officeDocument/2006/relationships" shapeId="18490" r:id="rId54" name="Check Box 58">
              <controlPr defaultSize="0" autoFill="0" autoLine="0" autoPict="0" macro="[0]!Nyilatkozatok_3_crit_4f_színezékek">
                <anchor moveWithCells="1">
                  <from>
                    <xdr:col>0</xdr:col>
                    <xdr:colOff>133350</xdr:colOff>
                    <xdr:row>335</xdr:row>
                    <xdr:rowOff>12700</xdr:rowOff>
                  </from>
                  <to>
                    <xdr:col>0</xdr:col>
                    <xdr:colOff>438150</xdr:colOff>
                    <xdr:row>335</xdr:row>
                    <xdr:rowOff>228600</xdr:rowOff>
                  </to>
                </anchor>
              </controlPr>
            </control>
          </mc:Choice>
        </mc:AlternateContent>
        <mc:AlternateContent>
          <mc:Choice Requires="x14">
            <control xmlns:r="http://schemas.openxmlformats.org/officeDocument/2006/relationships" shapeId="18492" r:id="rId56" name="Check Box 60">
              <controlPr defaultSize="0" autoFill="0" autoLine="0" autoPict="0" macro="[0]!Nyilatkozatok_3_crit_4f_színezékek_0">
                <anchor moveWithCells="1">
                  <from>
                    <xdr:col>0</xdr:col>
                    <xdr:colOff>133350</xdr:colOff>
                    <xdr:row>333</xdr:row>
                    <xdr:rowOff>0</xdr:rowOff>
                  </from>
                  <to>
                    <xdr:col>0</xdr:col>
                    <xdr:colOff>438150</xdr:colOff>
                    <xdr:row>333</xdr:row>
                    <xdr:rowOff>222250</xdr:rowOff>
                  </to>
                </anchor>
              </controlPr>
            </control>
          </mc:Choice>
        </mc:AlternateContent>
        <mc:AlternateContent>
          <mc:Choice Requires="x14">
            <control xmlns:r="http://schemas.openxmlformats.org/officeDocument/2006/relationships" shapeId="18498" r:id="rId60" name="Check Box 66">
              <controlPr defaultSize="0" autoFill="0" autoLine="0" autoPict="0" macro="[0]!Nyilatkozatok_3_crit_4g_enzimek_1">
                <anchor moveWithCells="1">
                  <from>
                    <xdr:col>0</xdr:col>
                    <xdr:colOff>133350</xdr:colOff>
                    <xdr:row>355</xdr:row>
                    <xdr:rowOff>0</xdr:rowOff>
                  </from>
                  <to>
                    <xdr:col>0</xdr:col>
                    <xdr:colOff>438150</xdr:colOff>
                    <xdr:row>355</xdr:row>
                    <xdr:rowOff>222250</xdr:rowOff>
                  </to>
                </anchor>
              </controlPr>
            </control>
          </mc:Choice>
        </mc:AlternateContent>
        <mc:AlternateContent>
          <mc:Choice Requires="x14">
            <control xmlns:r="http://schemas.openxmlformats.org/officeDocument/2006/relationships" shapeId="18499" r:id="rId61" name="Check Box 67">
              <controlPr defaultSize="0" autoFill="0" autoLine="0" autoPict="0" macro="[0]!Nyilatkozatok_3_crit_4g_enzimek_2">
                <anchor moveWithCells="1">
                  <from>
                    <xdr:col>0</xdr:col>
                    <xdr:colOff>133350</xdr:colOff>
                    <xdr:row>365</xdr:row>
                    <xdr:rowOff>0</xdr:rowOff>
                  </from>
                  <to>
                    <xdr:col>0</xdr:col>
                    <xdr:colOff>438150</xdr:colOff>
                    <xdr:row>365</xdr:row>
                    <xdr:rowOff>222250</xdr:rowOff>
                  </to>
                </anchor>
              </controlPr>
            </control>
          </mc:Choice>
        </mc:AlternateContent>
        <mc:AlternateContent>
          <mc:Choice Requires="x14">
            <control xmlns:r="http://schemas.openxmlformats.org/officeDocument/2006/relationships" shapeId="18503" r:id="rId65" name="Check Box 71">
              <controlPr defaultSize="0" autoFill="0" autoLine="0" autoPict="0" macro="[0]!Nyilatkozatok_3_crit_4h_mikro_1">
                <anchor moveWithCells="1">
                  <from>
                    <xdr:col>0</xdr:col>
                    <xdr:colOff>133350</xdr:colOff>
                    <xdr:row>368</xdr:row>
                    <xdr:rowOff>133350</xdr:rowOff>
                  </from>
                  <to>
                    <xdr:col>0</xdr:col>
                    <xdr:colOff>438150</xdr:colOff>
                    <xdr:row>467</xdr:row>
                    <xdr:rowOff>57150</xdr:rowOff>
                  </to>
                </anchor>
              </controlPr>
            </control>
          </mc:Choice>
        </mc:AlternateContent>
        <mc:AlternateContent>
          <mc:Choice Requires="x14">
            <control xmlns:r="http://schemas.openxmlformats.org/officeDocument/2006/relationships" shapeId="18504" r:id="rId66" name="Check Box 72">
              <controlPr defaultSize="0" autoFill="0" autoLine="0" autoPict="0" macro="[0]!Nyilatkozatok_3_crit_4h_mikro_2">
                <anchor moveWithCells="1">
                  <from>
                    <xdr:col>0</xdr:col>
                    <xdr:colOff>133350</xdr:colOff>
                    <xdr:row>371</xdr:row>
                    <xdr:rowOff>0</xdr:rowOff>
                  </from>
                  <to>
                    <xdr:col>0</xdr:col>
                    <xdr:colOff>438150</xdr:colOff>
                    <xdr:row>467</xdr:row>
                    <xdr:rowOff>57150</xdr:rowOff>
                  </to>
                </anchor>
              </controlPr>
            </control>
          </mc:Choice>
        </mc:AlternateContent>
        <mc:AlternateContent>
          <mc:Choice Requires="x14">
            <control xmlns:r="http://schemas.openxmlformats.org/officeDocument/2006/relationships" shapeId="18531" r:id="rId89" name="Check Box 99">
              <controlPr defaultSize="0" autoFill="0" autoLine="0" autoPict="0" macro="[0]!Nyilatkozatok_3_DID_lista_AB">
                <anchor moveWithCells="1">
                  <from>
                    <xdr:col>0</xdr:col>
                    <xdr:colOff>133350</xdr:colOff>
                    <xdr:row>21</xdr:row>
                    <xdr:rowOff>0</xdr:rowOff>
                  </from>
                  <to>
                    <xdr:col>0</xdr:col>
                    <xdr:colOff>438150</xdr:colOff>
                    <xdr:row>21</xdr:row>
                    <xdr:rowOff>222250</xdr:rowOff>
                  </to>
                </anchor>
              </controlPr>
            </control>
          </mc:Choice>
        </mc:AlternateContent>
        <mc:AlternateContent>
          <mc:Choice Requires="x14">
            <control xmlns:r="http://schemas.openxmlformats.org/officeDocument/2006/relationships" shapeId="18534" r:id="rId91" name="Check Box 102">
              <controlPr defaultSize="0" autoFill="0" autoLine="0" autoPict="0" macro="[0]!Nyilatkozatok_3_DID_lista_AB">
                <anchor moveWithCells="1">
                  <from>
                    <xdr:col>0</xdr:col>
                    <xdr:colOff>133350</xdr:colOff>
                    <xdr:row>23</xdr:row>
                    <xdr:rowOff>19050</xdr:rowOff>
                  </from>
                  <to>
                    <xdr:col>0</xdr:col>
                    <xdr:colOff>438150</xdr:colOff>
                    <xdr:row>23</xdr:row>
                    <xdr:rowOff>241300</xdr:rowOff>
                  </to>
                </anchor>
              </controlPr>
            </control>
          </mc:Choice>
        </mc:AlternateContent>
        <mc:AlternateContent>
          <mc:Choice Requires="x14">
            <control xmlns:r="http://schemas.openxmlformats.org/officeDocument/2006/relationships" shapeId="18536" r:id="rId93" name="Check Box 104">
              <controlPr defaultSize="0" autoFill="0" autoLine="0" autoPict="0" macro="[0]!Nyilatkozatok_3_crit_2a_1">
                <anchor moveWithCells="1">
                  <from>
                    <xdr:col>0</xdr:col>
                    <xdr:colOff>133350</xdr:colOff>
                    <xdr:row>54</xdr:row>
                    <xdr:rowOff>0</xdr:rowOff>
                  </from>
                  <to>
                    <xdr:col>0</xdr:col>
                    <xdr:colOff>438150</xdr:colOff>
                    <xdr:row>54</xdr:row>
                    <xdr:rowOff>222250</xdr:rowOff>
                  </to>
                </anchor>
              </controlPr>
            </control>
          </mc:Choice>
        </mc:AlternateContent>
        <mc:AlternateContent>
          <mc:Choice Requires="x14">
            <control xmlns:r="http://schemas.openxmlformats.org/officeDocument/2006/relationships" shapeId="18537" r:id="rId94" name="Check Box 105">
              <controlPr defaultSize="0" autoFill="0" autoLine="0" autoPict="0" macro="[0]!Nyilatkozatok_3_crit_2a_2">
                <anchor moveWithCells="1">
                  <from>
                    <xdr:col>0</xdr:col>
                    <xdr:colOff>133350</xdr:colOff>
                    <xdr:row>56</xdr:row>
                    <xdr:rowOff>0</xdr:rowOff>
                  </from>
                  <to>
                    <xdr:col>0</xdr:col>
                    <xdr:colOff>438150</xdr:colOff>
                    <xdr:row>56</xdr:row>
                    <xdr:rowOff>222250</xdr:rowOff>
                  </to>
                </anchor>
              </controlPr>
            </control>
          </mc:Choice>
        </mc:AlternateContent>
        <mc:AlternateContent>
          <mc:Choice Requires="x14">
            <control xmlns:r="http://schemas.openxmlformats.org/officeDocument/2006/relationships" shapeId="18539" r:id="rId96" name="Check Box 107">
              <controlPr defaultSize="0" autoFill="0" autoLine="0" autoPict="0" macro="[0]!Nyilatkozatok_3_crit_2b_0">
                <anchor moveWithCells="1">
                  <from>
                    <xdr:col>0</xdr:col>
                    <xdr:colOff>133350</xdr:colOff>
                    <xdr:row>75</xdr:row>
                    <xdr:rowOff>0</xdr:rowOff>
                  </from>
                  <to>
                    <xdr:col>0</xdr:col>
                    <xdr:colOff>438150</xdr:colOff>
                    <xdr:row>75</xdr:row>
                    <xdr:rowOff>222250</xdr:rowOff>
                  </to>
                </anchor>
              </controlPr>
            </control>
          </mc:Choice>
        </mc:AlternateContent>
        <mc:AlternateContent>
          <mc:Choice Requires="x14">
            <control xmlns:r="http://schemas.openxmlformats.org/officeDocument/2006/relationships" shapeId="18541" r:id="rId98" name="Check Box 109">
              <controlPr defaultSize="0" autoFill="0" autoLine="0" autoPict="0" macro="[0]!Nyilatkozatok_3_crit_2b_1">
                <anchor moveWithCells="1">
                  <from>
                    <xdr:col>0</xdr:col>
                    <xdr:colOff>133350</xdr:colOff>
                    <xdr:row>92</xdr:row>
                    <xdr:rowOff>0</xdr:rowOff>
                  </from>
                  <to>
                    <xdr:col>0</xdr:col>
                    <xdr:colOff>438150</xdr:colOff>
                    <xdr:row>92</xdr:row>
                    <xdr:rowOff>222250</xdr:rowOff>
                  </to>
                </anchor>
              </controlPr>
            </control>
          </mc:Choice>
        </mc:AlternateContent>
        <mc:AlternateContent>
          <mc:Choice Requires="x14">
            <control xmlns:r="http://schemas.openxmlformats.org/officeDocument/2006/relationships" shapeId="18542" r:id="rId99" name="Check Box 110">
              <controlPr defaultSize="0" autoFill="0" autoLine="0" autoPict="0" macro="[0]!Nyilatkozatok_3_crit_2b_1">
                <anchor moveWithCells="1">
                  <from>
                    <xdr:col>0</xdr:col>
                    <xdr:colOff>133350</xdr:colOff>
                    <xdr:row>94</xdr:row>
                    <xdr:rowOff>0</xdr:rowOff>
                  </from>
                  <to>
                    <xdr:col>0</xdr:col>
                    <xdr:colOff>438150</xdr:colOff>
                    <xdr:row>94</xdr:row>
                    <xdr:rowOff>222250</xdr:rowOff>
                  </to>
                </anchor>
              </controlPr>
            </control>
          </mc:Choice>
        </mc:AlternateContent>
        <mc:AlternateContent>
          <mc:Choice Requires="x14">
            <control xmlns:r="http://schemas.openxmlformats.org/officeDocument/2006/relationships" shapeId="18544" r:id="rId100" name="Check Box 112">
              <controlPr defaultSize="0" autoFill="0" autoLine="0" autoPict="0" macro="[0]!Nyilatkozatok_3_palmaolaj_1">
                <anchor moveWithCells="1">
                  <from>
                    <xdr:col>0</xdr:col>
                    <xdr:colOff>133350</xdr:colOff>
                    <xdr:row>116</xdr:row>
                    <xdr:rowOff>0</xdr:rowOff>
                  </from>
                  <to>
                    <xdr:col>0</xdr:col>
                    <xdr:colOff>438150</xdr:colOff>
                    <xdr:row>116</xdr:row>
                    <xdr:rowOff>222250</xdr:rowOff>
                  </to>
                </anchor>
              </controlPr>
            </control>
          </mc:Choice>
        </mc:AlternateContent>
        <mc:AlternateContent>
          <mc:Choice Requires="x14">
            <control xmlns:r="http://schemas.openxmlformats.org/officeDocument/2006/relationships" shapeId="18545" r:id="rId101" name="Check Box 113">
              <controlPr defaultSize="0" autoFill="0" autoLine="0" autoPict="0" macro="[0]!Nyilatkozatok_3_palmaolaj_1">
                <anchor moveWithCells="1">
                  <from>
                    <xdr:col>0</xdr:col>
                    <xdr:colOff>133350</xdr:colOff>
                    <xdr:row>118</xdr:row>
                    <xdr:rowOff>0</xdr:rowOff>
                  </from>
                  <to>
                    <xdr:col>0</xdr:col>
                    <xdr:colOff>438150</xdr:colOff>
                    <xdr:row>118</xdr:row>
                    <xdr:rowOff>222250</xdr:rowOff>
                  </to>
                </anchor>
              </controlPr>
            </control>
          </mc:Choice>
        </mc:AlternateContent>
        <mc:AlternateContent>
          <mc:Choice Requires="x14">
            <control xmlns:r="http://schemas.openxmlformats.org/officeDocument/2006/relationships" shapeId="18546" r:id="rId102" name="Check Box 114">
              <controlPr defaultSize="0" autoFill="0" autoLine="0" autoPict="0" macro="[0]!Nyilatkozatok_3_palmaolaj_2">
                <anchor moveWithCells="1">
                  <from>
                    <xdr:col>1</xdr:col>
                    <xdr:colOff>133350</xdr:colOff>
                    <xdr:row>120</xdr:row>
                    <xdr:rowOff>0</xdr:rowOff>
                  </from>
                  <to>
                    <xdr:col>1</xdr:col>
                    <xdr:colOff>438150</xdr:colOff>
                    <xdr:row>120</xdr:row>
                    <xdr:rowOff>222250</xdr:rowOff>
                  </to>
                </anchor>
              </controlPr>
            </control>
          </mc:Choice>
        </mc:AlternateContent>
        <mc:AlternateContent>
          <mc:Choice Requires="x14">
            <control xmlns:r="http://schemas.openxmlformats.org/officeDocument/2006/relationships" shapeId="18549" r:id="rId105" name="Check Box 117">
              <controlPr defaultSize="0" autoFill="0" autoLine="0" autoPict="0" macro="[0]!Nyilatkozatok_3_palmaolaj_1">
                <anchor moveWithCells="1">
                  <from>
                    <xdr:col>0</xdr:col>
                    <xdr:colOff>133350</xdr:colOff>
                    <xdr:row>134</xdr:row>
                    <xdr:rowOff>0</xdr:rowOff>
                  </from>
                  <to>
                    <xdr:col>0</xdr:col>
                    <xdr:colOff>438150</xdr:colOff>
                    <xdr:row>134</xdr:row>
                    <xdr:rowOff>222250</xdr:rowOff>
                  </to>
                </anchor>
              </controlPr>
            </control>
          </mc:Choice>
        </mc:AlternateContent>
        <mc:AlternateContent>
          <mc:Choice Requires="x14">
            <control xmlns:r="http://schemas.openxmlformats.org/officeDocument/2006/relationships" shapeId="18566" r:id="rId119" name="Check Box 134">
              <controlPr defaultSize="0" autoFill="0" autoLine="0" autoPict="0" macro="[0]!Nyilatkozatok_3_H_mondatos_táblázat_0">
                <anchor moveWithCells="1">
                  <from>
                    <xdr:col>0</xdr:col>
                    <xdr:colOff>133350</xdr:colOff>
                    <xdr:row>270</xdr:row>
                    <xdr:rowOff>0</xdr:rowOff>
                  </from>
                  <to>
                    <xdr:col>0</xdr:col>
                    <xdr:colOff>438150</xdr:colOff>
                    <xdr:row>270</xdr:row>
                    <xdr:rowOff>222250</xdr:rowOff>
                  </to>
                </anchor>
              </controlPr>
            </control>
          </mc:Choice>
        </mc:AlternateContent>
        <mc:AlternateContent>
          <mc:Choice Requires="x14">
            <control xmlns:r="http://schemas.openxmlformats.org/officeDocument/2006/relationships" shapeId="18571" r:id="rId124" name="Check Box 139">
              <controlPr defaultSize="0" autoFill="0" autoLine="0" autoPict="0" macro="[0]!Nyilatkozatok_3_crit_4d_1">
                <anchor moveWithCells="1">
                  <from>
                    <xdr:col>0</xdr:col>
                    <xdr:colOff>133350</xdr:colOff>
                    <xdr:row>304</xdr:row>
                    <xdr:rowOff>0</xdr:rowOff>
                  </from>
                  <to>
                    <xdr:col>0</xdr:col>
                    <xdr:colOff>438150</xdr:colOff>
                    <xdr:row>304</xdr:row>
                    <xdr:rowOff>222250</xdr:rowOff>
                  </to>
                </anchor>
              </controlPr>
            </control>
          </mc:Choice>
        </mc:AlternateContent>
        <mc:AlternateContent>
          <mc:Choice Requires="x14">
            <control xmlns:r="http://schemas.openxmlformats.org/officeDocument/2006/relationships" shapeId="18572" r:id="rId125" name="Check Box 140">
              <controlPr defaultSize="0" autoFill="0" autoLine="0" autoPict="0" macro="[0]!Nyilatkozatok_3_crit_4d_2">
                <anchor moveWithCells="1">
                  <from>
                    <xdr:col>0</xdr:col>
                    <xdr:colOff>133350</xdr:colOff>
                    <xdr:row>306</xdr:row>
                    <xdr:rowOff>0</xdr:rowOff>
                  </from>
                  <to>
                    <xdr:col>0</xdr:col>
                    <xdr:colOff>438150</xdr:colOff>
                    <xdr:row>306</xdr:row>
                    <xdr:rowOff>222250</xdr:rowOff>
                  </to>
                </anchor>
              </controlPr>
            </control>
          </mc:Choice>
        </mc:AlternateContent>
        <mc:AlternateContent>
          <mc:Choice Requires="x14">
            <control xmlns:r="http://schemas.openxmlformats.org/officeDocument/2006/relationships" shapeId="18578" r:id="rId131" name="Check Box 146">
              <controlPr defaultSize="0" autoFill="0" autoLine="0" autoPict="0" macro="[0]!Nyilatkozatok_3_crit_4f_színezékek">
                <anchor moveWithCells="1">
                  <from>
                    <xdr:col>0</xdr:col>
                    <xdr:colOff>133350</xdr:colOff>
                    <xdr:row>350</xdr:row>
                    <xdr:rowOff>0</xdr:rowOff>
                  </from>
                  <to>
                    <xdr:col>0</xdr:col>
                    <xdr:colOff>438150</xdr:colOff>
                    <xdr:row>350</xdr:row>
                    <xdr:rowOff>222250</xdr:rowOff>
                  </to>
                </anchor>
              </controlPr>
            </control>
          </mc:Choice>
        </mc:AlternateContent>
        <mc:AlternateContent>
          <mc:Choice Requires="x14">
            <control xmlns:r="http://schemas.openxmlformats.org/officeDocument/2006/relationships" shapeId="18582" r:id="rId135" name="Check Box 150">
              <controlPr defaultSize="0" autoFill="0" autoLine="0" autoPict="0" macro="[0]!Nyilatkozatok_3_crit_4f_színezékek">
                <anchor moveWithCells="1">
                  <from>
                    <xdr:col>0</xdr:col>
                    <xdr:colOff>133350</xdr:colOff>
                    <xdr:row>335</xdr:row>
                    <xdr:rowOff>12700</xdr:rowOff>
                  </from>
                  <to>
                    <xdr:col>0</xdr:col>
                    <xdr:colOff>438150</xdr:colOff>
                    <xdr:row>335</xdr:row>
                    <xdr:rowOff>228600</xdr:rowOff>
                  </to>
                </anchor>
              </controlPr>
            </control>
          </mc:Choice>
        </mc:AlternateContent>
        <mc:AlternateContent>
          <mc:Choice Requires="x14">
            <control xmlns:r="http://schemas.openxmlformats.org/officeDocument/2006/relationships" shapeId="18584" r:id="rId137" name="Check Box 152">
              <controlPr defaultSize="0" autoFill="0" autoLine="0" autoPict="0" macro="[0]!Nyilatkozatok_3_crit_4f_színezékek">
                <anchor moveWithCells="1">
                  <from>
                    <xdr:col>0</xdr:col>
                    <xdr:colOff>133350</xdr:colOff>
                    <xdr:row>333</xdr:row>
                    <xdr:rowOff>0</xdr:rowOff>
                  </from>
                  <to>
                    <xdr:col>0</xdr:col>
                    <xdr:colOff>438150</xdr:colOff>
                    <xdr:row>333</xdr:row>
                    <xdr:rowOff>222250</xdr:rowOff>
                  </to>
                </anchor>
              </controlPr>
            </control>
          </mc:Choice>
        </mc:AlternateContent>
        <mc:AlternateContent>
          <mc:Choice Requires="x14">
            <control xmlns:r="http://schemas.openxmlformats.org/officeDocument/2006/relationships" shapeId="18589" r:id="rId142" name="Check Box 157">
              <controlPr defaultSize="0" autoFill="0" autoLine="0" autoPict="0" macro="[0]!Nyilatkozatok_3_crit_4g_enzimek_1">
                <anchor moveWithCells="1">
                  <from>
                    <xdr:col>0</xdr:col>
                    <xdr:colOff>133350</xdr:colOff>
                    <xdr:row>355</xdr:row>
                    <xdr:rowOff>0</xdr:rowOff>
                  </from>
                  <to>
                    <xdr:col>0</xdr:col>
                    <xdr:colOff>438150</xdr:colOff>
                    <xdr:row>355</xdr:row>
                    <xdr:rowOff>222250</xdr:rowOff>
                  </to>
                </anchor>
              </controlPr>
            </control>
          </mc:Choice>
        </mc:AlternateContent>
        <mc:AlternateContent>
          <mc:Choice Requires="x14">
            <control xmlns:r="http://schemas.openxmlformats.org/officeDocument/2006/relationships" shapeId="18590" r:id="rId143" name="Check Box 158">
              <controlPr defaultSize="0" autoFill="0" autoLine="0" autoPict="0" macro="[0]!Nyilatkozatok_3_crit_4g_enzimek_2">
                <anchor moveWithCells="1">
                  <from>
                    <xdr:col>0</xdr:col>
                    <xdr:colOff>133350</xdr:colOff>
                    <xdr:row>365</xdr:row>
                    <xdr:rowOff>0</xdr:rowOff>
                  </from>
                  <to>
                    <xdr:col>0</xdr:col>
                    <xdr:colOff>438150</xdr:colOff>
                    <xdr:row>365</xdr:row>
                    <xdr:rowOff>222250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8">
            <xm:f>AND(L313=FALSE,OR('O:\Dokumentumok\VILMA\EU\Tisztítószeres segédlet magyarítás\[Pályázati_adatlap_calculation_gyártói.xlsm]Termék'!#REF!='O:\Dokumentumok\VILMA\EU\Tisztítószeres segédlet magyarítás\[Pályázati_adatlap_calculation_gyártói.xlsm]Auswahldaten'!#REF!,'O:\Dokumentumok\VILMA\EU\Tisztítószeres segédlet magyarítás\[Pályázati_adatlap_calculation_gyártói.xlsm]Alapanyagok'!#REF!&gt;0))</xm:f>
            <x14:dxf>
              <fill>
                <patternFill>
                  <bgColor theme="9" tint="-0.24993999302387238"/>
                </patternFill>
              </fill>
            </x14:dxf>
          </x14:cfRule>
          <xm:sqref>A315</xm:sqref>
        </x14:conditionalFormatting>
        <x14:conditionalFormatting xmlns:xm="http://schemas.microsoft.com/office/excel/2006/main">
          <x14:cfRule type="expression" priority="117">
            <xm:f>AND(L268 = FALSE,SUM('O:\Dokumentumok\VILMA\EU\Tisztítószeres segédlet magyarítás\[Pályázati_adatlap_calculation_gyártói.xlsm]Alapanyagok'!#REF!)&gt;0)</xm:f>
            <x14:dxf>
              <fill>
                <patternFill>
                  <bgColor theme="9" tint="-0.24993999302387238"/>
                </patternFill>
              </fill>
            </x14:dxf>
          </x14:cfRule>
          <xm:sqref>A268</xm:sqref>
        </x14:conditionalFormatting>
        <x14:conditionalFormatting xmlns:xm="http://schemas.microsoft.com/office/excel/2006/main">
          <x14:cfRule type="expression" priority="101">
            <xm:f>AND(L305=FALSE,'O:\Dokumentumok\VILMA\EU\Tisztítószeres segédlet magyarítás\[Pályázati_adatlap_calculation_gyártói.xlsm]Termék'!#REF!='O:\Dokumentumok\VILMA\EU\Tisztítószeres segédlet magyarítás\[Pályázati_adatlap_calculation_gyártói.xlsm]Auswahldaten'!#REF!,'O:\Dokumentumok\VILMA\EU\Tisztítószeres segédlet magyarítás\[Pályázati_adatlap_calculation_gyártói.xlsm]Alapanyagok'!#REF!=0)</xm:f>
            <x14:dxf>
              <fill>
                <patternFill>
                  <bgColor theme="9" tint="-0.24993999302387238"/>
                </patternFill>
              </fill>
            </x14:dxf>
          </x14:cfRule>
          <xm:sqref>A305</xm:sqref>
        </x14:conditionalFormatting>
        <x14:conditionalFormatting xmlns:xm="http://schemas.microsoft.com/office/excel/2006/main">
          <x14:cfRule type="expression" priority="100">
            <xm:f>AND(L307=FALSE,OR('O:\Dokumentumok\VILMA\EU\Tisztítószeres segédlet magyarítás\[Pályázati_adatlap_calculation_gyártói.xlsm]Termék'!#REF!='O:\Dokumentumok\VILMA\EU\Tisztítószeres segédlet magyarítás\[Pályázati_adatlap_calculation_gyártói.xlsm]Auswahldaten'!#REF!,'O:\Dokumentumok\VILMA\EU\Tisztítószeres segédlet magyarítás\[Pályázati_adatlap_calculation_gyártói.xlsm]Alapanyagok'!#REF!&gt;0))</xm:f>
            <x14:dxf>
              <fill>
                <patternFill>
                  <bgColor theme="9" tint="-0.24993999302387238"/>
                </patternFill>
              </fill>
            </x14:dxf>
          </x14:cfRule>
          <xm:sqref>A307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
    <tabColor rgb="FF92D050"/>
    <pageSetUpPr fitToPage="1"/>
  </sheetPr>
  <dimension ref="A1:XFD525"/>
  <sheetViews>
    <sheetView workbookViewId="0" topLeftCell="A493">
      <selection activeCell="E512" sqref="E512"/>
    </sheetView>
  </sheetViews>
  <sheetFormatPr defaultColWidth="9.140625" defaultRowHeight="12.75"/>
  <cols>
    <col min="1" max="1" width="9.140625" style="523" customWidth="1"/>
    <col min="2" max="2" width="10.00390625" style="523" customWidth="1"/>
    <col min="3" max="3" width="17.421875" style="523" customWidth="1"/>
    <col min="4" max="8" width="8.8515625" style="523" customWidth="1"/>
    <col min="9" max="9" width="9.8515625" style="523" customWidth="1"/>
    <col min="10" max="10" width="9.57421875" style="523" customWidth="1"/>
    <col min="11" max="11" width="9.140625" style="523" customWidth="1"/>
    <col min="12" max="12" width="9.140625" style="649" hidden="1" customWidth="1"/>
    <col min="13" max="15" width="9.140625" style="131" hidden="1" customWidth="1"/>
    <col min="16" max="17" width="9.140625" style="0" hidden="1" customWidth="1"/>
    <col min="18" max="24" width="9.140625" style="523" hidden="1" customWidth="1"/>
    <col min="25" max="46" width="9.140625" style="523" customWidth="1"/>
  </cols>
  <sheetData>
    <row r="1" spans="3:19" s="463" customFormat="1" ht="75" customHeight="1">
      <c r="C1" s="986" t="str">
        <f>IF(Adatlap!L1="Magyar",Fordítások!C310,Fordítások!B310)</f>
        <v>MOSÓ- ÉS TISZTÍTÓSZEREK</v>
      </c>
      <c r="D1" s="986"/>
      <c r="E1" s="986"/>
      <c r="F1" s="986"/>
      <c r="G1" s="986"/>
      <c r="H1" s="986"/>
      <c r="I1" s="986"/>
      <c r="J1" s="986"/>
      <c r="K1" s="492"/>
      <c r="L1" s="668"/>
      <c r="M1" s="719"/>
      <c r="N1" s="719"/>
      <c r="O1" s="720"/>
      <c r="P1" s="478"/>
      <c r="Q1" s="478"/>
      <c r="R1" s="478"/>
      <c r="S1" s="478"/>
    </row>
    <row r="2" spans="1:23" ht="21.75" customHeight="1">
      <c r="A2" s="572"/>
      <c r="B2" s="572"/>
      <c r="C2" s="572"/>
      <c r="D2" s="572"/>
      <c r="E2" s="572"/>
      <c r="F2" s="627"/>
      <c r="G2" s="635"/>
      <c r="H2" s="635"/>
      <c r="I2" s="572"/>
      <c r="J2" s="572"/>
      <c r="K2" s="572"/>
      <c r="P2" s="131"/>
      <c r="Q2" s="131"/>
      <c r="R2" s="572"/>
      <c r="S2" s="572"/>
      <c r="T2" s="572"/>
      <c r="U2" s="572"/>
      <c r="V2" s="572"/>
      <c r="W2" s="572"/>
    </row>
    <row r="3" spans="1:14" ht="15.75" customHeight="1">
      <c r="A3" s="1304" t="str">
        <f>IF(OR(Adatlap!$M$3=3,Adatlap!$M$3=4),IF(Adatlap!L1="Magyar",Fordítások!C667,Fordítások!B667),IF(Adatlap!L1="Magyar",Fordítások!C666,Fordítások!B666))</f>
        <v xml:space="preserve">5. kritérium - </v>
      </c>
      <c r="B3" s="1304"/>
      <c r="C3" s="661" t="str">
        <f>IF(Adatlap!L1="Magyar",Fordítások!C581,Fordítások!B581)</f>
        <v>Csomagolás</v>
      </c>
      <c r="D3" s="661"/>
      <c r="E3" s="661"/>
      <c r="F3" s="661"/>
      <c r="G3" s="661"/>
      <c r="H3" s="661"/>
      <c r="I3" s="661"/>
      <c r="J3" s="661"/>
      <c r="L3" s="669" t="s">
        <v>1849</v>
      </c>
      <c r="N3" s="131">
        <v>1</v>
      </c>
    </row>
    <row r="4" spans="1:14" ht="15.5">
      <c r="A4" s="652"/>
      <c r="B4" s="652"/>
      <c r="C4" s="652"/>
      <c r="D4" s="652"/>
      <c r="E4" s="652"/>
      <c r="F4" s="652"/>
      <c r="G4" s="652"/>
      <c r="H4" s="652"/>
      <c r="I4" s="652"/>
      <c r="J4" s="652"/>
      <c r="N4" s="131">
        <v>2</v>
      </c>
    </row>
    <row r="5" spans="1:46" s="662" customFormat="1" ht="21" customHeight="1">
      <c r="A5" s="1378" t="str">
        <f>IF(Adatlap!L1="Magyar",Fordítások!C602,Fordítások!B602)</f>
        <v>A pályázatban szereplő kiszerelési változatok száma (válassza ki):</v>
      </c>
      <c r="B5" s="1378"/>
      <c r="C5" s="1378"/>
      <c r="D5" s="1378"/>
      <c r="E5" s="1378"/>
      <c r="F5" s="1378"/>
      <c r="G5" s="1378"/>
      <c r="H5" s="1378"/>
      <c r="I5" s="1381" t="str">
        <f>IF(OR($L$5=2,$L$5=3,$L$5=4,$L$5=5,$L$5=6,$L$5=7,$L$5=8,$L$5=9),"",IF(Adatlap!L1="Magyar","Válassza ki!","Plese, select"))</f>
        <v>Válassza ki!</v>
      </c>
      <c r="J5" s="661"/>
      <c r="K5" s="653"/>
      <c r="L5" s="649">
        <v>1</v>
      </c>
      <c r="M5" s="830"/>
      <c r="N5" s="131">
        <v>3</v>
      </c>
      <c r="O5" s="830"/>
      <c r="R5" s="529"/>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row>
    <row r="6" spans="1:46" s="662" customFormat="1" ht="12.75" customHeight="1">
      <c r="A6" s="665" t="str">
        <f>CONCATENATE("(",IF(Adatlap!L1="Magyar",Fordítások!C603,Fordítások!B603),")")</f>
        <v>(Az 5. kritériummal kapcsolatos nyilatkozatokat minden kiszerelési változatra külön-külön ki kell tölteni!)</v>
      </c>
      <c r="B6" s="663"/>
      <c r="C6" s="663"/>
      <c r="D6" s="663"/>
      <c r="E6" s="663"/>
      <c r="F6" s="663"/>
      <c r="G6" s="663"/>
      <c r="H6" s="663"/>
      <c r="I6" s="1381"/>
      <c r="J6" s="661"/>
      <c r="K6" s="653"/>
      <c r="L6" s="649"/>
      <c r="M6" s="830"/>
      <c r="N6" s="131">
        <v>4</v>
      </c>
      <c r="O6" s="830"/>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53"/>
      <c r="AS6" s="653"/>
      <c r="AT6" s="653"/>
    </row>
    <row r="7" spans="1:46" s="662" customFormat="1" ht="21" customHeight="1">
      <c r="A7" s="664"/>
      <c r="B7" s="663"/>
      <c r="C7" s="663"/>
      <c r="D7" s="663"/>
      <c r="E7" s="663"/>
      <c r="F7" s="663"/>
      <c r="G7" s="663"/>
      <c r="H7" s="663"/>
      <c r="I7" s="661"/>
      <c r="J7" s="661"/>
      <c r="K7" s="653"/>
      <c r="L7" s="649"/>
      <c r="M7" s="830"/>
      <c r="N7" s="131">
        <v>5</v>
      </c>
      <c r="O7" s="830"/>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row>
    <row r="8" spans="1:46" s="662" customFormat="1" ht="21" customHeight="1">
      <c r="A8" s="1379" t="str">
        <f>'Kiszerelés 1-4'!C10</f>
        <v>1. kiszerelés</v>
      </c>
      <c r="B8" s="1379"/>
      <c r="C8" s="1380" t="str">
        <f>IF('Kiszerelés 1-4'!C11="","",'Kiszerelés 1-4'!C11)</f>
        <v/>
      </c>
      <c r="D8" s="1380"/>
      <c r="E8" s="1380"/>
      <c r="F8" s="1380"/>
      <c r="G8" s="1380"/>
      <c r="H8" s="1380"/>
      <c r="I8" s="1380"/>
      <c r="J8" s="1380"/>
      <c r="K8" s="653"/>
      <c r="L8" s="649"/>
      <c r="M8" s="830"/>
      <c r="N8" s="131">
        <v>6</v>
      </c>
      <c r="O8" s="830"/>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row>
    <row r="9" ht="12.75">
      <c r="N9" s="131">
        <v>7</v>
      </c>
    </row>
    <row r="10" spans="1:14" ht="13" hidden="1">
      <c r="A10" s="599" t="s">
        <v>1800</v>
      </c>
      <c r="B10" s="1336" t="str">
        <f>IF(Adatlap!L1="Magyar",Fordítások!C582,Fordítások!B582)</f>
        <v>Szórófejes palackokban értékesített termékek</v>
      </c>
      <c r="C10" s="1336"/>
      <c r="D10" s="1336"/>
      <c r="E10" s="1336"/>
      <c r="F10" s="1336"/>
      <c r="G10" s="1336"/>
      <c r="H10" s="1336"/>
      <c r="I10" s="1336"/>
      <c r="J10" s="1336"/>
      <c r="N10" s="131">
        <v>8</v>
      </c>
    </row>
    <row r="11" ht="12.75" customHeight="1" hidden="1"/>
    <row r="12" spans="1:15" ht="25" customHeight="1" hidden="1">
      <c r="A12" s="528" t="str">
        <f>IF(AND(L12=FALSE,L19=FALSE),IF(Adatlap!$L$1="Magyar","Jelölje be!","Please, check!"),"")</f>
        <v>Jelölje be!</v>
      </c>
      <c r="B12" s="1202" t="str">
        <f>IF(Adatlap!L$1="Magyar",Fordítások!C583,Fordítások!B583)</f>
        <v>Kijelentem, hogy az adott kiszerelés esetében a termék szórófejes palackban kerül forgalomba.</v>
      </c>
      <c r="C12" s="1202"/>
      <c r="D12" s="1202"/>
      <c r="E12" s="1202"/>
      <c r="F12" s="1202"/>
      <c r="G12" s="1202"/>
      <c r="H12" s="1202"/>
      <c r="I12" s="1202"/>
      <c r="J12" s="1202"/>
      <c r="L12" s="649" t="b">
        <v>0</v>
      </c>
      <c r="O12" s="735"/>
    </row>
    <row r="13" spans="2:15" ht="25" customHeight="1" hidden="1">
      <c r="B13" s="596" t="str">
        <f>IF(AND($L$12=TRUE,L13=FALSE),IF(Adatlap!$L$1="Magyar","Jelölje be!","Please, check!"),"")</f>
        <v/>
      </c>
      <c r="C13" s="1236" t="str">
        <f>IF(Adatlap!$L$1="Magyar",Fordítások!C584,Fordítások!B584)</f>
        <v>Kijelentem, hogy az adott kiszerelésű termékeknél a szórófejes palackok nem tartalmaznak hajtógázt.</v>
      </c>
      <c r="D13" s="1236"/>
      <c r="E13" s="1236"/>
      <c r="F13" s="1236"/>
      <c r="G13" s="1236"/>
      <c r="H13" s="1236"/>
      <c r="I13" s="1236"/>
      <c r="J13" s="1236"/>
      <c r="L13" s="649" t="b">
        <v>0</v>
      </c>
      <c r="O13" s="735"/>
    </row>
    <row r="14" ht="8.15" customHeight="1" hidden="1"/>
    <row r="15" spans="2:15" ht="25" customHeight="1" hidden="1">
      <c r="B15" s="596" t="str">
        <f>IF(AND($L$12=TRUE,L15=FALSE),IF(Adatlap!$L$1="Magyar","Jelölje be!","Please, check!"),"")</f>
        <v/>
      </c>
      <c r="C15" s="1236" t="str">
        <f>IF(Adatlap!$L$1="Magyar",Fordítások!C585,Fordítások!B585)</f>
        <v>Kijelentem, hogy a szórófejes palackok újratölthetőek és újrahasználhatóak.</v>
      </c>
      <c r="D15" s="1236"/>
      <c r="E15" s="1236"/>
      <c r="F15" s="1236"/>
      <c r="G15" s="1236"/>
      <c r="H15" s="1236"/>
      <c r="I15" s="1236"/>
      <c r="J15" s="1236"/>
      <c r="L15" s="649" t="b">
        <v>0</v>
      </c>
      <c r="O15" s="735"/>
    </row>
    <row r="16" ht="8.15" customHeight="1" hidden="1"/>
    <row r="17" spans="2:15" ht="25" customHeight="1" hidden="1">
      <c r="B17" s="596" t="str">
        <f>IF(AND($L$12=TRUE,L17=FALSE),IF(Adatlap!$L$1="Magyar","Jelölje be!","Please, check!"),"")</f>
        <v/>
      </c>
      <c r="C17" s="1236" t="str">
        <f>IF(Adatlap!$L$1="Magyar",Fordítások!C586,Fordítások!B586)</f>
        <v>Csatolom a megfelelő dokumentációt, amelyik leírja vagy bemutatja, hogy a csomagolás részét képező szórófejes palackokat hogyan lehet utántölteni.</v>
      </c>
      <c r="D17" s="1236"/>
      <c r="E17" s="1236"/>
      <c r="F17" s="1236"/>
      <c r="G17" s="1236"/>
      <c r="H17" s="1236"/>
      <c r="I17" s="1236"/>
      <c r="J17" s="1236"/>
      <c r="L17" s="649" t="b">
        <v>0</v>
      </c>
      <c r="O17" s="735"/>
    </row>
    <row r="18" ht="12.75" hidden="1"/>
    <row r="19" spans="1:15" ht="25" customHeight="1" hidden="1">
      <c r="A19" s="528" t="str">
        <f>IF(AND(L12=FALSE,L19=FALSE),IF(Adatlap!$L$1="Magyar","Jelölje be!","Please, check!"),"")</f>
        <v>Jelölje be!</v>
      </c>
      <c r="B19" s="1202" t="str">
        <f>IF(Adatlap!L$1="Magyar",Fordítások!C587,Fordítások!B587)</f>
        <v>Kijelentem, hogy az adott kiszerelés nem tartalmaz szórófejes palackot.</v>
      </c>
      <c r="C19" s="1202"/>
      <c r="D19" s="1202"/>
      <c r="E19" s="1202"/>
      <c r="F19" s="1202"/>
      <c r="G19" s="1202"/>
      <c r="H19" s="1202"/>
      <c r="I19" s="1202"/>
      <c r="J19" s="1202"/>
      <c r="L19" s="649" t="b">
        <v>0</v>
      </c>
      <c r="O19" s="735"/>
    </row>
    <row r="20" ht="12.75" hidden="1"/>
    <row r="21" spans="1:10" ht="13" hidden="1">
      <c r="A21" s="599" t="s">
        <v>1801</v>
      </c>
      <c r="B21" s="1336" t="str">
        <f>IF(Adatlap!L$1="Magyar",Fordítások!C588,Fordítások!B588)</f>
        <v>Csomagolás-visszaváltási rendszerek</v>
      </c>
      <c r="C21" s="1336"/>
      <c r="D21" s="1336"/>
      <c r="E21" s="1336"/>
      <c r="F21" s="1336"/>
      <c r="G21" s="1336"/>
      <c r="H21" s="1336"/>
      <c r="I21" s="1336"/>
      <c r="J21" s="1336"/>
    </row>
    <row r="22" ht="12.75" hidden="1"/>
    <row r="23" spans="1:15" ht="25" customHeight="1" hidden="1">
      <c r="A23" s="528" t="str">
        <f>IF(AND(L23=FALSE,L29=FALSE),IF(Adatlap!$L$1="Magyar","Jelölje be!","Please, check!"),"")</f>
        <v>Jelölje be!</v>
      </c>
      <c r="B23" s="1202" t="str">
        <f>IF(Adatlap!L$1="Magyar",Fordítások!C589,Fordítások!B589)</f>
        <v>Kijelentem, hogy a termék a termékre / az adott kiszerelésre vonatkozó visszaváltási rendszer hatálya alá tartozó csomagolásban kerül forgalomba.</v>
      </c>
      <c r="C23" s="1202"/>
      <c r="D23" s="1202"/>
      <c r="E23" s="1202"/>
      <c r="F23" s="1202"/>
      <c r="G23" s="1202"/>
      <c r="H23" s="1202"/>
      <c r="I23" s="1202"/>
      <c r="J23" s="1202"/>
      <c r="L23" s="649" t="b">
        <v>0</v>
      </c>
      <c r="O23" s="735"/>
    </row>
    <row r="24" spans="3:10" ht="12.75" customHeight="1" hidden="1">
      <c r="C24" s="656"/>
      <c r="D24" s="656"/>
      <c r="E24" s="656"/>
      <c r="F24" s="656"/>
      <c r="G24" s="656"/>
      <c r="H24" s="656"/>
      <c r="I24" s="656"/>
      <c r="J24" s="656"/>
    </row>
    <row r="25" spans="2:15" ht="25" customHeight="1" hidden="1">
      <c r="B25" s="596" t="str">
        <f>IF(AND($L$23=TRUE,L25=FALSE),IF(Adatlap!$L$1="Magyar","Jelölje be!","Please, check!"),"")</f>
        <v/>
      </c>
      <c r="C25" s="1236" t="str">
        <f>IF(Adatlap!$L$1="Magyar",Fordítások!C590,Fordítások!B590)</f>
        <v>Csatolom a megfelelő dokumentációt, amelyik leírja vagy bizonyítja, hogy a csomagolás-visszaváltási rendszer megvalósult.</v>
      </c>
      <c r="D25" s="1236"/>
      <c r="E25" s="1236"/>
      <c r="F25" s="1236"/>
      <c r="G25" s="1236"/>
      <c r="H25" s="1236"/>
      <c r="I25" s="1236"/>
      <c r="J25" s="1236"/>
      <c r="L25" s="649" t="b">
        <v>0</v>
      </c>
      <c r="O25" s="735"/>
    </row>
    <row r="26" ht="8.15" customHeight="1" hidden="1"/>
    <row r="27" spans="2:15" ht="25" customHeight="1" hidden="1">
      <c r="B27" s="596" t="str">
        <f>IF(AND($L$23=TRUE,L27=FALSE),IF(Adatlap!$L$1="Magyar","Jelölje be!","Please, check!"),"")</f>
        <v/>
      </c>
      <c r="C27" s="646" t="str">
        <f>IF(Adatlap!$L$1="Magyar",Fordítások!C591,Fordítások!B591)</f>
        <v>Az adott kiszerelés mentesül az 5. c) és d) pontokban megfogalmazott követelmények alól.</v>
      </c>
      <c r="L27" s="649" t="b">
        <v>0</v>
      </c>
      <c r="O27" s="735"/>
    </row>
    <row r="28" ht="8.15" customHeight="1" hidden="1"/>
    <row r="29" spans="1:18" ht="25" customHeight="1" hidden="1">
      <c r="A29" s="528" t="str">
        <f>IF(AND(L23=FALSE,L29=FALSE),IF(Adatlap!$L$1="Magyar","Jelölje be!","Please, check!"),"")</f>
        <v>Jelölje be!</v>
      </c>
      <c r="B29" s="1202" t="str">
        <f>IF(Adatlap!L$1="Magyar",Fordítások!C592,Fordítások!B592)</f>
        <v>Kijelentem, hogy a termék NEM a termékre / az adott kiszerelésre vonatkozó visszaváltási rendszer hatálya alá tartozó csomagolásban kerül forgalomba, így nem mentesül az 5. kritérium c) és d) pontjában megadott kritériumok alól. (A c) és d) pontokat ki kell tölteni.)</v>
      </c>
      <c r="C29" s="1202"/>
      <c r="D29" s="1202"/>
      <c r="E29" s="1202"/>
      <c r="F29" s="1202"/>
      <c r="G29" s="1202"/>
      <c r="H29" s="1202"/>
      <c r="I29" s="1202"/>
      <c r="J29" s="1202"/>
      <c r="L29" s="649" t="b">
        <v>0</v>
      </c>
      <c r="O29" s="735"/>
      <c r="R29" s="529"/>
    </row>
    <row r="30" spans="2:10" ht="12.75" hidden="1">
      <c r="B30" s="1202"/>
      <c r="C30" s="1202"/>
      <c r="D30" s="1202"/>
      <c r="E30" s="1202"/>
      <c r="F30" s="1202"/>
      <c r="G30" s="1202"/>
      <c r="H30" s="1202"/>
      <c r="I30" s="1202"/>
      <c r="J30" s="1202"/>
    </row>
    <row r="31" spans="2:10" ht="12.75" hidden="1">
      <c r="B31" s="645"/>
      <c r="C31" s="645"/>
      <c r="D31" s="645"/>
      <c r="E31" s="645"/>
      <c r="F31" s="645"/>
      <c r="G31" s="645"/>
      <c r="H31" s="645"/>
      <c r="I31" s="645"/>
      <c r="J31" s="645"/>
    </row>
    <row r="32" spans="1:18" ht="12.75">
      <c r="A32" s="599" t="str">
        <f>IF(Adatlap!M3=1,IF(Adatlap!L1="Magyar","c)","(c)"),IF(Adatlap!L1="Magyar","a)","(a)"))</f>
        <v>a)</v>
      </c>
      <c r="B32" s="660" t="str">
        <f>IF(Adatlap!$L$1="Magyar",Fordítások!C593,Fordítások!B593)</f>
        <v>Tömeg/hasznosság arány (THA)</v>
      </c>
      <c r="C32" s="645"/>
      <c r="D32" s="645"/>
      <c r="E32" s="645"/>
      <c r="F32" s="645"/>
      <c r="G32" s="645"/>
      <c r="H32" s="645"/>
      <c r="I32" s="645"/>
      <c r="J32" s="645"/>
      <c r="R32" s="529"/>
    </row>
    <row r="33" spans="2:18" ht="12.75">
      <c r="B33" s="645"/>
      <c r="C33" s="645"/>
      <c r="D33" s="645"/>
      <c r="E33" s="645"/>
      <c r="F33" s="645"/>
      <c r="G33" s="645"/>
      <c r="H33" s="645"/>
      <c r="I33" s="645"/>
      <c r="J33" s="645"/>
      <c r="R33" s="529"/>
    </row>
    <row r="34" spans="1:18" ht="27.75" customHeight="1">
      <c r="A34" s="917" t="s">
        <v>2241</v>
      </c>
      <c r="B34" s="1236" t="str">
        <f>IF(Adatlap!$L$1="Magyar",Fordítások!C594,Fordítások!B594)</f>
        <v>Kijelentem, hogy az adott kiszerelésben a termék elsődleges csomagolása TÖBB mint 80 %-ban újrahasznosított anyagokból készül.</v>
      </c>
      <c r="C34" s="1236"/>
      <c r="D34" s="1236"/>
      <c r="E34" s="1236"/>
      <c r="F34" s="1236"/>
      <c r="G34" s="1236"/>
      <c r="H34" s="1236"/>
      <c r="I34" s="1236"/>
      <c r="J34" s="1236"/>
      <c r="L34" s="649" t="b">
        <v>0</v>
      </c>
      <c r="O34" s="913" t="str">
        <f>IF(AND(L29=TRUE,L34=FALSE,L39=FALSE),IF(Adatlap!$L$1="Magyar","Jelölje be!","Please, check!"),"")</f>
        <v/>
      </c>
      <c r="P34" t="str">
        <f>IF(AND(L34=FALSE,L39=FALSE),IF(Adatlap!$L$1="Magyar","Jelölje be!","Please, check!"),"")</f>
        <v>Jelölje be!</v>
      </c>
      <c r="Q34">
        <f>IF(AND(L29=TRUE,L34=FALSE,L39=FALSE),1,0)</f>
        <v>0</v>
      </c>
      <c r="R34" s="523">
        <f>IF(AND(L34=FALSE,L39=FALSE),1,0)</f>
        <v>1</v>
      </c>
    </row>
    <row r="35" spans="1:10" ht="8.15" customHeight="1">
      <c r="A35" s="596"/>
      <c r="B35" s="651"/>
      <c r="C35" s="651"/>
      <c r="D35" s="651"/>
      <c r="E35" s="651"/>
      <c r="F35" s="651"/>
      <c r="G35" s="651"/>
      <c r="H35" s="651"/>
      <c r="I35" s="651"/>
      <c r="J35" s="651"/>
    </row>
    <row r="36" spans="1:2" ht="12.75">
      <c r="A36" s="596"/>
      <c r="B36" s="527" t="str">
        <f>IF(Adatlap!$L$1="Magyar",Fordítások!C595,Fordítások!B595)</f>
        <v>Csatolom a nyilatkozatot alátámasztó dokumentációt:</v>
      </c>
    </row>
    <row r="37" spans="1:15" ht="25" customHeight="1">
      <c r="A37" s="596"/>
      <c r="B37" s="596" t="str">
        <f>IF(AND($L$34=TRUE,L37=FALSE,L38=FALSE),IF(Adatlap!$L$1="Magyar","Jelölje be!","Please, check!"),"")</f>
        <v/>
      </c>
      <c r="C37" s="527" t="str">
        <f>IF(Adatlap!$L$1="Magyar",Fordítások!C596,Fordítások!B596)</f>
        <v>Gyártói nyilatkozat(ok)</v>
      </c>
      <c r="D37" s="651"/>
      <c r="E37" s="651"/>
      <c r="F37" s="651"/>
      <c r="G37" s="651"/>
      <c r="H37" s="651"/>
      <c r="I37" s="651"/>
      <c r="J37" s="651"/>
      <c r="L37" s="649" t="b">
        <v>0</v>
      </c>
      <c r="O37" s="735"/>
    </row>
    <row r="38" spans="2:15" ht="25" customHeight="1">
      <c r="B38" s="596" t="str">
        <f>IF(AND($L$34=TRUE,L37=FALSE,L38=FALSE),IF(Adatlap!$L$1="Magyar","Jelölje be!","Please, check!"),"")</f>
        <v/>
      </c>
      <c r="C38" s="646" t="str">
        <f>IF(Adatlap!$L$1="Magyar",Fordítások!C597,Fordítások!B597)</f>
        <v>Egyéb (nevezze meg):</v>
      </c>
      <c r="D38" s="645"/>
      <c r="E38" s="1348"/>
      <c r="F38" s="1348"/>
      <c r="G38" s="1348"/>
      <c r="H38" s="1348"/>
      <c r="I38" s="1348"/>
      <c r="J38" s="1348"/>
      <c r="L38" s="649" t="b">
        <v>0</v>
      </c>
      <c r="O38" s="735"/>
    </row>
    <row r="39" spans="1:15" ht="25" customHeight="1">
      <c r="A39" s="917" t="s">
        <v>2241</v>
      </c>
      <c r="B39" s="1236" t="str">
        <f>IF(Adatlap!$L$1="Magyar",Fordítások!C598,Fordítások!B598)</f>
        <v>Kijelentem, hogy az adott kiszerelés esetében a  termék elsődleges csomagolásához felhasznált újrahasznosított anyagok aránya KEVESEBB mint 80%.</v>
      </c>
      <c r="C39" s="1236"/>
      <c r="D39" s="1236"/>
      <c r="E39" s="1236"/>
      <c r="F39" s="1236"/>
      <c r="G39" s="1236"/>
      <c r="H39" s="1236"/>
      <c r="I39" s="1236"/>
      <c r="J39" s="1236"/>
      <c r="L39" s="649" t="b">
        <v>0</v>
      </c>
      <c r="O39" s="735"/>
    </row>
    <row r="40" spans="1:15" ht="25" customHeight="1">
      <c r="A40" s="596"/>
      <c r="B40" s="527" t="str">
        <f>B36</f>
        <v>Csatolom a nyilatkozatot alátámasztó dokumentációt:</v>
      </c>
      <c r="O40" s="735"/>
    </row>
    <row r="41" spans="1:15" ht="25" customHeight="1">
      <c r="A41" s="596"/>
      <c r="B41" s="596" t="str">
        <f>IF(AND($L$39=TRUE,L41=FALSE,L42=FALSE),IF(Adatlap!$L$1="Magyar","Jelölje be!","Please, check!"),"")</f>
        <v/>
      </c>
      <c r="C41" s="527" t="str">
        <f>C37</f>
        <v>Gyártói nyilatkozat(ok)</v>
      </c>
      <c r="D41" s="658"/>
      <c r="E41" s="658"/>
      <c r="F41" s="658"/>
      <c r="G41" s="658"/>
      <c r="H41" s="658"/>
      <c r="I41" s="658"/>
      <c r="J41" s="658"/>
      <c r="L41" s="649" t="b">
        <v>0</v>
      </c>
      <c r="O41" s="735"/>
    </row>
    <row r="42" spans="2:15" ht="25" customHeight="1">
      <c r="B42" s="596" t="str">
        <f>IF(AND($L$39=TRUE,L41=FALSE,L42=FALSE),IF(Adatlap!$L$1="Magyar","Jelölje be!","Please, check!"),"")</f>
        <v/>
      </c>
      <c r="C42" s="527" t="str">
        <f>C38</f>
        <v>Egyéb (nevezze meg):</v>
      </c>
      <c r="D42" s="657"/>
      <c r="E42" s="1348"/>
      <c r="F42" s="1348"/>
      <c r="G42" s="1348"/>
      <c r="H42" s="1348"/>
      <c r="I42" s="1348"/>
      <c r="J42" s="1348"/>
      <c r="L42" s="649" t="b">
        <v>0</v>
      </c>
      <c r="O42" s="735"/>
    </row>
    <row r="43" spans="1:15" ht="12.75" customHeight="1">
      <c r="A43" s="596"/>
      <c r="B43" s="651"/>
      <c r="C43" s="651"/>
      <c r="D43" s="651"/>
      <c r="E43" s="651"/>
      <c r="F43" s="651"/>
      <c r="G43" s="651"/>
      <c r="H43" s="651"/>
      <c r="I43" s="651"/>
      <c r="J43" s="651"/>
      <c r="O43" s="735"/>
    </row>
    <row r="44" spans="2:24" ht="24" customHeight="1">
      <c r="B44" s="596" t="str">
        <f>IF(AND($L$39=TRUE,L44=FALSE),IF(Adatlap!$L$1="Magyar","Jelölje be!","Please, check!"),"")</f>
        <v/>
      </c>
      <c r="C44" s="1236" t="str">
        <f>IF(Adatlap!$L$1="Magyar",Fordítások!C599,Fordítások!B599)</f>
        <v>Kijelentem, hogy az adott kiszerelés esetében a THA arány nem haladja meg a vonatkozó határértéket.</v>
      </c>
      <c r="D44" s="1236"/>
      <c r="E44" s="1236"/>
      <c r="F44" s="1236"/>
      <c r="G44" s="1236"/>
      <c r="H44" s="1236"/>
      <c r="I44" s="1236"/>
      <c r="J44" s="1236"/>
      <c r="L44" s="649" t="b">
        <v>0</v>
      </c>
      <c r="O44" s="1377" t="str">
        <f>IF(Adatlap!L1="Magyar","Hígítatlan termékek","Undiluted products")</f>
        <v>Hígítatlan termékek</v>
      </c>
      <c r="P44" s="1372" t="str">
        <f>IF(Adatlap!L1="Magyar","Használatra kész termékek","RTU products")</f>
        <v>Használatra kész termékek</v>
      </c>
      <c r="Q44" s="1372" t="str">
        <f>IF(Adatlap!L1="Magyar","Szórófejes palackokban értékesített, használatra kész termékek","RTU products sold in bottles with trigger sprays")</f>
        <v>Szórófejes palackokban értékesített, használatra kész termékek</v>
      </c>
      <c r="R44" s="1397" t="str">
        <f>IF(Adatlap!L1="Magyar","Por alakú mosószer","Powder laundry detergent")</f>
        <v>Por alakú mosószer</v>
      </c>
      <c r="S44" s="1397" t="str">
        <f>IF(Adatlap!L1="Magyar","Tablettás vagy kapszulás mosószer","Laundry detergents in tablets or capsules")</f>
        <v>Tablettás vagy kapszulás mosószer</v>
      </c>
      <c r="T44" s="1397" t="str">
        <f>IF(Adatlap!L1="Magyar","Folyékony/gél állagú (nem tablettás vagy kapszulás) mosószer","Liquid/gel laundry detergents (not in tablets or capsules)")</f>
        <v>Folyékony/gél állagú (nem tablettás vagy kapszulás) mosószer</v>
      </c>
      <c r="U44" s="1397" t="str">
        <f>IF(Adatlap!L1="Magyar",Fordítások!C259,Fordítások!B259)</f>
        <v>Folteltávolító (kizárólag előkezelésre)</v>
      </c>
      <c r="V44" s="1397" t="str">
        <f>IF(Adatlap!L1="Magyar",Fordítások!C251,Fordítások!B251)</f>
        <v>Kézi mosogatószer</v>
      </c>
      <c r="W44" s="1401" t="str">
        <f>IF(Adatlap!L1="Magyar","Gépi mosogatószer","Dishwasher detergent")</f>
        <v>Gépi mosogatószer</v>
      </c>
      <c r="X44" s="1401" t="str">
        <f>IF(Adatlap!M1="Magyar",Fordítások!D254,Fordítások!C254)</f>
        <v>Öblítő</v>
      </c>
    </row>
    <row r="45" spans="2:24" ht="12" customHeight="1">
      <c r="B45" s="596"/>
      <c r="C45" s="527"/>
      <c r="D45" s="651"/>
      <c r="O45" s="1377"/>
      <c r="P45" s="1372"/>
      <c r="Q45" s="1372"/>
      <c r="R45" s="1397"/>
      <c r="S45" s="1397"/>
      <c r="T45" s="1397"/>
      <c r="U45" s="1397"/>
      <c r="V45" s="1397"/>
      <c r="W45" s="1401"/>
      <c r="X45" s="1401"/>
    </row>
    <row r="46" spans="2:24" ht="12.75" customHeight="1">
      <c r="B46" s="1214" t="str">
        <f>IF(Adatlap!$L$1="Magyar",Fordítások!C7,Fordítások!B7)</f>
        <v>A termék fajtája:</v>
      </c>
      <c r="C46" s="1214"/>
      <c r="D46" s="1214"/>
      <c r="E46" s="1214"/>
      <c r="F46" s="1373" t="str">
        <f>IF(Adatlap!$L$1="Magyar",Fordítások!C601,Fordítások!B601)</f>
        <v>THA</v>
      </c>
      <c r="G46" s="1373"/>
      <c r="H46" s="1373" t="str">
        <f>IF(Adatlap!$L$1="Magyar",CONCATENATE(Fordítások!C601," ",Fordítások!C89),CONCATENATE(Fordítások!B601," ",Fordítások!B89))</f>
        <v>THA Határérték</v>
      </c>
      <c r="I46" s="1373"/>
      <c r="J46" s="648"/>
      <c r="O46" s="1377"/>
      <c r="P46" s="1372"/>
      <c r="Q46" s="1372"/>
      <c r="R46" s="1397"/>
      <c r="S46" s="1397"/>
      <c r="T46" s="1397"/>
      <c r="U46" s="1397"/>
      <c r="V46" s="1397"/>
      <c r="W46" s="1401"/>
      <c r="X46" s="1401"/>
    </row>
    <row r="47" spans="2:22" ht="12.75" customHeight="1">
      <c r="B47" s="1214"/>
      <c r="C47" s="1214"/>
      <c r="D47" s="1214"/>
      <c r="E47" s="1214"/>
      <c r="F47" s="1374" t="str">
        <f>IF(Adatlap!$L$1="Magyar",CONCATENATE("g/l ",Fordítások!C441),CONCATENATE("g/l ",Fordítások!B441))</f>
        <v>g/l tisztítószer oldat</v>
      </c>
      <c r="G47" s="1374"/>
      <c r="H47" s="1374" t="str">
        <f>F47</f>
        <v>g/l tisztítószer oldat</v>
      </c>
      <c r="I47" s="1374"/>
      <c r="J47" s="648"/>
      <c r="O47" s="1377"/>
      <c r="P47" s="1372"/>
      <c r="Q47" s="1372"/>
      <c r="R47" s="1397"/>
      <c r="S47" s="1397"/>
      <c r="T47" s="1397"/>
      <c r="U47" s="1397"/>
      <c r="V47" s="1397"/>
    </row>
    <row r="48" spans="2:16384" ht="27" customHeight="1">
      <c r="B48" s="1376" t="str">
        <f>HLOOKUP(TRUE,O48:X49,2,FALSE)</f>
        <v>Kézi mosogatószer</v>
      </c>
      <c r="C48" s="1376"/>
      <c r="D48" s="1376"/>
      <c r="E48" s="1376"/>
      <c r="F48" s="1375">
        <f>'Kiszerelés 1-4'!F21</f>
        <v>0</v>
      </c>
      <c r="G48" s="1375"/>
      <c r="H48" s="1375" t="e">
        <f>'Kiszerelés 1-4'!F22</f>
        <v>#N/A</v>
      </c>
      <c r="I48" s="1375"/>
      <c r="O48" s="131" t="b">
        <f>IF(OR(Termék!$C$24=Auswahldaten!$A$114,Termék!$C$24=Auswahldaten!$A$116,Termék!$C$24=Auswahldaten!$A$118,Termék!$C$24=Auswahldaten!$A$120),TRUE,FALSE)</f>
        <v>0</v>
      </c>
      <c r="P48" t="b">
        <f>IF(AND(OR(Termék!$C$24=Auswahldaten!$A$113,Termék!$C$24=Auswahldaten!$A$115,Termék!$C$24=Auswahldaten!$A$117,Termék!$C$24=Auswahldaten!$A$119),L12=FALSE),TRUE,FALSE)</f>
        <v>0</v>
      </c>
      <c r="Q48" t="b">
        <f>IF(AND(OR(Termék!$C$24=Auswahldaten!$A$113,Termék!$C$24=Auswahldaten!$A$115,Termék!$C$24=Auswahldaten!$A$117,Termék!$C$24=Auswahldaten!$A$119),L12=TRUE),TRUE,FALSE)</f>
        <v>0</v>
      </c>
      <c r="R48" s="523" t="b">
        <f>IF(AND(Adatlap!$M$3=3,Nyilatkozatok_LD!L9=TRUE),TRUE,FALSE)</f>
        <v>0</v>
      </c>
      <c r="S48" s="523" t="b">
        <f>IF(AND(Termék!$C$26=Auswahldaten!$A$96,'Kiszerelés 1-4'!$C$12=Auswahldaten!$A$158),TRUE,FALSE)</f>
        <v>0</v>
      </c>
      <c r="T48" s="523" t="b">
        <f>IF(AND(Nyilatkozatok_LD!L12=TRUE,Termék!C26=Auswahldaten!A9),TRUE,FALSE)</f>
        <v>0</v>
      </c>
      <c r="U48" s="523" t="b">
        <f>IF(Nyilatkozatok_LD!$L$21=TRUE,TRUE,FALSE)</f>
        <v>0</v>
      </c>
      <c r="V48" s="523" t="b">
        <f>IF(Adatlap!$M$3=2,TRUE,FALSE)</f>
        <v>1</v>
      </c>
      <c r="W48" s="523" t="b">
        <f>IF(OR(Termék!C24=Auswahldaten!A122,Termék!C24=Auswahldaten!A123),TRUE,FALSE)</f>
        <v>0</v>
      </c>
      <c r="X48" s="523" t="b">
        <f>IF(Termék!C24=Auswahldaten!A124,TRUE,FALSE)</f>
        <v>0</v>
      </c>
      <c r="XFD48" t="e">
        <f>SUM(A48:XFC48)</f>
        <v>#N/A</v>
      </c>
    </row>
    <row r="49" spans="2:24" ht="12.75">
      <c r="B49" s="596"/>
      <c r="C49" s="527"/>
      <c r="D49" s="651"/>
      <c r="O49" s="911" t="str">
        <f>IF(Adatlap!$L$1="Magyar","Hígítatlan termékek","Undiluted products")</f>
        <v>Hígítatlan termékek</v>
      </c>
      <c r="P49" s="673" t="str">
        <f>IF(Adatlap!$L$1="Magyar","Használatra kész termékek","RTU products")</f>
        <v>Használatra kész termékek</v>
      </c>
      <c r="Q49" s="673" t="str">
        <f>IF(Adatlap!$L$1="Magyar","Szórófejes palackokban értékesített, használatra kész termékek","RTU products sold in bottles with trigger sprays")</f>
        <v>Szórófejes palackokban értékesített, használatra kész termékek</v>
      </c>
      <c r="R49" s="533" t="str">
        <f>IF(Adatlap!$L$1="Magyar",R44,"Powder laundry detergents")</f>
        <v>Por alakú mosószer</v>
      </c>
      <c r="S49" s="533" t="str">
        <f>IF(Adatlap!$L$1="Magyar",S44,"Laundry detergents in tablets or capsules")</f>
        <v>Tablettás vagy kapszulás mosószer</v>
      </c>
      <c r="T49" s="533" t="str">
        <f>IF(Adatlap!$L$1="Magyar",T44,"Liquid/gel laundry detergents (not in tablets or capsules")</f>
        <v>Folyékony/gél állagú (nem tablettás vagy kapszulás) mosószer</v>
      </c>
      <c r="U49" s="533" t="str">
        <f>IF(Adatlap!$L$1="Magyar",Fordítások!$C$259,Fordítások!$B$259)</f>
        <v>Folteltávolító (kizárólag előkezelésre)</v>
      </c>
      <c r="V49" s="533" t="str">
        <f>IF(Adatlap!$L$1="Magyar",Fordítások!$C$251,Fordítások!$B$251)</f>
        <v>Kézi mosogatószer</v>
      </c>
      <c r="W49" s="930" t="str">
        <f>W44</f>
        <v>Gépi mosogatószer</v>
      </c>
      <c r="X49" s="930" t="str">
        <f>X44</f>
        <v>Öblítő</v>
      </c>
    </row>
    <row r="50" spans="2:15" ht="22.5" customHeight="1">
      <c r="B50" s="596" t="str">
        <f>IF(AND($L$39=TRUE,L50=FALSE),IF(Adatlap!$L$1="Magyar","Jelölje be!","Please, check!"),"")</f>
        <v/>
      </c>
      <c r="C50" s="1202" t="str">
        <f>IF(Adatlap!$L$1="Magyar",Fordítások!C604,Fordítások!B604)</f>
        <v>Csatolom a THA kiszámítását bemutató munkalapot.</v>
      </c>
      <c r="D50" s="1202"/>
      <c r="E50" s="1202"/>
      <c r="F50" s="1202"/>
      <c r="G50" s="1202"/>
      <c r="H50" s="1202"/>
      <c r="I50" s="1202"/>
      <c r="J50" s="1202"/>
      <c r="L50" s="649" t="b">
        <v>0</v>
      </c>
      <c r="O50" s="735"/>
    </row>
    <row r="51" spans="1:4" ht="26.15" customHeight="1">
      <c r="A51" s="599" t="str">
        <f>IF(Adatlap!M3=1,IF(Adatlap!L1="Magyar","d)","(d)"),IF(Adatlap!L1="Magyar","b)","(b)"))</f>
        <v>b)</v>
      </c>
      <c r="B51" s="672" t="str">
        <f>IF(Adatlap!$L$1="Magyar",Fordítások!C605,Fordítások!B605)</f>
        <v>Az újrahasznosítást megkönnyítő kialakítás</v>
      </c>
      <c r="C51" s="653"/>
      <c r="D51" s="651"/>
    </row>
    <row r="52" spans="2:4" ht="12.75">
      <c r="B52" s="674"/>
      <c r="C52" s="527"/>
      <c r="D52" s="651"/>
    </row>
    <row r="53" spans="1:15" ht="12.75">
      <c r="A53" s="1364" t="str">
        <f>IF(AND($L$29=TRUE,L53=FALSE),IF(Adatlap!$L$1="Magyar","Jelölje be!","Please, check!"),"")</f>
        <v/>
      </c>
      <c r="B53" s="1236" t="str">
        <f>IF(Adatlap!$L$1="Magyar",Fordítások!C606,Fordítások!B606)</f>
        <v>Kijelentem, hogy a termék csomagolása a következő anyagokból áll:</v>
      </c>
      <c r="C53" s="1236"/>
      <c r="D53" s="1236"/>
      <c r="E53" s="1236"/>
      <c r="F53" s="1236"/>
      <c r="G53" s="1236"/>
      <c r="H53" s="1236"/>
      <c r="I53" s="1236"/>
      <c r="J53" s="1236"/>
      <c r="L53" s="649" t="b">
        <v>0</v>
      </c>
      <c r="O53" s="735"/>
    </row>
    <row r="54" ht="12.75">
      <c r="A54" s="1364"/>
    </row>
    <row r="55" spans="2:9" ht="25" customHeight="1">
      <c r="B55" s="1370" t="str">
        <f>'Kiszerelés 1-4'!A$26</f>
        <v>A tartály vagy palack anyaga</v>
      </c>
      <c r="C55" s="1370"/>
      <c r="D55" s="1370" t="str">
        <f>IF('Kiszerelés 1-4'!D26="","",'Kiszerelés 1-4'!D26)</f>
        <v/>
      </c>
      <c r="E55" s="1370"/>
      <c r="F55" s="1370"/>
      <c r="G55" s="1370"/>
      <c r="H55" s="1370"/>
      <c r="I55" s="1370"/>
    </row>
    <row r="56" spans="2:9" ht="25" customHeight="1">
      <c r="B56" s="1370" t="str">
        <f>'Kiszerelés 1-4'!A$27</f>
        <v>A címke/ráhúzható címke anyaga</v>
      </c>
      <c r="C56" s="1370"/>
      <c r="D56" s="1370" t="str">
        <f>IF('Kiszerelés 1-4'!D27="","",'Kiszerelés 1-4'!D27)</f>
        <v/>
      </c>
      <c r="E56" s="1370"/>
      <c r="F56" s="1370"/>
      <c r="G56" s="1370"/>
      <c r="H56" s="1370"/>
      <c r="I56" s="1370"/>
    </row>
    <row r="57" spans="2:9" ht="25" customHeight="1">
      <c r="B57" s="1370" t="str">
        <f>'Kiszerelés 1-4'!A$28</f>
        <v>A záróelem anyaga</v>
      </c>
      <c r="C57" s="1370"/>
      <c r="D57" s="1370" t="str">
        <f>IF('Kiszerelés 1-4'!D28="","",'Kiszerelés 1-4'!D28)</f>
        <v/>
      </c>
      <c r="E57" s="1370"/>
      <c r="F57" s="1370"/>
      <c r="G57" s="1370"/>
      <c r="H57" s="1370"/>
      <c r="I57" s="1370"/>
    </row>
    <row r="58" spans="2:9" ht="25" customHeight="1">
      <c r="B58" s="1370" t="str">
        <f>'Kiszerelés 1-4'!A$29</f>
        <v>A záróréteg-bevonat anyaga</v>
      </c>
      <c r="C58" s="1370"/>
      <c r="D58" s="1370" t="str">
        <f>IF('Kiszerelés 1-4'!D29="","",'Kiszerelés 1-4'!D29)</f>
        <v/>
      </c>
      <c r="E58" s="1370"/>
      <c r="F58" s="1370"/>
      <c r="G58" s="1370"/>
      <c r="H58" s="1370"/>
      <c r="I58" s="1370"/>
    </row>
    <row r="59" spans="2:9" ht="25" customHeight="1">
      <c r="B59" s="1370" t="str">
        <f>IF(Adatlap!$L$1="Magyar",Fordítások!C608,Fordítások!B608)</f>
        <v>Ragasztók</v>
      </c>
      <c r="C59" s="1370"/>
      <c r="D59" s="1371"/>
      <c r="E59" s="1371"/>
      <c r="F59" s="1371"/>
      <c r="G59" s="1371"/>
      <c r="H59" s="1371"/>
      <c r="I59" s="1371"/>
    </row>
    <row r="60" ht="12.75"/>
    <row r="61" spans="2:15" ht="25" customHeight="1">
      <c r="B61" s="596" t="str">
        <f>IF(AND(L61=FALSE,L53=TRUE),IF(Adatlap!$L$1="Magyar","Jelölje be!","Please, check!"),"")</f>
        <v/>
      </c>
      <c r="C61" s="1202" t="str">
        <f>IF(Adatlap!$L$1="Magyar",Fordítások!C607,Fordítások!B607)</f>
        <v>Csatolom az elsődleges csomagolás fényképét vagy műszaki rajzokat  az elsődleges csomagolásról.</v>
      </c>
      <c r="D61" s="1202"/>
      <c r="E61" s="1202"/>
      <c r="F61" s="1202"/>
      <c r="G61" s="1202"/>
      <c r="H61" s="1202"/>
      <c r="I61" s="1202"/>
      <c r="J61" s="1202"/>
      <c r="L61" s="649" t="b">
        <v>0</v>
      </c>
      <c r="O61" s="735"/>
    </row>
    <row r="62" ht="18" customHeight="1"/>
    <row r="63" spans="1:16" ht="18" customHeight="1">
      <c r="A63" s="1365" t="str">
        <f>'Kiszerelés 1-4'!C31</f>
        <v>2. kiszerelés</v>
      </c>
      <c r="B63" s="1365"/>
      <c r="C63" s="1366" t="str">
        <f>IF('Kiszerelés 1-4'!C32="","",'Kiszerelés 1-4'!C32)</f>
        <v/>
      </c>
      <c r="D63" s="1366"/>
      <c r="E63" s="1366"/>
      <c r="F63" s="1366"/>
      <c r="G63" s="1366"/>
      <c r="H63" s="1366"/>
      <c r="I63" s="1366"/>
      <c r="P63" s="497"/>
    </row>
    <row r="64" ht="18" customHeight="1"/>
    <row r="65" spans="1:23" ht="13" hidden="1">
      <c r="A65" s="599" t="str">
        <f>A$10</f>
        <v>a)</v>
      </c>
      <c r="B65" s="1366" t="str">
        <f>B$10</f>
        <v>Szórófejes palackokban értékesített termékek</v>
      </c>
      <c r="C65" s="1366"/>
      <c r="D65" s="1366"/>
      <c r="E65" s="1366"/>
      <c r="F65" s="1366"/>
      <c r="G65" s="1366"/>
      <c r="H65" s="1366"/>
      <c r="I65" s="1366"/>
      <c r="O65" s="912"/>
      <c r="P65" s="1366"/>
      <c r="Q65" s="1366"/>
      <c r="R65" s="1366"/>
      <c r="S65" s="1366"/>
      <c r="T65" s="1366"/>
      <c r="U65" s="1366"/>
      <c r="V65" s="1366"/>
      <c r="W65" s="1366"/>
    </row>
    <row r="66" ht="12.75" customHeight="1" hidden="1"/>
    <row r="67" spans="1:24" ht="25" customHeight="1" hidden="1">
      <c r="A67" s="528" t="str">
        <f>IF(AND(L67=FALSE,L74=FALSE),IF(Adatlap!L1="Magyar","Jelölje be!","Please, check!"),"")</f>
        <v>Jelölje be!</v>
      </c>
      <c r="B67" s="1202" t="str">
        <f>B$12</f>
        <v>Kijelentem, hogy az adott kiszerelés esetében a termék szórófejes palackban kerül forgalomba.</v>
      </c>
      <c r="C67" s="1202">
        <f aca="true" t="shared" si="0" ref="C67:I67">C12</f>
        <v>0</v>
      </c>
      <c r="D67" s="1202">
        <f t="shared" si="0"/>
        <v>0</v>
      </c>
      <c r="E67" s="1202">
        <f t="shared" si="0"/>
        <v>0</v>
      </c>
      <c r="F67" s="1202">
        <f t="shared" si="0"/>
        <v>0</v>
      </c>
      <c r="G67" s="1202">
        <f t="shared" si="0"/>
        <v>0</v>
      </c>
      <c r="H67" s="1202">
        <f t="shared" si="0"/>
        <v>0</v>
      </c>
      <c r="I67" s="1202">
        <f t="shared" si="0"/>
        <v>0</v>
      </c>
      <c r="J67" s="1202"/>
      <c r="L67" s="649" t="b">
        <v>0</v>
      </c>
      <c r="P67" s="1398"/>
      <c r="Q67" s="1399"/>
      <c r="R67" s="1399"/>
      <c r="S67" s="1399"/>
      <c r="T67" s="1399"/>
      <c r="U67" s="1399"/>
      <c r="V67" s="1399"/>
      <c r="W67" s="1399"/>
      <c r="X67" s="1399"/>
    </row>
    <row r="68" spans="2:25" ht="25" customHeight="1" hidden="1">
      <c r="B68" s="596" t="str">
        <f>IF(AND($L$67=TRUE,L68=FALSE),IF(Adatlap!$L$1="Magyar","Jelölje be!","Please, check!"),"")</f>
        <v/>
      </c>
      <c r="C68" s="1236" t="str">
        <f>C$13</f>
        <v>Kijelentem, hogy az adott kiszerelésű termékeknél a szórófejes palackok nem tartalmaznak hajtógázt.</v>
      </c>
      <c r="D68" s="1236">
        <f aca="true" t="shared" si="1" ref="D68:I68">D13</f>
        <v>0</v>
      </c>
      <c r="E68" s="1236">
        <f t="shared" si="1"/>
        <v>0</v>
      </c>
      <c r="F68" s="1236">
        <f t="shared" si="1"/>
        <v>0</v>
      </c>
      <c r="G68" s="1236">
        <f t="shared" si="1"/>
        <v>0</v>
      </c>
      <c r="H68" s="1236">
        <f t="shared" si="1"/>
        <v>0</v>
      </c>
      <c r="I68" s="1236">
        <f t="shared" si="1"/>
        <v>0</v>
      </c>
      <c r="J68" s="1236"/>
      <c r="L68" s="649" t="b">
        <v>0</v>
      </c>
      <c r="Q68" s="1400"/>
      <c r="R68" s="1400"/>
      <c r="S68" s="1400"/>
      <c r="T68" s="1400"/>
      <c r="U68" s="1400"/>
      <c r="V68" s="1400"/>
      <c r="W68" s="1400"/>
      <c r="X68" s="1400"/>
      <c r="Y68" s="1400"/>
    </row>
    <row r="69" ht="8.15" customHeight="1" hidden="1"/>
    <row r="70" spans="2:12" ht="25" customHeight="1" hidden="1">
      <c r="B70" s="596" t="str">
        <f>IF(AND($L$67=TRUE,L70=FALSE),IF(Adatlap!$L$1="Magyar","Jelölje be!","Please, check!"),"")</f>
        <v/>
      </c>
      <c r="C70" s="1236" t="str">
        <f>C$15</f>
        <v>Kijelentem, hogy a szórófejes palackok újratölthetőek és újrahasználhatóak.</v>
      </c>
      <c r="D70" s="1236">
        <f aca="true" t="shared" si="2" ref="D70:I70">D15</f>
        <v>0</v>
      </c>
      <c r="E70" s="1236">
        <f t="shared" si="2"/>
        <v>0</v>
      </c>
      <c r="F70" s="1236">
        <f t="shared" si="2"/>
        <v>0</v>
      </c>
      <c r="G70" s="1236">
        <f t="shared" si="2"/>
        <v>0</v>
      </c>
      <c r="H70" s="1236">
        <f t="shared" si="2"/>
        <v>0</v>
      </c>
      <c r="I70" s="1236">
        <f t="shared" si="2"/>
        <v>0</v>
      </c>
      <c r="J70" s="1236"/>
      <c r="L70" s="649" t="b">
        <v>0</v>
      </c>
    </row>
    <row r="71" ht="8.15" customHeight="1" hidden="1"/>
    <row r="72" spans="2:12" ht="25" customHeight="1" hidden="1">
      <c r="B72" s="596" t="str">
        <f>IF(AND($L$67=TRUE,L72=FALSE),IF(Adatlap!$L$1="Magyar","Jelölje be!","Please, check!"),"")</f>
        <v/>
      </c>
      <c r="C72" s="1236" t="str">
        <f>C$17</f>
        <v>Csatolom a megfelelő dokumentációt, amelyik leírja vagy bemutatja, hogy a csomagolás részét képező szórófejes palackokat hogyan lehet utántölteni.</v>
      </c>
      <c r="D72" s="1236">
        <f aca="true" t="shared" si="3" ref="D72:I72">D17</f>
        <v>0</v>
      </c>
      <c r="E72" s="1236">
        <f t="shared" si="3"/>
        <v>0</v>
      </c>
      <c r="F72" s="1236">
        <f t="shared" si="3"/>
        <v>0</v>
      </c>
      <c r="G72" s="1236">
        <f t="shared" si="3"/>
        <v>0</v>
      </c>
      <c r="H72" s="1236">
        <f t="shared" si="3"/>
        <v>0</v>
      </c>
      <c r="I72" s="1236">
        <f t="shared" si="3"/>
        <v>0</v>
      </c>
      <c r="J72" s="1236"/>
      <c r="L72" s="649" t="b">
        <v>0</v>
      </c>
    </row>
    <row r="73" ht="8.5" customHeight="1" hidden="1"/>
    <row r="74" spans="1:12" ht="25" customHeight="1" hidden="1">
      <c r="A74" s="528" t="str">
        <f>IF(AND(L67=FALSE,L74=FALSE),IF(Adatlap!L1="Magyar","Jelölje be!","Please, check!"),"")</f>
        <v>Jelölje be!</v>
      </c>
      <c r="B74" s="1202" t="str">
        <f>B$19</f>
        <v>Kijelentem, hogy az adott kiszerelés nem tartalmaz szórófejes palackot.</v>
      </c>
      <c r="C74" s="1202">
        <f aca="true" t="shared" si="4" ref="C74:I74">C19</f>
        <v>0</v>
      </c>
      <c r="D74" s="1202">
        <f t="shared" si="4"/>
        <v>0</v>
      </c>
      <c r="E74" s="1202">
        <f t="shared" si="4"/>
        <v>0</v>
      </c>
      <c r="F74" s="1202">
        <f t="shared" si="4"/>
        <v>0</v>
      </c>
      <c r="G74" s="1202">
        <f t="shared" si="4"/>
        <v>0</v>
      </c>
      <c r="H74" s="1202">
        <f t="shared" si="4"/>
        <v>0</v>
      </c>
      <c r="I74" s="1202">
        <f t="shared" si="4"/>
        <v>0</v>
      </c>
      <c r="J74" s="1202"/>
      <c r="L74" s="649" t="b">
        <v>0</v>
      </c>
    </row>
    <row r="75" ht="12.75" customHeight="1" hidden="1"/>
    <row r="76" spans="1:10" ht="12.75" customHeight="1" hidden="1">
      <c r="A76" s="599" t="str">
        <f>A$21</f>
        <v xml:space="preserve">b) </v>
      </c>
      <c r="B76" s="1336" t="str">
        <f>B$21</f>
        <v>Csomagolás-visszaváltási rendszerek</v>
      </c>
      <c r="C76" s="1336">
        <f aca="true" t="shared" si="5" ref="C76:I76">C21</f>
        <v>0</v>
      </c>
      <c r="D76" s="1336">
        <f t="shared" si="5"/>
        <v>0</v>
      </c>
      <c r="E76" s="1336">
        <f t="shared" si="5"/>
        <v>0</v>
      </c>
      <c r="F76" s="1336">
        <f t="shared" si="5"/>
        <v>0</v>
      </c>
      <c r="G76" s="1336">
        <f t="shared" si="5"/>
        <v>0</v>
      </c>
      <c r="H76" s="1336">
        <f t="shared" si="5"/>
        <v>0</v>
      </c>
      <c r="I76" s="1336">
        <f t="shared" si="5"/>
        <v>0</v>
      </c>
      <c r="J76" s="1336"/>
    </row>
    <row r="77" ht="12.75" customHeight="1" hidden="1"/>
    <row r="78" spans="1:12" ht="25" customHeight="1" hidden="1">
      <c r="A78" s="528" t="str">
        <f>IF(AND(L78=FALSE,L84=FALSE),IF(Adatlap!$L$1="Magyar","Jelölje be!","Please, check!"),"")</f>
        <v>Jelölje be!</v>
      </c>
      <c r="B78" s="1202" t="str">
        <f>B$23</f>
        <v>Kijelentem, hogy a termék a termékre / az adott kiszerelésre vonatkozó visszaváltási rendszer hatálya alá tartozó csomagolásban kerül forgalomba.</v>
      </c>
      <c r="C78" s="1202">
        <f aca="true" t="shared" si="6" ref="C78:I78">C23</f>
        <v>0</v>
      </c>
      <c r="D78" s="1202">
        <f t="shared" si="6"/>
        <v>0</v>
      </c>
      <c r="E78" s="1202">
        <f t="shared" si="6"/>
        <v>0</v>
      </c>
      <c r="F78" s="1202">
        <f t="shared" si="6"/>
        <v>0</v>
      </c>
      <c r="G78" s="1202">
        <f t="shared" si="6"/>
        <v>0</v>
      </c>
      <c r="H78" s="1202">
        <f t="shared" si="6"/>
        <v>0</v>
      </c>
      <c r="I78" s="1202">
        <f t="shared" si="6"/>
        <v>0</v>
      </c>
      <c r="J78" s="1202"/>
      <c r="L78" s="649" t="b">
        <v>0</v>
      </c>
    </row>
    <row r="79" spans="3:10" ht="12.75" customHeight="1" hidden="1">
      <c r="C79" s="659"/>
      <c r="D79" s="659"/>
      <c r="E79" s="659"/>
      <c r="F79" s="659"/>
      <c r="G79" s="659"/>
      <c r="H79" s="659"/>
      <c r="I79" s="659"/>
      <c r="J79" s="659"/>
    </row>
    <row r="80" spans="2:12" ht="25" customHeight="1" hidden="1">
      <c r="B80" s="596" t="str">
        <f aca="true" t="shared" si="7" ref="B80:I80">B25</f>
        <v/>
      </c>
      <c r="C80" s="1236" t="str">
        <f>C$25</f>
        <v>Csatolom a megfelelő dokumentációt, amelyik leírja vagy bizonyítja, hogy a csomagolás-visszaváltási rendszer megvalósult.</v>
      </c>
      <c r="D80" s="1236">
        <f t="shared" si="7"/>
        <v>0</v>
      </c>
      <c r="E80" s="1236">
        <f t="shared" si="7"/>
        <v>0</v>
      </c>
      <c r="F80" s="1236">
        <f t="shared" si="7"/>
        <v>0</v>
      </c>
      <c r="G80" s="1236">
        <f t="shared" si="7"/>
        <v>0</v>
      </c>
      <c r="H80" s="1236">
        <f t="shared" si="7"/>
        <v>0</v>
      </c>
      <c r="I80" s="1236">
        <f t="shared" si="7"/>
        <v>0</v>
      </c>
      <c r="J80" s="1236"/>
      <c r="L80" s="649" t="b">
        <v>0</v>
      </c>
    </row>
    <row r="81" ht="8.15" customHeight="1" hidden="1"/>
    <row r="82" spans="2:12" ht="25" customHeight="1" hidden="1">
      <c r="B82" s="596" t="str">
        <f aca="true" t="shared" si="8" ref="B82">B27</f>
        <v/>
      </c>
      <c r="C82" s="1368" t="str">
        <f>C$27</f>
        <v>Az adott kiszerelés mentesül az 5. c) és d) pontokban megfogalmazott követelmények alól.</v>
      </c>
      <c r="D82" s="1368"/>
      <c r="E82" s="1368"/>
      <c r="F82" s="1368"/>
      <c r="G82" s="1368"/>
      <c r="H82" s="1368"/>
      <c r="I82" s="1368"/>
      <c r="J82" s="1368"/>
      <c r="L82" s="649" t="b">
        <v>0</v>
      </c>
    </row>
    <row r="83" ht="8.15" customHeight="1" hidden="1"/>
    <row r="84" spans="1:12" ht="25" customHeight="1" hidden="1">
      <c r="A84" s="528" t="str">
        <f>IF(AND(L78=FALSE,L84=FALSE),IF(Adatlap!$L$1="Magyar","Jelölje be!","Please, check!"),"")</f>
        <v>Jelölje be!</v>
      </c>
      <c r="B84" s="1202" t="str">
        <f>B$29</f>
        <v>Kijelentem, hogy a termék NEM a termékre / az adott kiszerelésre vonatkozó visszaváltási rendszer hatálya alá tartozó csomagolásban kerül forgalomba, így nem mentesül az 5. kritérium c) és d) pontjában megadott kritériumok alól. (A c) és d) pontokat ki kell tölteni.)</v>
      </c>
      <c r="C84" s="1202">
        <f aca="true" t="shared" si="9" ref="C84:I84">C29</f>
        <v>0</v>
      </c>
      <c r="D84" s="1202">
        <f t="shared" si="9"/>
        <v>0</v>
      </c>
      <c r="E84" s="1202">
        <f t="shared" si="9"/>
        <v>0</v>
      </c>
      <c r="F84" s="1202">
        <f t="shared" si="9"/>
        <v>0</v>
      </c>
      <c r="G84" s="1202">
        <f t="shared" si="9"/>
        <v>0</v>
      </c>
      <c r="H84" s="1202">
        <f t="shared" si="9"/>
        <v>0</v>
      </c>
      <c r="I84" s="1202">
        <f t="shared" si="9"/>
        <v>0</v>
      </c>
      <c r="J84" s="1202"/>
      <c r="L84" s="649" t="b">
        <v>0</v>
      </c>
    </row>
    <row r="85" spans="2:10" ht="12.75" customHeight="1" hidden="1">
      <c r="B85" s="1202">
        <f aca="true" t="shared" si="10" ref="B85:I85">B30</f>
        <v>0</v>
      </c>
      <c r="C85" s="1202">
        <f t="shared" si="10"/>
        <v>0</v>
      </c>
      <c r="D85" s="1202">
        <f t="shared" si="10"/>
        <v>0</v>
      </c>
      <c r="E85" s="1202">
        <f t="shared" si="10"/>
        <v>0</v>
      </c>
      <c r="F85" s="1202">
        <f t="shared" si="10"/>
        <v>0</v>
      </c>
      <c r="G85" s="1202">
        <f t="shared" si="10"/>
        <v>0</v>
      </c>
      <c r="H85" s="1202">
        <f t="shared" si="10"/>
        <v>0</v>
      </c>
      <c r="I85" s="1202">
        <f t="shared" si="10"/>
        <v>0</v>
      </c>
      <c r="J85" s="1202"/>
    </row>
    <row r="86" spans="2:10" ht="12.75" customHeight="1" hidden="1">
      <c r="B86" s="657"/>
      <c r="C86" s="657"/>
      <c r="D86" s="657"/>
      <c r="E86" s="657"/>
      <c r="F86" s="657"/>
      <c r="G86" s="657"/>
      <c r="H86" s="657"/>
      <c r="I86" s="657"/>
      <c r="J86" s="657"/>
    </row>
    <row r="87" spans="1:10" ht="12.75" customHeight="1">
      <c r="A87" s="599" t="str">
        <f>A$32</f>
        <v>a)</v>
      </c>
      <c r="B87" s="1369" t="str">
        <f>B$32</f>
        <v>Tömeg/hasznosság arány (THA)</v>
      </c>
      <c r="C87" s="1369"/>
      <c r="D87" s="1369"/>
      <c r="E87" s="1369"/>
      <c r="F87" s="1369"/>
      <c r="G87" s="1369"/>
      <c r="H87" s="1369"/>
      <c r="I87" s="1369"/>
      <c r="J87" s="1369"/>
    </row>
    <row r="88" spans="2:10" ht="12.75" customHeight="1">
      <c r="B88" s="657"/>
      <c r="C88" s="657"/>
      <c r="D88" s="657"/>
      <c r="E88" s="657"/>
      <c r="F88" s="657"/>
      <c r="G88" s="657"/>
      <c r="H88" s="657"/>
      <c r="I88" s="657"/>
      <c r="J88" s="657"/>
    </row>
    <row r="89" spans="1:18" ht="27.75" customHeight="1">
      <c r="A89" s="596" t="s">
        <v>2241</v>
      </c>
      <c r="B89" s="1236" t="str">
        <f>B$34</f>
        <v>Kijelentem, hogy az adott kiszerelésben a termék elsődleges csomagolása TÖBB mint 80 %-ban újrahasznosított anyagokból készül.</v>
      </c>
      <c r="C89" s="1236">
        <f aca="true" t="shared" si="11" ref="C89:I89">C34</f>
        <v>0</v>
      </c>
      <c r="D89" s="1236">
        <f t="shared" si="11"/>
        <v>0</v>
      </c>
      <c r="E89" s="1236">
        <f t="shared" si="11"/>
        <v>0</v>
      </c>
      <c r="F89" s="1236">
        <f t="shared" si="11"/>
        <v>0</v>
      </c>
      <c r="G89" s="1236">
        <f t="shared" si="11"/>
        <v>0</v>
      </c>
      <c r="H89" s="1236">
        <f t="shared" si="11"/>
        <v>0</v>
      </c>
      <c r="I89" s="1236">
        <f t="shared" si="11"/>
        <v>0</v>
      </c>
      <c r="J89" s="1236"/>
      <c r="L89" s="649" t="b">
        <v>0</v>
      </c>
      <c r="O89" s="913" t="str">
        <f>IF(AND(L84=TRUE,L89=FALSE,L94=FALSE),IF(Adatlap!$L$1="Magyar","Jelölje be!","Please, check!"),"")</f>
        <v/>
      </c>
      <c r="P89" t="str">
        <f>IF(AND(L89=FALSE,L94=FALSE),IF(Adatlap!$L$1="Magyar","Jelölje be!","Please, check!"),"")</f>
        <v>Jelölje be!</v>
      </c>
      <c r="Q89">
        <f>IF(AND(L84=TRUE,L89=FALSE,L94=FALSE),1,0)</f>
        <v>0</v>
      </c>
      <c r="R89" s="523">
        <f>IF(AND(L89=FALSE,L94=FALSE),1,0)</f>
        <v>1</v>
      </c>
    </row>
    <row r="90" spans="1:10" ht="8.15" customHeight="1">
      <c r="A90" s="596"/>
      <c r="B90" s="658"/>
      <c r="C90" s="658"/>
      <c r="D90" s="658"/>
      <c r="E90" s="658"/>
      <c r="F90" s="658"/>
      <c r="G90" s="658"/>
      <c r="H90" s="658"/>
      <c r="I90" s="658"/>
      <c r="J90" s="658"/>
    </row>
    <row r="91" spans="1:2" ht="12.75" customHeight="1">
      <c r="A91" s="596"/>
      <c r="B91" s="527" t="str">
        <f>B$36</f>
        <v>Csatolom a nyilatkozatot alátámasztó dokumentációt:</v>
      </c>
    </row>
    <row r="92" spans="1:12" ht="25" customHeight="1">
      <c r="A92" s="596"/>
      <c r="B92" s="596" t="str">
        <f>IF(AND($L$89=TRUE,L92=FALSE,L93=FALSE),IF(Adatlap!$L$1="Magyar","Jelölje be!","Please, check!"),"")</f>
        <v/>
      </c>
      <c r="C92" s="527" t="str">
        <f>C$37</f>
        <v>Gyártói nyilatkozat(ok)</v>
      </c>
      <c r="D92" s="527"/>
      <c r="E92" s="527"/>
      <c r="F92" s="527"/>
      <c r="G92" s="527"/>
      <c r="H92" s="527"/>
      <c r="I92" s="527"/>
      <c r="J92" s="527"/>
      <c r="L92" s="649" t="b">
        <v>0</v>
      </c>
    </row>
    <row r="93" spans="2:12" ht="25" customHeight="1">
      <c r="B93" s="596" t="str">
        <f>IF(AND($L$89=TRUE,L92=FALSE,L93=FALSE),IF(Adatlap!$L$1="Magyar","Jelölje be!","Please, check!"),"")</f>
        <v/>
      </c>
      <c r="C93" s="1367" t="str">
        <f>C$38</f>
        <v>Egyéb (nevezze meg):</v>
      </c>
      <c r="D93" s="1367"/>
      <c r="E93" s="1367"/>
      <c r="F93" s="1367"/>
      <c r="G93" s="1367"/>
      <c r="H93" s="1367"/>
      <c r="I93" s="1367"/>
      <c r="J93" s="1367"/>
      <c r="L93" s="649" t="b">
        <v>0</v>
      </c>
    </row>
    <row r="94" spans="1:12" ht="34.5" customHeight="1">
      <c r="A94" s="596" t="s">
        <v>2241</v>
      </c>
      <c r="B94" s="1202" t="str">
        <f aca="true" t="shared" si="12" ref="B94:I94">B39</f>
        <v>Kijelentem, hogy az adott kiszerelés esetében a  termék elsődleges csomagolásához felhasznált újrahasznosított anyagok aránya KEVESEBB mint 80%.</v>
      </c>
      <c r="C94" s="1202">
        <f t="shared" si="12"/>
        <v>0</v>
      </c>
      <c r="D94" s="1202">
        <f t="shared" si="12"/>
        <v>0</v>
      </c>
      <c r="E94" s="1202">
        <f t="shared" si="12"/>
        <v>0</v>
      </c>
      <c r="F94" s="1202">
        <f t="shared" si="12"/>
        <v>0</v>
      </c>
      <c r="G94" s="1202">
        <f t="shared" si="12"/>
        <v>0</v>
      </c>
      <c r="H94" s="1202">
        <f t="shared" si="12"/>
        <v>0</v>
      </c>
      <c r="I94" s="1202">
        <f t="shared" si="12"/>
        <v>0</v>
      </c>
      <c r="J94" s="1202"/>
      <c r="L94" s="649" t="b">
        <v>0</v>
      </c>
    </row>
    <row r="95" spans="1:2" ht="25" customHeight="1">
      <c r="A95" s="596"/>
      <c r="B95" s="527" t="str">
        <f>B$40</f>
        <v>Csatolom a nyilatkozatot alátámasztó dokumentációt:</v>
      </c>
    </row>
    <row r="96" spans="1:12" ht="25" customHeight="1">
      <c r="A96" s="596"/>
      <c r="B96" s="596" t="str">
        <f>IF(AND(L94=TRUE,L96=FALSE,L97=FALSE),IF(Adatlap!$L$1="Magyar","Jelölje be!","Please, check!"),"")</f>
        <v/>
      </c>
      <c r="C96" s="527" t="str">
        <f>C$41</f>
        <v>Gyártói nyilatkozat(ok)</v>
      </c>
      <c r="D96" s="658"/>
      <c r="E96" s="658"/>
      <c r="F96" s="658"/>
      <c r="G96" s="658"/>
      <c r="H96" s="658"/>
      <c r="I96" s="658"/>
      <c r="J96" s="658"/>
      <c r="L96" s="649" t="b">
        <v>0</v>
      </c>
    </row>
    <row r="97" spans="2:12" ht="25" customHeight="1">
      <c r="B97" s="596" t="str">
        <f>IF(AND(L94=TRUE,L96=FALSE,L97=FALSE),IF(Adatlap!$L$1="Magyar","Jelölje be!","Please, check!"),"")</f>
        <v/>
      </c>
      <c r="C97" s="527" t="str">
        <f>C$42</f>
        <v>Egyéb (nevezze meg):</v>
      </c>
      <c r="D97" s="657"/>
      <c r="E97" s="1382"/>
      <c r="F97" s="1382"/>
      <c r="G97" s="1382"/>
      <c r="H97" s="1382"/>
      <c r="I97" s="1382"/>
      <c r="J97" s="1382"/>
      <c r="L97" s="649" t="b">
        <v>0</v>
      </c>
    </row>
    <row r="98" spans="1:10" ht="12.75">
      <c r="A98" s="596"/>
      <c r="B98" s="658"/>
      <c r="C98" s="658"/>
      <c r="D98" s="658"/>
      <c r="E98" s="658"/>
      <c r="F98" s="658"/>
      <c r="G98" s="658"/>
      <c r="H98" s="658"/>
      <c r="I98" s="658"/>
      <c r="J98" s="658"/>
    </row>
    <row r="99" spans="2:25" ht="25" customHeight="1">
      <c r="B99" s="596" t="str">
        <f>IF(AND($L$94=TRUE,L99=FALSE),IF(Adatlap!$L$1="Magyar","Jelölje be!","Please, check!"),"")</f>
        <v/>
      </c>
      <c r="C99" s="1236" t="str">
        <f>C$44</f>
        <v>Kijelentem, hogy az adott kiszerelés esetében a THA arány nem haladja meg a vonatkozó határértéket.</v>
      </c>
      <c r="D99" s="1236">
        <f aca="true" t="shared" si="13" ref="D99:I99">D44</f>
        <v>0</v>
      </c>
      <c r="E99" s="1236">
        <f t="shared" si="13"/>
        <v>0</v>
      </c>
      <c r="F99" s="1236">
        <f t="shared" si="13"/>
        <v>0</v>
      </c>
      <c r="G99" s="1236">
        <f t="shared" si="13"/>
        <v>0</v>
      </c>
      <c r="H99" s="1236">
        <f t="shared" si="13"/>
        <v>0</v>
      </c>
      <c r="I99" s="1236">
        <f t="shared" si="13"/>
        <v>0</v>
      </c>
      <c r="J99" s="1236"/>
      <c r="L99" s="649" t="b">
        <v>0</v>
      </c>
      <c r="O99" s="1377" t="str">
        <f>O44</f>
        <v>Hígítatlan termékek</v>
      </c>
      <c r="P99" s="1377" t="str">
        <f aca="true" t="shared" si="14" ref="P99:X99">P44</f>
        <v>Használatra kész termékek</v>
      </c>
      <c r="Q99" s="1377" t="str">
        <f t="shared" si="14"/>
        <v>Szórófejes palackokban értékesített, használatra kész termékek</v>
      </c>
      <c r="R99" s="1377" t="str">
        <f t="shared" si="14"/>
        <v>Por alakú mosószer</v>
      </c>
      <c r="S99" s="1377" t="str">
        <f t="shared" si="14"/>
        <v>Tablettás vagy kapszulás mosószer</v>
      </c>
      <c r="T99" s="1377" t="str">
        <f t="shared" si="14"/>
        <v>Folyékony/gél állagú (nem tablettás vagy kapszulás) mosószer</v>
      </c>
      <c r="U99" s="1377" t="str">
        <f t="shared" si="14"/>
        <v>Folteltávolító (kizárólag előkezelésre)</v>
      </c>
      <c r="V99" s="1377" t="str">
        <f t="shared" si="14"/>
        <v>Kézi mosogatószer</v>
      </c>
      <c r="W99" s="1377" t="str">
        <f t="shared" si="14"/>
        <v>Gépi mosogatószer</v>
      </c>
      <c r="X99" s="1377" t="str">
        <f t="shared" si="14"/>
        <v>Öblítő</v>
      </c>
      <c r="Y99" s="1377"/>
    </row>
    <row r="100" spans="2:25" ht="12.75">
      <c r="B100" s="596"/>
      <c r="C100" s="527"/>
      <c r="D100" s="658"/>
      <c r="O100" s="1377"/>
      <c r="P100" s="1377"/>
      <c r="Q100" s="1377"/>
      <c r="R100" s="1377"/>
      <c r="S100" s="1377"/>
      <c r="T100" s="1377"/>
      <c r="U100" s="1377"/>
      <c r="V100" s="1377"/>
      <c r="W100" s="1377"/>
      <c r="X100" s="1377"/>
      <c r="Y100" s="1377"/>
    </row>
    <row r="101" spans="2:25" ht="12.75">
      <c r="B101" s="1214" t="str">
        <f>B$46</f>
        <v>A termék fajtája:</v>
      </c>
      <c r="C101" s="1214">
        <f aca="true" t="shared" si="15" ref="C101:I101">C46</f>
        <v>0</v>
      </c>
      <c r="D101" s="1214">
        <f t="shared" si="15"/>
        <v>0</v>
      </c>
      <c r="E101" s="1214">
        <f t="shared" si="15"/>
        <v>0</v>
      </c>
      <c r="F101" s="1373" t="str">
        <f>F$46</f>
        <v>THA</v>
      </c>
      <c r="G101" s="1373">
        <f t="shared" si="15"/>
        <v>0</v>
      </c>
      <c r="H101" s="1373" t="str">
        <f>H$46</f>
        <v>THA Határérték</v>
      </c>
      <c r="I101" s="1373">
        <f t="shared" si="15"/>
        <v>0</v>
      </c>
      <c r="J101" s="648"/>
      <c r="O101" s="1377"/>
      <c r="P101" s="1377"/>
      <c r="Q101" s="1377"/>
      <c r="R101" s="1377"/>
      <c r="S101" s="1377"/>
      <c r="T101" s="1377"/>
      <c r="U101" s="1377"/>
      <c r="V101" s="1377"/>
      <c r="W101" s="1377"/>
      <c r="X101" s="1377"/>
      <c r="Y101" s="1377"/>
    </row>
    <row r="102" spans="2:25" ht="12.75">
      <c r="B102" s="1214">
        <f aca="true" t="shared" si="16" ref="B102:I102">B47</f>
        <v>0</v>
      </c>
      <c r="C102" s="1214">
        <f t="shared" si="16"/>
        <v>0</v>
      </c>
      <c r="D102" s="1214">
        <f t="shared" si="16"/>
        <v>0</v>
      </c>
      <c r="E102" s="1214">
        <f t="shared" si="16"/>
        <v>0</v>
      </c>
      <c r="F102" s="1374" t="str">
        <f>F$47</f>
        <v>g/l tisztítószer oldat</v>
      </c>
      <c r="G102" s="1374">
        <f t="shared" si="16"/>
        <v>0</v>
      </c>
      <c r="H102" s="1374" t="str">
        <f>H$47</f>
        <v>g/l tisztítószer oldat</v>
      </c>
      <c r="I102" s="1374">
        <f t="shared" si="16"/>
        <v>0</v>
      </c>
      <c r="J102" s="648"/>
      <c r="O102" s="1377"/>
      <c r="P102" s="1377"/>
      <c r="Q102" s="1377"/>
      <c r="R102" s="1377"/>
      <c r="S102" s="1377"/>
      <c r="T102" s="1377"/>
      <c r="U102" s="1377"/>
      <c r="V102" s="1377"/>
      <c r="W102" s="1377"/>
      <c r="X102" s="1377"/>
      <c r="Y102" s="1377"/>
    </row>
    <row r="103" spans="2:24" ht="27" customHeight="1">
      <c r="B103" s="1376" t="str">
        <f>B48</f>
        <v>Kézi mosogatószer</v>
      </c>
      <c r="C103" s="1376"/>
      <c r="D103" s="1376"/>
      <c r="E103" s="1376"/>
      <c r="F103" s="1375">
        <f>'Kiszerelés 1-4'!F42</f>
        <v>0</v>
      </c>
      <c r="G103" s="1375">
        <f aca="true" t="shared" si="17" ref="G103:I103">G48</f>
        <v>0</v>
      </c>
      <c r="H103" s="1375" t="e">
        <f>'Kiszerelés 1-4'!F43</f>
        <v>#N/A</v>
      </c>
      <c r="I103" s="1375">
        <f t="shared" si="17"/>
        <v>0</v>
      </c>
      <c r="O103" s="131" t="b">
        <f>O48</f>
        <v>0</v>
      </c>
      <c r="P103" s="131" t="b">
        <f aca="true" t="shared" si="18" ref="P103:X103">P48</f>
        <v>0</v>
      </c>
      <c r="Q103" s="131" t="b">
        <f t="shared" si="18"/>
        <v>0</v>
      </c>
      <c r="R103" s="131" t="b">
        <f t="shared" si="18"/>
        <v>0</v>
      </c>
      <c r="S103" s="131" t="b">
        <f t="shared" si="18"/>
        <v>0</v>
      </c>
      <c r="T103" s="131" t="b">
        <f t="shared" si="18"/>
        <v>0</v>
      </c>
      <c r="U103" s="131" t="b">
        <f t="shared" si="18"/>
        <v>0</v>
      </c>
      <c r="V103" s="131" t="b">
        <f t="shared" si="18"/>
        <v>1</v>
      </c>
      <c r="W103" s="131" t="b">
        <f t="shared" si="18"/>
        <v>0</v>
      </c>
      <c r="X103" s="131" t="b">
        <f t="shared" si="18"/>
        <v>0</v>
      </c>
    </row>
    <row r="104" spans="2:24" ht="12.75">
      <c r="B104" s="596"/>
      <c r="C104" s="527"/>
      <c r="D104" s="658"/>
      <c r="O104" s="911" t="str">
        <f>O49</f>
        <v>Hígítatlan termékek</v>
      </c>
      <c r="P104" s="911" t="str">
        <f aca="true" t="shared" si="19" ref="P104:X104">P49</f>
        <v>Használatra kész termékek</v>
      </c>
      <c r="Q104" s="911" t="str">
        <f t="shared" si="19"/>
        <v>Szórófejes palackokban értékesített, használatra kész termékek</v>
      </c>
      <c r="R104" s="911" t="str">
        <f t="shared" si="19"/>
        <v>Por alakú mosószer</v>
      </c>
      <c r="S104" s="911" t="str">
        <f t="shared" si="19"/>
        <v>Tablettás vagy kapszulás mosószer</v>
      </c>
      <c r="T104" s="911" t="str">
        <f t="shared" si="19"/>
        <v>Folyékony/gél állagú (nem tablettás vagy kapszulás) mosószer</v>
      </c>
      <c r="U104" s="911" t="str">
        <f t="shared" si="19"/>
        <v>Folteltávolító (kizárólag előkezelésre)</v>
      </c>
      <c r="V104" s="911" t="str">
        <f t="shared" si="19"/>
        <v>Kézi mosogatószer</v>
      </c>
      <c r="W104" s="911" t="str">
        <f t="shared" si="19"/>
        <v>Gépi mosogatószer</v>
      </c>
      <c r="X104" s="911" t="str">
        <f t="shared" si="19"/>
        <v>Öblítő</v>
      </c>
    </row>
    <row r="105" spans="2:12" ht="25" customHeight="1">
      <c r="B105" s="596" t="str">
        <f>IF(AND($L$94=TRUE,L105=FALSE),IF(Adatlap!$L$1="Magyar","Jelölje be!","Please, check!"),"")</f>
        <v/>
      </c>
      <c r="C105" s="1202" t="str">
        <f>C$50</f>
        <v>Csatolom a THA kiszámítását bemutató munkalapot.</v>
      </c>
      <c r="D105" s="1202">
        <f aca="true" t="shared" si="20" ref="D105:I105">D50</f>
        <v>0</v>
      </c>
      <c r="E105" s="1202">
        <f t="shared" si="20"/>
        <v>0</v>
      </c>
      <c r="F105" s="1202">
        <f t="shared" si="20"/>
        <v>0</v>
      </c>
      <c r="G105" s="1202">
        <f t="shared" si="20"/>
        <v>0</v>
      </c>
      <c r="H105" s="1202">
        <f t="shared" si="20"/>
        <v>0</v>
      </c>
      <c r="I105" s="1202">
        <f t="shared" si="20"/>
        <v>0</v>
      </c>
      <c r="J105" s="1202"/>
      <c r="L105" s="649" t="b">
        <v>0</v>
      </c>
    </row>
    <row r="106" spans="1:9" ht="26.15" customHeight="1">
      <c r="A106" s="599" t="str">
        <f>A$51</f>
        <v>b)</v>
      </c>
      <c r="B106" s="1366" t="str">
        <f>B$51</f>
        <v>Az újrahasznosítást megkönnyítő kialakítás</v>
      </c>
      <c r="C106" s="1366"/>
      <c r="D106" s="1366"/>
      <c r="E106" s="1366"/>
      <c r="F106" s="1366"/>
      <c r="G106" s="1366"/>
      <c r="H106" s="1366"/>
      <c r="I106" s="1366"/>
    </row>
    <row r="107" spans="2:4" ht="12.75">
      <c r="B107" s="674"/>
      <c r="C107" s="527"/>
      <c r="D107" s="658"/>
    </row>
    <row r="108" spans="1:12" ht="12.75">
      <c r="A108" s="1364" t="str">
        <f>IF(AND($L$84=TRUE,L108=FALSE),IF(Adatlap!$L$1="Magyar","Jelölje be!","Please, check!"),"")</f>
        <v/>
      </c>
      <c r="B108" s="1236" t="str">
        <f>B$53</f>
        <v>Kijelentem, hogy a termék csomagolása a következő anyagokból áll:</v>
      </c>
      <c r="C108" s="1236">
        <f aca="true" t="shared" si="21" ref="C108:I108">C53</f>
        <v>0</v>
      </c>
      <c r="D108" s="1236">
        <f t="shared" si="21"/>
        <v>0</v>
      </c>
      <c r="E108" s="1236">
        <f t="shared" si="21"/>
        <v>0</v>
      </c>
      <c r="F108" s="1236">
        <f t="shared" si="21"/>
        <v>0</v>
      </c>
      <c r="G108" s="1236">
        <f t="shared" si="21"/>
        <v>0</v>
      </c>
      <c r="H108" s="1236">
        <f t="shared" si="21"/>
        <v>0</v>
      </c>
      <c r="I108" s="1236">
        <f t="shared" si="21"/>
        <v>0</v>
      </c>
      <c r="J108" s="1236"/>
      <c r="L108" s="649" t="b">
        <v>0</v>
      </c>
    </row>
    <row r="109" ht="12.75">
      <c r="A109" s="1364">
        <f aca="true" t="shared" si="22" ref="A109">A54</f>
        <v>0</v>
      </c>
    </row>
    <row r="110" spans="2:9" ht="25" customHeight="1">
      <c r="B110" s="1370" t="str">
        <f>B$55</f>
        <v>A tartály vagy palack anyaga</v>
      </c>
      <c r="C110" s="1370">
        <f aca="true" t="shared" si="23" ref="C110:I110">C55</f>
        <v>0</v>
      </c>
      <c r="D110" s="1370" t="str">
        <f>IF('Kiszerelés 1-4'!D47="","",'Kiszerelés 1-4'!D47:F47)</f>
        <v/>
      </c>
      <c r="E110" s="1370">
        <f t="shared" si="23"/>
        <v>0</v>
      </c>
      <c r="F110" s="1370">
        <f t="shared" si="23"/>
        <v>0</v>
      </c>
      <c r="G110" s="1370">
        <f t="shared" si="23"/>
        <v>0</v>
      </c>
      <c r="H110" s="1370">
        <f t="shared" si="23"/>
        <v>0</v>
      </c>
      <c r="I110" s="1370">
        <f t="shared" si="23"/>
        <v>0</v>
      </c>
    </row>
    <row r="111" spans="2:9" ht="25" customHeight="1">
      <c r="B111" s="1370" t="str">
        <f>B$56</f>
        <v>A címke/ráhúzható címke anyaga</v>
      </c>
      <c r="C111" s="1370">
        <f aca="true" t="shared" si="24" ref="C111">C56</f>
        <v>0</v>
      </c>
      <c r="D111" s="1370">
        <f>'Kiszerelés 1-4'!D48:F48</f>
        <v>0</v>
      </c>
      <c r="E111" s="1370"/>
      <c r="F111" s="1370"/>
      <c r="G111" s="1370"/>
      <c r="H111" s="1370"/>
      <c r="I111" s="1370"/>
    </row>
    <row r="112" spans="2:9" ht="25" customHeight="1">
      <c r="B112" s="1370" t="str">
        <f>B$57</f>
        <v>A záróelem anyaga</v>
      </c>
      <c r="C112" s="1370">
        <f aca="true" t="shared" si="25" ref="C112">C57</f>
        <v>0</v>
      </c>
      <c r="D112" s="1370">
        <f>'Kiszerelés 1-4'!D49:F49</f>
        <v>0</v>
      </c>
      <c r="E112" s="1370"/>
      <c r="F112" s="1370"/>
      <c r="G112" s="1370"/>
      <c r="H112" s="1370"/>
      <c r="I112" s="1370"/>
    </row>
    <row r="113" spans="2:9" ht="25" customHeight="1">
      <c r="B113" s="1370" t="str">
        <f>B$58</f>
        <v>A záróréteg-bevonat anyaga</v>
      </c>
      <c r="C113" s="1370">
        <f aca="true" t="shared" si="26" ref="C113">C58</f>
        <v>0</v>
      </c>
      <c r="D113" s="1370">
        <f>'Kiszerelés 1-4'!D50:F50</f>
        <v>0</v>
      </c>
      <c r="E113" s="1370"/>
      <c r="F113" s="1370"/>
      <c r="G113" s="1370"/>
      <c r="H113" s="1370"/>
      <c r="I113" s="1370"/>
    </row>
    <row r="114" spans="2:9" ht="25" customHeight="1">
      <c r="B114" s="1370" t="str">
        <f>B$59</f>
        <v>Ragasztók</v>
      </c>
      <c r="C114" s="1370">
        <f aca="true" t="shared" si="27" ref="C114">C59</f>
        <v>0</v>
      </c>
      <c r="D114" s="1371"/>
      <c r="E114" s="1371"/>
      <c r="F114" s="1371"/>
      <c r="G114" s="1371"/>
      <c r="H114" s="1371"/>
      <c r="I114" s="1371"/>
    </row>
    <row r="115" ht="12.75"/>
    <row r="116" spans="2:12" ht="25" customHeight="1">
      <c r="B116" s="596" t="str">
        <f>IF(AND(L116=FALSE,L108=TRUE),IF(Adatlap!$L$1="Magyar","Jelölje be!","Please, check!"),"")</f>
        <v/>
      </c>
      <c r="C116" s="1202" t="str">
        <f>C$61</f>
        <v>Csatolom az elsődleges csomagolás fényképét vagy műszaki rajzokat  az elsődleges csomagolásról.</v>
      </c>
      <c r="D116" s="1202"/>
      <c r="E116" s="1202"/>
      <c r="F116" s="1202"/>
      <c r="G116" s="1202"/>
      <c r="H116" s="1202"/>
      <c r="I116" s="1202"/>
      <c r="J116" s="1202"/>
      <c r="L116" s="649" t="b">
        <v>0</v>
      </c>
    </row>
    <row r="118" spans="1:10" ht="13">
      <c r="A118" s="1379" t="str">
        <f>'Kiszerelés 1-4'!J10</f>
        <v>3. kiszerelés</v>
      </c>
      <c r="B118" s="1379"/>
      <c r="C118" s="1380" t="str">
        <f>IF('Kiszerelés 1-4'!J11="","",'Kiszerelés 1-4'!J11)</f>
        <v/>
      </c>
      <c r="D118" s="1380"/>
      <c r="E118" s="1380"/>
      <c r="F118" s="1380"/>
      <c r="G118" s="1380"/>
      <c r="H118" s="1380"/>
      <c r="I118" s="1380"/>
      <c r="J118" s="1380"/>
    </row>
    <row r="120" spans="1:10" ht="13" hidden="1">
      <c r="A120" s="599" t="str">
        <f>A10</f>
        <v>a)</v>
      </c>
      <c r="B120" s="1336" t="str">
        <f>B10</f>
        <v>Szórófejes palackokban értékesített termékek</v>
      </c>
      <c r="C120" s="1336"/>
      <c r="D120" s="1336"/>
      <c r="E120" s="1336"/>
      <c r="F120" s="1336"/>
      <c r="G120" s="1336"/>
      <c r="H120" s="1336"/>
      <c r="I120" s="1336"/>
      <c r="J120" s="1336"/>
    </row>
    <row r="121" ht="12.75" hidden="1"/>
    <row r="122" spans="1:12" ht="25" customHeight="1" hidden="1">
      <c r="A122" s="528" t="str">
        <f>IF(AND(L122=FALSE,L129=FALSE),IF(Adatlap!$L$1="Magyar","Jelölje be!","Please, check!"),"")</f>
        <v>Jelölje be!</v>
      </c>
      <c r="B122" s="1140" t="str">
        <f>B12</f>
        <v>Kijelentem, hogy az adott kiszerelés esetében a termék szórófejes palackban kerül forgalomba.</v>
      </c>
      <c r="C122" s="1140"/>
      <c r="D122" s="1140"/>
      <c r="E122" s="1140"/>
      <c r="F122" s="1140"/>
      <c r="G122" s="1140"/>
      <c r="H122" s="1140"/>
      <c r="I122" s="1140"/>
      <c r="J122" s="1140"/>
      <c r="L122" s="649" t="b">
        <v>0</v>
      </c>
    </row>
    <row r="123" spans="2:12" ht="25" customHeight="1" hidden="1">
      <c r="B123" s="596" t="str">
        <f>IF(AND($L$122=TRUE,L123=FALSE),IF(Adatlap!$L$1="Magyar","Jelölje be!","Please, check!"),"")</f>
        <v/>
      </c>
      <c r="C123" s="1236" t="str">
        <f aca="true" t="shared" si="28" ref="C123:I123">C68</f>
        <v>Kijelentem, hogy az adott kiszerelésű termékeknél a szórófejes palackok nem tartalmaznak hajtógázt.</v>
      </c>
      <c r="D123" s="1236">
        <f t="shared" si="28"/>
        <v>0</v>
      </c>
      <c r="E123" s="1236">
        <f t="shared" si="28"/>
        <v>0</v>
      </c>
      <c r="F123" s="1236">
        <f t="shared" si="28"/>
        <v>0</v>
      </c>
      <c r="G123" s="1236">
        <f t="shared" si="28"/>
        <v>0</v>
      </c>
      <c r="H123" s="1236">
        <f t="shared" si="28"/>
        <v>0</v>
      </c>
      <c r="I123" s="1236">
        <f t="shared" si="28"/>
        <v>0</v>
      </c>
      <c r="J123" s="1236"/>
      <c r="L123" s="649" t="b">
        <v>0</v>
      </c>
    </row>
    <row r="124" ht="8.15" customHeight="1" hidden="1"/>
    <row r="125" spans="2:12" ht="25" customHeight="1" hidden="1">
      <c r="B125" s="596" t="str">
        <f>IF(AND($L$122=TRUE,L125=FALSE),IF(Adatlap!$L$1="Magyar","Jelölje be!","Please, check!"),"")</f>
        <v/>
      </c>
      <c r="C125" s="1236" t="str">
        <f aca="true" t="shared" si="29" ref="C125:I125">C70</f>
        <v>Kijelentem, hogy a szórófejes palackok újratölthetőek és újrahasználhatóak.</v>
      </c>
      <c r="D125" s="1236">
        <f t="shared" si="29"/>
        <v>0</v>
      </c>
      <c r="E125" s="1236">
        <f t="shared" si="29"/>
        <v>0</v>
      </c>
      <c r="F125" s="1236">
        <f t="shared" si="29"/>
        <v>0</v>
      </c>
      <c r="G125" s="1236">
        <f t="shared" si="29"/>
        <v>0</v>
      </c>
      <c r="H125" s="1236">
        <f t="shared" si="29"/>
        <v>0</v>
      </c>
      <c r="I125" s="1236">
        <f t="shared" si="29"/>
        <v>0</v>
      </c>
      <c r="J125" s="1236"/>
      <c r="L125" s="649" t="b">
        <v>0</v>
      </c>
    </row>
    <row r="126" ht="8.15" customHeight="1" hidden="1"/>
    <row r="127" spans="2:12" ht="25" customHeight="1" hidden="1">
      <c r="B127" s="596" t="str">
        <f>IF(AND($L$122=TRUE,L127=FALSE),IF(Adatlap!$L$1="Magyar","Jelölje be!","Please, check!"),"")</f>
        <v/>
      </c>
      <c r="C127" s="1236" t="str">
        <f aca="true" t="shared" si="30" ref="C127:I127">C72</f>
        <v>Csatolom a megfelelő dokumentációt, amelyik leírja vagy bemutatja, hogy a csomagolás részét képező szórófejes palackokat hogyan lehet utántölteni.</v>
      </c>
      <c r="D127" s="1236">
        <f t="shared" si="30"/>
        <v>0</v>
      </c>
      <c r="E127" s="1236">
        <f t="shared" si="30"/>
        <v>0</v>
      </c>
      <c r="F127" s="1236">
        <f t="shared" si="30"/>
        <v>0</v>
      </c>
      <c r="G127" s="1236">
        <f t="shared" si="30"/>
        <v>0</v>
      </c>
      <c r="H127" s="1236">
        <f t="shared" si="30"/>
        <v>0</v>
      </c>
      <c r="I127" s="1236">
        <f t="shared" si="30"/>
        <v>0</v>
      </c>
      <c r="J127" s="1236"/>
      <c r="L127" s="649" t="b">
        <v>0</v>
      </c>
    </row>
    <row r="128" ht="12.75" hidden="1"/>
    <row r="129" spans="1:12" ht="25" customHeight="1" hidden="1">
      <c r="A129" s="528" t="str">
        <f>IF(AND(L122=FALSE,L129=FALSE),IF(Adatlap!$L$1="Magyar","Jelölje be!","Please, check!"),"")</f>
        <v>Jelölje be!</v>
      </c>
      <c r="B129" s="1140" t="str">
        <f>B19</f>
        <v>Kijelentem, hogy az adott kiszerelés nem tartalmaz szórófejes palackot.</v>
      </c>
      <c r="C129" s="1140"/>
      <c r="D129" s="1140"/>
      <c r="E129" s="1140"/>
      <c r="F129" s="1140"/>
      <c r="G129" s="1140"/>
      <c r="H129" s="1140"/>
      <c r="I129" s="1140"/>
      <c r="J129" s="1140"/>
      <c r="L129" s="649" t="b">
        <v>0</v>
      </c>
    </row>
    <row r="130" ht="12.75" hidden="1"/>
    <row r="131" spans="1:15" ht="13" hidden="1">
      <c r="A131" s="599" t="s">
        <v>1801</v>
      </c>
      <c r="B131" s="1336" t="str">
        <f>B21</f>
        <v>Csomagolás-visszaváltási rendszerek</v>
      </c>
      <c r="C131" s="1336"/>
      <c r="D131" s="1336"/>
      <c r="E131" s="1336"/>
      <c r="F131" s="1336"/>
      <c r="G131" s="1336"/>
      <c r="H131" s="1336"/>
      <c r="I131" s="1336"/>
      <c r="J131" s="1336"/>
      <c r="O131" s="913"/>
    </row>
    <row r="132" ht="12.75" hidden="1"/>
    <row r="133" spans="1:12" ht="25" customHeight="1" hidden="1">
      <c r="A133" s="528" t="str">
        <f>IF(AND(L133=FALSE,L139=FALSE),IF(Adatlap!$L$1="Magyar","Jelölje be!","Please, check!"),"")</f>
        <v>Jelölje be!</v>
      </c>
      <c r="B133" s="1140" t="str">
        <f>B23</f>
        <v>Kijelentem, hogy a termék a termékre / az adott kiszerelésre vonatkozó visszaváltási rendszer hatálya alá tartozó csomagolásban kerül forgalomba.</v>
      </c>
      <c r="C133" s="1140"/>
      <c r="D133" s="1140"/>
      <c r="E133" s="1140"/>
      <c r="F133" s="1140"/>
      <c r="G133" s="1140"/>
      <c r="H133" s="1140"/>
      <c r="I133" s="1140"/>
      <c r="J133" s="1140"/>
      <c r="L133" s="649" t="b">
        <v>0</v>
      </c>
    </row>
    <row r="134" spans="3:10" ht="12.75" hidden="1">
      <c r="C134" s="659"/>
      <c r="D134" s="659"/>
      <c r="E134" s="659"/>
      <c r="F134" s="659"/>
      <c r="G134" s="659"/>
      <c r="H134" s="659"/>
      <c r="I134" s="659"/>
      <c r="J134" s="659"/>
    </row>
    <row r="135" spans="2:12" ht="25" customHeight="1" hidden="1">
      <c r="B135" s="596" t="str">
        <f>IF(AND($L$133=TRUE,L135=FALSE),IF(Adatlap!$L$1="Magyar","Jelölje be!","Please, check!"),"")</f>
        <v/>
      </c>
      <c r="C135" s="1236" t="str">
        <f aca="true" t="shared" si="31" ref="C135:I135">C80</f>
        <v>Csatolom a megfelelő dokumentációt, amelyik leírja vagy bizonyítja, hogy a csomagolás-visszaváltási rendszer megvalósult.</v>
      </c>
      <c r="D135" s="1236">
        <f t="shared" si="31"/>
        <v>0</v>
      </c>
      <c r="E135" s="1236">
        <f t="shared" si="31"/>
        <v>0</v>
      </c>
      <c r="F135" s="1236">
        <f t="shared" si="31"/>
        <v>0</v>
      </c>
      <c r="G135" s="1236">
        <f t="shared" si="31"/>
        <v>0</v>
      </c>
      <c r="H135" s="1236">
        <f t="shared" si="31"/>
        <v>0</v>
      </c>
      <c r="I135" s="1236">
        <f t="shared" si="31"/>
        <v>0</v>
      </c>
      <c r="J135" s="1236"/>
      <c r="L135" s="649" t="b">
        <v>0</v>
      </c>
    </row>
    <row r="136" ht="8.15" customHeight="1" hidden="1"/>
    <row r="137" spans="2:12" ht="25" customHeight="1" hidden="1">
      <c r="B137" s="596" t="str">
        <f>IF(AND(L133=TRUE,L137=FALSE),IF(Adatlap!$L$1="Magyar","Jelölje be!","Please, check!"),"")</f>
        <v/>
      </c>
      <c r="C137" s="1202" t="str">
        <f aca="true" t="shared" si="32" ref="C137:I137">C82</f>
        <v>Az adott kiszerelés mentesül az 5. c) és d) pontokban megfogalmazott követelmények alól.</v>
      </c>
      <c r="D137" s="1202">
        <f t="shared" si="32"/>
        <v>0</v>
      </c>
      <c r="E137" s="1202">
        <f t="shared" si="32"/>
        <v>0</v>
      </c>
      <c r="F137" s="1202">
        <f t="shared" si="32"/>
        <v>0</v>
      </c>
      <c r="G137" s="1202">
        <f t="shared" si="32"/>
        <v>0</v>
      </c>
      <c r="H137" s="1202">
        <f t="shared" si="32"/>
        <v>0</v>
      </c>
      <c r="I137" s="1202">
        <f t="shared" si="32"/>
        <v>0</v>
      </c>
      <c r="J137" s="1202"/>
      <c r="L137" s="649" t="b">
        <v>0</v>
      </c>
    </row>
    <row r="138" ht="8.15" customHeight="1" hidden="1"/>
    <row r="139" spans="1:12" ht="25" customHeight="1" hidden="1">
      <c r="A139" s="528" t="str">
        <f>IF(AND(L133=FALSE,L139=FALSE),IF(Adatlap!$L$1="Magyar","Jelölje be!","Please, check!"),"")</f>
        <v>Jelölje be!</v>
      </c>
      <c r="B139" s="1202" t="str">
        <f>B29</f>
        <v>Kijelentem, hogy a termék NEM a termékre / az adott kiszerelésre vonatkozó visszaváltási rendszer hatálya alá tartozó csomagolásban kerül forgalomba, így nem mentesül az 5. kritérium c) és d) pontjában megadott kritériumok alól. (A c) és d) pontokat ki kell tölteni.)</v>
      </c>
      <c r="C139" s="1202"/>
      <c r="D139" s="1202"/>
      <c r="E139" s="1202"/>
      <c r="F139" s="1202"/>
      <c r="G139" s="1202"/>
      <c r="H139" s="1202"/>
      <c r="I139" s="1202"/>
      <c r="J139" s="1202"/>
      <c r="L139" s="649" t="b">
        <v>0</v>
      </c>
    </row>
    <row r="140" spans="2:10" ht="12.75" hidden="1">
      <c r="B140" s="1202"/>
      <c r="C140" s="1202"/>
      <c r="D140" s="1202"/>
      <c r="E140" s="1202"/>
      <c r="F140" s="1202"/>
      <c r="G140" s="1202"/>
      <c r="H140" s="1202"/>
      <c r="I140" s="1202"/>
      <c r="J140" s="1202"/>
    </row>
    <row r="141" spans="2:10" ht="12.75" hidden="1">
      <c r="B141" s="657"/>
      <c r="C141" s="657"/>
      <c r="D141" s="657"/>
      <c r="E141" s="657"/>
      <c r="F141" s="657"/>
      <c r="G141" s="657"/>
      <c r="H141" s="657"/>
      <c r="I141" s="657"/>
      <c r="J141" s="657"/>
    </row>
    <row r="142" spans="1:10" ht="12.75">
      <c r="A142" s="599" t="str">
        <f>A32</f>
        <v>a)</v>
      </c>
      <c r="B142" s="1336" t="str">
        <f>B32</f>
        <v>Tömeg/hasznosság arány (THA)</v>
      </c>
      <c r="C142" s="1336"/>
      <c r="D142" s="1336"/>
      <c r="E142" s="1336"/>
      <c r="F142" s="1336"/>
      <c r="G142" s="1336"/>
      <c r="H142" s="1336"/>
      <c r="I142" s="1336"/>
      <c r="J142" s="1336"/>
    </row>
    <row r="143" spans="2:10" ht="12.75">
      <c r="B143" s="657"/>
      <c r="C143" s="657"/>
      <c r="D143" s="657"/>
      <c r="E143" s="657"/>
      <c r="F143" s="657"/>
      <c r="G143" s="657"/>
      <c r="H143" s="657"/>
      <c r="I143" s="657"/>
      <c r="J143" s="657"/>
    </row>
    <row r="144" spans="1:18" ht="27.75" customHeight="1">
      <c r="A144" s="596" t="s">
        <v>2241</v>
      </c>
      <c r="B144" s="1140" t="str">
        <f>B34</f>
        <v>Kijelentem, hogy az adott kiszerelésben a termék elsődleges csomagolása TÖBB mint 80 %-ban újrahasznosított anyagokból készül.</v>
      </c>
      <c r="C144" s="1140"/>
      <c r="D144" s="1140"/>
      <c r="E144" s="1140"/>
      <c r="F144" s="1140"/>
      <c r="G144" s="1140"/>
      <c r="H144" s="1140"/>
      <c r="I144" s="1140"/>
      <c r="J144" s="1140"/>
      <c r="L144" s="649" t="b">
        <v>0</v>
      </c>
      <c r="O144" s="913" t="str">
        <f>IF(AND(L139=TRUE,L144=FALSE,L149=FALSE),IF(Adatlap!$L$1="Magyar","Jelölje be!","Please, check!"),"")</f>
        <v/>
      </c>
      <c r="P144" t="str">
        <f>IF(AND(L144=FALSE,L149=FALSE),IF(Adatlap!$L$1="Magyar","Jelölje be!","Please, check!"),"")</f>
        <v>Jelölje be!</v>
      </c>
      <c r="Q144">
        <f>IF(AND(L139=TRUE,L144=FALSE,L149=FALSE),1,0)</f>
        <v>0</v>
      </c>
      <c r="R144" s="523">
        <f>IF(AND(L144=FALSE,L149=FALSE),1,0)</f>
        <v>1</v>
      </c>
    </row>
    <row r="145" spans="1:10" ht="8.15" customHeight="1">
      <c r="A145" s="596"/>
      <c r="B145" s="658"/>
      <c r="C145" s="658"/>
      <c r="D145" s="658"/>
      <c r="E145" s="658"/>
      <c r="F145" s="658"/>
      <c r="G145" s="658"/>
      <c r="H145" s="658"/>
      <c r="I145" s="658"/>
      <c r="J145" s="658"/>
    </row>
    <row r="146" spans="1:2" ht="12.75" customHeight="1">
      <c r="A146" s="596"/>
      <c r="B146" s="527" t="str">
        <f>B91</f>
        <v>Csatolom a nyilatkozatot alátámasztó dokumentációt:</v>
      </c>
    </row>
    <row r="147" spans="1:12" ht="25" customHeight="1">
      <c r="A147" s="596"/>
      <c r="B147" s="596" t="str">
        <f>IF(AND($L$144=TRUE,L147=FALSE,L148=FALSE),IF(Adatlap!$L$1="Magyar","Jelölje be!","Please, check!"),"")</f>
        <v/>
      </c>
      <c r="C147" s="1236" t="str">
        <f aca="true" t="shared" si="33" ref="C147:I148">C92</f>
        <v>Gyártói nyilatkozat(ok)</v>
      </c>
      <c r="D147" s="1236">
        <f t="shared" si="33"/>
        <v>0</v>
      </c>
      <c r="E147" s="1236">
        <f t="shared" si="33"/>
        <v>0</v>
      </c>
      <c r="F147" s="1236">
        <f t="shared" si="33"/>
        <v>0</v>
      </c>
      <c r="G147" s="1236">
        <f t="shared" si="33"/>
        <v>0</v>
      </c>
      <c r="H147" s="1236">
        <f t="shared" si="33"/>
        <v>0</v>
      </c>
      <c r="I147" s="1236">
        <f t="shared" si="33"/>
        <v>0</v>
      </c>
      <c r="J147" s="1236"/>
      <c r="L147" s="649" t="b">
        <v>0</v>
      </c>
    </row>
    <row r="148" spans="2:12" ht="25" customHeight="1">
      <c r="B148" s="596" t="str">
        <f>IF(AND($L$144=TRUE,L147=FALSE,L148=FALSE),IF(Adatlap!$L$1="Magyar","Jelölje be!","Please, check!"),"")</f>
        <v/>
      </c>
      <c r="C148" s="1202" t="str">
        <f t="shared" si="33"/>
        <v>Egyéb (nevezze meg):</v>
      </c>
      <c r="D148" s="1202">
        <f t="shared" si="33"/>
        <v>0</v>
      </c>
      <c r="E148" s="1202">
        <f t="shared" si="33"/>
        <v>0</v>
      </c>
      <c r="F148" s="1202">
        <f t="shared" si="33"/>
        <v>0</v>
      </c>
      <c r="G148" s="1202">
        <f t="shared" si="33"/>
        <v>0</v>
      </c>
      <c r="H148" s="1202">
        <f t="shared" si="33"/>
        <v>0</v>
      </c>
      <c r="I148" s="1202">
        <f t="shared" si="33"/>
        <v>0</v>
      </c>
      <c r="J148" s="1202"/>
      <c r="L148" s="649" t="b">
        <v>0</v>
      </c>
    </row>
    <row r="149" spans="1:12" ht="25" customHeight="1">
      <c r="A149" s="596" t="s">
        <v>2241</v>
      </c>
      <c r="B149" s="1140" t="str">
        <f>B39</f>
        <v>Kijelentem, hogy az adott kiszerelés esetében a  termék elsődleges csomagolásához felhasznált újrahasznosított anyagok aránya KEVESEBB mint 80%.</v>
      </c>
      <c r="C149" s="1140"/>
      <c r="D149" s="1140"/>
      <c r="E149" s="1140"/>
      <c r="F149" s="1140"/>
      <c r="G149" s="1140"/>
      <c r="H149" s="1140"/>
      <c r="I149" s="1140"/>
      <c r="J149" s="1140"/>
      <c r="L149" s="649" t="b">
        <v>0</v>
      </c>
    </row>
    <row r="150" spans="1:2" ht="25" customHeight="1">
      <c r="A150" s="596"/>
      <c r="B150" s="527" t="str">
        <f>B146</f>
        <v>Csatolom a nyilatkozatot alátámasztó dokumentációt:</v>
      </c>
    </row>
    <row r="151" spans="1:15" ht="25" customHeight="1">
      <c r="A151" s="596"/>
      <c r="B151" s="596" t="str">
        <f>IF(AND(L149=TRUE,L151=FALSE,L152=FALSE),IF(Adatlap!$L$1="Magyar","Jelölje be!","Please, check!"),"")</f>
        <v/>
      </c>
      <c r="C151" s="527" t="str">
        <f>C147</f>
        <v>Gyártói nyilatkozat(ok)</v>
      </c>
      <c r="D151" s="658"/>
      <c r="E151" s="658"/>
      <c r="F151" s="658"/>
      <c r="G151" s="658"/>
      <c r="H151" s="658"/>
      <c r="I151" s="658"/>
      <c r="J151" s="658"/>
      <c r="L151" s="649" t="b">
        <v>0</v>
      </c>
      <c r="O151" s="913"/>
    </row>
    <row r="152" spans="2:15" ht="25" customHeight="1">
      <c r="B152" s="596" t="str">
        <f>IF(AND(L149=TRUE,L151=FALSE,L152=FALSE),IF(Adatlap!$L$1="Magyar","Jelölje be!","Please, check!"),"")</f>
        <v/>
      </c>
      <c r="C152" s="646" t="str">
        <f>C148</f>
        <v>Egyéb (nevezze meg):</v>
      </c>
      <c r="D152" s="657"/>
      <c r="E152" s="1382"/>
      <c r="F152" s="1382"/>
      <c r="G152" s="1382"/>
      <c r="H152" s="1382"/>
      <c r="I152" s="1382"/>
      <c r="J152" s="1382"/>
      <c r="L152" s="649" t="b">
        <v>0</v>
      </c>
      <c r="O152" s="914"/>
    </row>
    <row r="153" spans="1:10" ht="12.75">
      <c r="A153" s="596"/>
      <c r="B153" s="658"/>
      <c r="C153" s="658"/>
      <c r="D153" s="658"/>
      <c r="E153" s="658"/>
      <c r="F153" s="658"/>
      <c r="G153" s="658"/>
      <c r="H153" s="658"/>
      <c r="I153" s="658"/>
      <c r="J153" s="658"/>
    </row>
    <row r="154" spans="2:24" ht="25" customHeight="1">
      <c r="B154" s="596" t="str">
        <f>IF(AND(L149=TRUE,L154=FALSE),IF(Adatlap!$L$1="Magyar","Jelölje be!","Please, check!"),"")</f>
        <v/>
      </c>
      <c r="C154" s="1236" t="str">
        <f aca="true" t="shared" si="34" ref="C154:I154">C99</f>
        <v>Kijelentem, hogy az adott kiszerelés esetében a THA arány nem haladja meg a vonatkozó határértéket.</v>
      </c>
      <c r="D154" s="1236">
        <f t="shared" si="34"/>
        <v>0</v>
      </c>
      <c r="E154" s="1236">
        <f t="shared" si="34"/>
        <v>0</v>
      </c>
      <c r="F154" s="1236">
        <f t="shared" si="34"/>
        <v>0</v>
      </c>
      <c r="G154" s="1236">
        <f t="shared" si="34"/>
        <v>0</v>
      </c>
      <c r="H154" s="1236">
        <f t="shared" si="34"/>
        <v>0</v>
      </c>
      <c r="I154" s="1236">
        <f t="shared" si="34"/>
        <v>0</v>
      </c>
      <c r="J154" s="1236"/>
      <c r="L154" s="649" t="b">
        <v>0</v>
      </c>
      <c r="O154" s="1377"/>
      <c r="P154" s="1377"/>
      <c r="Q154" s="1377"/>
      <c r="R154" s="1377"/>
      <c r="S154" s="1377"/>
      <c r="T154" s="1377"/>
      <c r="U154" s="1377"/>
      <c r="V154" s="1377"/>
      <c r="W154" s="1377"/>
      <c r="X154" s="1377"/>
    </row>
    <row r="155" spans="2:24" ht="12.75">
      <c r="B155" s="596"/>
      <c r="C155" s="527"/>
      <c r="D155" s="658"/>
      <c r="O155" s="1377"/>
      <c r="P155" s="1377"/>
      <c r="Q155" s="1377"/>
      <c r="R155" s="1377"/>
      <c r="S155" s="1377"/>
      <c r="T155" s="1377"/>
      <c r="U155" s="1377"/>
      <c r="V155" s="1377"/>
      <c r="W155" s="1377"/>
      <c r="X155" s="1377"/>
    </row>
    <row r="156" spans="2:24" ht="12.75">
      <c r="B156" s="1214" t="str">
        <f>B46</f>
        <v>A termék fajtája:</v>
      </c>
      <c r="C156" s="1214"/>
      <c r="D156" s="1214"/>
      <c r="E156" s="1214"/>
      <c r="F156" s="1373" t="str">
        <f>F46</f>
        <v>THA</v>
      </c>
      <c r="G156" s="1373"/>
      <c r="H156" s="1373" t="str">
        <f aca="true" t="shared" si="35" ref="H156">H46</f>
        <v>THA Határérték</v>
      </c>
      <c r="I156" s="1373"/>
      <c r="J156" s="648"/>
      <c r="O156" s="1377"/>
      <c r="P156" s="1377"/>
      <c r="Q156" s="1377"/>
      <c r="R156" s="1377"/>
      <c r="S156" s="1377"/>
      <c r="T156" s="1377"/>
      <c r="U156" s="1377"/>
      <c r="V156" s="1377"/>
      <c r="W156" s="1377"/>
      <c r="X156" s="1377"/>
    </row>
    <row r="157" spans="2:24" ht="12.75">
      <c r="B157" s="1214"/>
      <c r="C157" s="1214"/>
      <c r="D157" s="1214"/>
      <c r="E157" s="1214"/>
      <c r="F157" s="1374" t="str">
        <f aca="true" t="shared" si="36" ref="F157">F47</f>
        <v>g/l tisztítószer oldat</v>
      </c>
      <c r="G157" s="1374"/>
      <c r="H157" s="1374" t="str">
        <f aca="true" t="shared" si="37" ref="H157">H47</f>
        <v>g/l tisztítószer oldat</v>
      </c>
      <c r="I157" s="1374"/>
      <c r="J157" s="648"/>
      <c r="O157" s="1377"/>
      <c r="P157" s="1377"/>
      <c r="Q157" s="1377"/>
      <c r="R157" s="1377"/>
      <c r="S157" s="1377"/>
      <c r="T157" s="1377"/>
      <c r="U157" s="1377"/>
      <c r="V157" s="1377"/>
      <c r="W157" s="1377"/>
      <c r="X157" s="1377"/>
    </row>
    <row r="158" spans="2:24" ht="27" customHeight="1">
      <c r="B158" s="1376" t="str">
        <f>B48</f>
        <v>Kézi mosogatószer</v>
      </c>
      <c r="C158" s="1376"/>
      <c r="D158" s="1376"/>
      <c r="E158" s="1376"/>
      <c r="F158" s="1375">
        <f>'Kiszerelés 1-4'!M21</f>
        <v>0</v>
      </c>
      <c r="G158" s="1375"/>
      <c r="H158" s="1375" t="e">
        <f>'Kiszerelés 1-4'!M22</f>
        <v>#N/A</v>
      </c>
      <c r="I158" s="1375"/>
      <c r="P158" s="131"/>
      <c r="Q158" s="131"/>
      <c r="R158" s="131"/>
      <c r="S158" s="131"/>
      <c r="T158" s="131"/>
      <c r="U158" s="131"/>
      <c r="V158" s="131"/>
      <c r="W158" s="131"/>
      <c r="X158" s="131"/>
    </row>
    <row r="159" spans="2:24" ht="12.75">
      <c r="B159" s="596"/>
      <c r="C159" s="527"/>
      <c r="D159" s="658"/>
      <c r="O159" s="911"/>
      <c r="P159" s="911"/>
      <c r="Q159" s="911"/>
      <c r="R159" s="911"/>
      <c r="S159" s="911"/>
      <c r="T159" s="911"/>
      <c r="U159" s="911"/>
      <c r="V159" s="911"/>
      <c r="W159" s="911"/>
      <c r="X159" s="911"/>
    </row>
    <row r="160" spans="2:12" ht="12.75">
      <c r="B160" s="596" t="str">
        <f>IF(AND($L$149=TRUE,L160=FALSE),IF(Adatlap!$L$1="Magyar","Jelölje be!","Please, check!"),"")</f>
        <v/>
      </c>
      <c r="C160" s="1236" t="str">
        <f aca="true" t="shared" si="38" ref="C160:I160">C105</f>
        <v>Csatolom a THA kiszámítását bemutató munkalapot.</v>
      </c>
      <c r="D160" s="1236">
        <f t="shared" si="38"/>
        <v>0</v>
      </c>
      <c r="E160" s="1236">
        <f t="shared" si="38"/>
        <v>0</v>
      </c>
      <c r="F160" s="1236">
        <f t="shared" si="38"/>
        <v>0</v>
      </c>
      <c r="G160" s="1236">
        <f t="shared" si="38"/>
        <v>0</v>
      </c>
      <c r="H160" s="1236">
        <f t="shared" si="38"/>
        <v>0</v>
      </c>
      <c r="I160" s="1236">
        <f t="shared" si="38"/>
        <v>0</v>
      </c>
      <c r="J160" s="1236"/>
      <c r="L160" s="649" t="b">
        <v>0</v>
      </c>
    </row>
    <row r="161" spans="1:10" ht="26.15" customHeight="1">
      <c r="A161" s="599" t="str">
        <f>A$51</f>
        <v>b)</v>
      </c>
      <c r="B161" s="1344" t="str">
        <f>B51</f>
        <v>Az újrahasznosítást megkönnyítő kialakítás</v>
      </c>
      <c r="C161" s="1344"/>
      <c r="D161" s="1344"/>
      <c r="E161" s="1344"/>
      <c r="F161" s="1344"/>
      <c r="G161" s="1344"/>
      <c r="H161" s="1344"/>
      <c r="I161" s="1344"/>
      <c r="J161" s="1344"/>
    </row>
    <row r="162" spans="2:4" ht="12.75">
      <c r="B162" s="674"/>
      <c r="C162" s="527"/>
      <c r="D162" s="658"/>
    </row>
    <row r="163" spans="1:12" ht="12.75">
      <c r="A163" s="1364" t="str">
        <f>IF(AND($L$139=TRUE,L163=FALSE),IF(Adatlap!$L$1="Magyar","Jelölje be!","Please, check!"),"")</f>
        <v/>
      </c>
      <c r="B163" s="1140" t="str">
        <f>B53</f>
        <v>Kijelentem, hogy a termék csomagolása a következő anyagokból áll:</v>
      </c>
      <c r="C163" s="1140"/>
      <c r="D163" s="1140"/>
      <c r="E163" s="1140"/>
      <c r="F163" s="1140"/>
      <c r="G163" s="1140"/>
      <c r="H163" s="1140"/>
      <c r="I163" s="1140"/>
      <c r="J163" s="1140"/>
      <c r="L163" s="649" t="b">
        <v>0</v>
      </c>
    </row>
    <row r="164" ht="12.75">
      <c r="A164" s="1364"/>
    </row>
    <row r="165" spans="2:9" ht="25" customHeight="1">
      <c r="B165" s="1370" t="str">
        <f>'Kiszerelés 1-4'!A$26</f>
        <v>A tartály vagy palack anyaga</v>
      </c>
      <c r="C165" s="1370"/>
      <c r="D165" s="1370">
        <f>'Kiszerelés 1-4'!K26</f>
        <v>0</v>
      </c>
      <c r="E165" s="1370"/>
      <c r="F165" s="1370"/>
      <c r="G165" s="1370"/>
      <c r="H165" s="1370"/>
      <c r="I165" s="1370"/>
    </row>
    <row r="166" spans="2:9" ht="25" customHeight="1">
      <c r="B166" s="1370" t="str">
        <f>'Kiszerelés 1-4'!A$27</f>
        <v>A címke/ráhúzható címke anyaga</v>
      </c>
      <c r="C166" s="1370"/>
      <c r="D166" s="1370">
        <f>'Kiszerelés 1-4'!K27</f>
        <v>0</v>
      </c>
      <c r="E166" s="1370"/>
      <c r="F166" s="1370"/>
      <c r="G166" s="1370"/>
      <c r="H166" s="1370"/>
      <c r="I166" s="1370"/>
    </row>
    <row r="167" spans="2:9" ht="25" customHeight="1">
      <c r="B167" s="1370" t="str">
        <f>'Kiszerelés 1-4'!A$28</f>
        <v>A záróelem anyaga</v>
      </c>
      <c r="C167" s="1370"/>
      <c r="D167" s="1370">
        <f>'Kiszerelés 1-4'!K28</f>
        <v>0</v>
      </c>
      <c r="E167" s="1370"/>
      <c r="F167" s="1370"/>
      <c r="G167" s="1370"/>
      <c r="H167" s="1370"/>
      <c r="I167" s="1370"/>
    </row>
    <row r="168" spans="2:9" ht="25" customHeight="1">
      <c r="B168" s="1370" t="str">
        <f>'Kiszerelés 1-4'!A$29</f>
        <v>A záróréteg-bevonat anyaga</v>
      </c>
      <c r="C168" s="1370"/>
      <c r="D168" s="1370">
        <f>'Kiszerelés 1-4'!K29</f>
        <v>0</v>
      </c>
      <c r="E168" s="1370"/>
      <c r="F168" s="1370"/>
      <c r="G168" s="1370"/>
      <c r="H168" s="1370"/>
      <c r="I168" s="1370"/>
    </row>
    <row r="169" spans="2:9" ht="25" customHeight="1">
      <c r="B169" s="1370" t="str">
        <f>B59</f>
        <v>Ragasztók</v>
      </c>
      <c r="C169" s="1370"/>
      <c r="D169" s="1371"/>
      <c r="E169" s="1371"/>
      <c r="F169" s="1371"/>
      <c r="G169" s="1371"/>
      <c r="H169" s="1371"/>
      <c r="I169" s="1371"/>
    </row>
    <row r="170" ht="12.75"/>
    <row r="171" spans="2:12" ht="25" customHeight="1">
      <c r="B171" s="596" t="str">
        <f>IF(AND(L171=FALSE,L163=TRUE),IF(Adatlap!$L$1="Magyar","Jelölje be!","Please, check!"),"")</f>
        <v/>
      </c>
      <c r="C171" s="1236" t="str">
        <f aca="true" t="shared" si="39" ref="C171:I171">C116</f>
        <v>Csatolom az elsődleges csomagolás fényképét vagy műszaki rajzokat  az elsődleges csomagolásról.</v>
      </c>
      <c r="D171" s="1236">
        <f t="shared" si="39"/>
        <v>0</v>
      </c>
      <c r="E171" s="1236">
        <f t="shared" si="39"/>
        <v>0</v>
      </c>
      <c r="F171" s="1236">
        <f t="shared" si="39"/>
        <v>0</v>
      </c>
      <c r="G171" s="1236">
        <f t="shared" si="39"/>
        <v>0</v>
      </c>
      <c r="H171" s="1236">
        <f t="shared" si="39"/>
        <v>0</v>
      </c>
      <c r="I171" s="1236">
        <f t="shared" si="39"/>
        <v>0</v>
      </c>
      <c r="J171" s="1236"/>
      <c r="L171" s="649" t="b">
        <v>0</v>
      </c>
    </row>
    <row r="173" spans="1:9" ht="21" customHeight="1">
      <c r="A173" s="1365" t="str">
        <f>'Kiszerelés 1-4'!J31</f>
        <v>4. kiszerelés</v>
      </c>
      <c r="B173" s="1365"/>
      <c r="C173" s="1366" t="str">
        <f>IF('Kiszerelés 1-4'!J32="","",'Kiszerelés 1-4'!J32)</f>
        <v/>
      </c>
      <c r="D173" s="1366"/>
      <c r="E173" s="1366"/>
      <c r="F173" s="1366"/>
      <c r="G173" s="1366"/>
      <c r="H173" s="1366"/>
      <c r="I173" s="1366"/>
    </row>
    <row r="174" ht="13" customHeight="1"/>
    <row r="175" spans="1:9" ht="13" customHeight="1" hidden="1">
      <c r="A175" s="599" t="str">
        <f>A$10</f>
        <v>a)</v>
      </c>
      <c r="B175" s="1366" t="str">
        <f>B$10</f>
        <v>Szórófejes palackokban értékesített termékek</v>
      </c>
      <c r="C175" s="1366"/>
      <c r="D175" s="1366"/>
      <c r="E175" s="1366"/>
      <c r="F175" s="1366"/>
      <c r="G175" s="1366"/>
      <c r="H175" s="1366"/>
      <c r="I175" s="1366"/>
    </row>
    <row r="176" ht="13" customHeight="1" hidden="1"/>
    <row r="177" spans="1:12" ht="25" customHeight="1" hidden="1">
      <c r="A177" s="528" t="str">
        <f>IF(AND(L177=FALSE,L184=FALSE),IF(Adatlap!$L$1="Magyar","Jelölje be!","Please, check!"),"")</f>
        <v>Jelölje be!</v>
      </c>
      <c r="B177" s="1202" t="str">
        <f>B$12</f>
        <v>Kijelentem, hogy az adott kiszerelés esetében a termék szórófejes palackban kerül forgalomba.</v>
      </c>
      <c r="C177" s="1202">
        <f aca="true" t="shared" si="40" ref="C177:I177">C122</f>
        <v>0</v>
      </c>
      <c r="D177" s="1202">
        <f t="shared" si="40"/>
        <v>0</v>
      </c>
      <c r="E177" s="1202">
        <f t="shared" si="40"/>
        <v>0</v>
      </c>
      <c r="F177" s="1202">
        <f t="shared" si="40"/>
        <v>0</v>
      </c>
      <c r="G177" s="1202">
        <f t="shared" si="40"/>
        <v>0</v>
      </c>
      <c r="H177" s="1202">
        <f t="shared" si="40"/>
        <v>0</v>
      </c>
      <c r="I177" s="1202">
        <f t="shared" si="40"/>
        <v>0</v>
      </c>
      <c r="J177" s="1202"/>
      <c r="L177" s="649" t="b">
        <v>0</v>
      </c>
    </row>
    <row r="178" spans="2:13" ht="25" customHeight="1" hidden="1">
      <c r="B178" s="596" t="str">
        <f>IF(AND($L$177=TRUE,L178=FALSE),IF(Adatlap!$L$1="Magyar","Jelölje be!","Please, check!"),"")</f>
        <v/>
      </c>
      <c r="C178" s="1236" t="str">
        <f>C$13</f>
        <v>Kijelentem, hogy az adott kiszerelésű termékeknél a szórófejes palackok nem tartalmaznak hajtógázt.</v>
      </c>
      <c r="D178" s="1236">
        <f aca="true" t="shared" si="41" ref="D178:I178">D123</f>
        <v>0</v>
      </c>
      <c r="E178" s="1236">
        <f t="shared" si="41"/>
        <v>0</v>
      </c>
      <c r="F178" s="1236">
        <f t="shared" si="41"/>
        <v>0</v>
      </c>
      <c r="G178" s="1236">
        <f t="shared" si="41"/>
        <v>0</v>
      </c>
      <c r="H178" s="1236">
        <f t="shared" si="41"/>
        <v>0</v>
      </c>
      <c r="I178" s="1236">
        <f t="shared" si="41"/>
        <v>0</v>
      </c>
      <c r="J178" s="1236"/>
      <c r="L178" s="649" t="b">
        <v>0</v>
      </c>
      <c r="M178" s="735" t="s">
        <v>1854</v>
      </c>
    </row>
    <row r="179" ht="8.15" customHeight="1" hidden="1"/>
    <row r="180" spans="2:12" ht="25" customHeight="1" hidden="1">
      <c r="B180" s="596" t="str">
        <f>IF(AND($L$177=TRUE,L180=FALSE),IF(Adatlap!$L$1="Magyar","Jelölje be!","Please, check!"),"")</f>
        <v/>
      </c>
      <c r="C180" s="1236" t="str">
        <f>C$15</f>
        <v>Kijelentem, hogy a szórófejes palackok újratölthetőek és újrahasználhatóak.</v>
      </c>
      <c r="D180" s="1236">
        <f aca="true" t="shared" si="42" ref="D180:I180">D125</f>
        <v>0</v>
      </c>
      <c r="E180" s="1236">
        <f t="shared" si="42"/>
        <v>0</v>
      </c>
      <c r="F180" s="1236">
        <f t="shared" si="42"/>
        <v>0</v>
      </c>
      <c r="G180" s="1236">
        <f t="shared" si="42"/>
        <v>0</v>
      </c>
      <c r="H180" s="1236">
        <f t="shared" si="42"/>
        <v>0</v>
      </c>
      <c r="I180" s="1236">
        <f t="shared" si="42"/>
        <v>0</v>
      </c>
      <c r="J180" s="1236"/>
      <c r="L180" s="649" t="b">
        <v>0</v>
      </c>
    </row>
    <row r="181" ht="8.15" customHeight="1" hidden="1"/>
    <row r="182" spans="2:12" ht="25" customHeight="1" hidden="1">
      <c r="B182" s="596" t="str">
        <f>IF(AND($L$177=TRUE,L182=FALSE),IF(Adatlap!$L$1="Magyar","Jelölje be!","Please, check!"),"")</f>
        <v/>
      </c>
      <c r="C182" s="1236" t="str">
        <f>C$17</f>
        <v>Csatolom a megfelelő dokumentációt, amelyik leírja vagy bemutatja, hogy a csomagolás részét képező szórófejes palackokat hogyan lehet utántölteni.</v>
      </c>
      <c r="D182" s="1236">
        <f aca="true" t="shared" si="43" ref="D182:I182">D127</f>
        <v>0</v>
      </c>
      <c r="E182" s="1236">
        <f t="shared" si="43"/>
        <v>0</v>
      </c>
      <c r="F182" s="1236">
        <f t="shared" si="43"/>
        <v>0</v>
      </c>
      <c r="G182" s="1236">
        <f t="shared" si="43"/>
        <v>0</v>
      </c>
      <c r="H182" s="1236">
        <f t="shared" si="43"/>
        <v>0</v>
      </c>
      <c r="I182" s="1236">
        <f t="shared" si="43"/>
        <v>0</v>
      </c>
      <c r="J182" s="1236"/>
      <c r="L182" s="649" t="b">
        <v>0</v>
      </c>
    </row>
    <row r="183" ht="13" customHeight="1" hidden="1"/>
    <row r="184" spans="1:12" ht="25" customHeight="1" hidden="1">
      <c r="A184" s="528" t="str">
        <f>IF(AND(L177=FALSE,L184=FALSE),IF(Adatlap!$L$1="Magyar","Jelölje be!","Please, check!"),"")</f>
        <v>Jelölje be!</v>
      </c>
      <c r="B184" s="1202" t="str">
        <f>B$19</f>
        <v>Kijelentem, hogy az adott kiszerelés nem tartalmaz szórófejes palackot.</v>
      </c>
      <c r="C184" s="1202">
        <f aca="true" t="shared" si="44" ref="C184:I184">C129</f>
        <v>0</v>
      </c>
      <c r="D184" s="1202">
        <f t="shared" si="44"/>
        <v>0</v>
      </c>
      <c r="E184" s="1202">
        <f t="shared" si="44"/>
        <v>0</v>
      </c>
      <c r="F184" s="1202">
        <f t="shared" si="44"/>
        <v>0</v>
      </c>
      <c r="G184" s="1202">
        <f t="shared" si="44"/>
        <v>0</v>
      </c>
      <c r="H184" s="1202">
        <f t="shared" si="44"/>
        <v>0</v>
      </c>
      <c r="I184" s="1202">
        <f t="shared" si="44"/>
        <v>0</v>
      </c>
      <c r="J184" s="1202"/>
      <c r="L184" s="649" t="b">
        <v>0</v>
      </c>
    </row>
    <row r="185" ht="13" customHeight="1" hidden="1"/>
    <row r="186" spans="1:10" ht="13" customHeight="1" hidden="1">
      <c r="A186" s="599" t="s">
        <v>1801</v>
      </c>
      <c r="B186" s="1336" t="str">
        <f>B$21</f>
        <v>Csomagolás-visszaváltási rendszerek</v>
      </c>
      <c r="C186" s="1336">
        <f aca="true" t="shared" si="45" ref="C186:I186">C131</f>
        <v>0</v>
      </c>
      <c r="D186" s="1336">
        <f t="shared" si="45"/>
        <v>0</v>
      </c>
      <c r="E186" s="1336">
        <f t="shared" si="45"/>
        <v>0</v>
      </c>
      <c r="F186" s="1336">
        <f t="shared" si="45"/>
        <v>0</v>
      </c>
      <c r="G186" s="1336">
        <f t="shared" si="45"/>
        <v>0</v>
      </c>
      <c r="H186" s="1336">
        <f t="shared" si="45"/>
        <v>0</v>
      </c>
      <c r="I186" s="1336">
        <f t="shared" si="45"/>
        <v>0</v>
      </c>
      <c r="J186" s="1336"/>
    </row>
    <row r="187" ht="13" customHeight="1" hidden="1"/>
    <row r="188" spans="1:12" ht="25" customHeight="1" hidden="1">
      <c r="A188" s="528" t="str">
        <f>IF(AND(L188=FALSE,L194=FALSE),IF(Adatlap!$L$1="Magyar","Jelölje be!","Please, check!"),"")</f>
        <v>Jelölje be!</v>
      </c>
      <c r="B188" s="1202" t="str">
        <f>B$23</f>
        <v>Kijelentem, hogy a termék a termékre / az adott kiszerelésre vonatkozó visszaváltási rendszer hatálya alá tartozó csomagolásban kerül forgalomba.</v>
      </c>
      <c r="C188" s="1202">
        <f aca="true" t="shared" si="46" ref="C188:I188">C133</f>
        <v>0</v>
      </c>
      <c r="D188" s="1202">
        <f t="shared" si="46"/>
        <v>0</v>
      </c>
      <c r="E188" s="1202">
        <f t="shared" si="46"/>
        <v>0</v>
      </c>
      <c r="F188" s="1202">
        <f t="shared" si="46"/>
        <v>0</v>
      </c>
      <c r="G188" s="1202">
        <f t="shared" si="46"/>
        <v>0</v>
      </c>
      <c r="H188" s="1202">
        <f t="shared" si="46"/>
        <v>0</v>
      </c>
      <c r="I188" s="1202">
        <f t="shared" si="46"/>
        <v>0</v>
      </c>
      <c r="J188" s="1202"/>
      <c r="L188" s="649" t="b">
        <v>0</v>
      </c>
    </row>
    <row r="189" spans="3:10" ht="13" customHeight="1" hidden="1">
      <c r="C189" s="659"/>
      <c r="D189" s="659"/>
      <c r="E189" s="659"/>
      <c r="F189" s="659"/>
      <c r="G189" s="659"/>
      <c r="H189" s="659"/>
      <c r="I189" s="659"/>
      <c r="J189" s="659"/>
    </row>
    <row r="190" spans="2:12" ht="25" customHeight="1" hidden="1">
      <c r="B190" s="596" t="str">
        <f>IF(AND($L$188=TRUE,L190=FALSE),IF(Adatlap!$L$1="Magyar","Jelölje be!","Please, check!"),"")</f>
        <v/>
      </c>
      <c r="C190" s="1236" t="str">
        <f>C$25</f>
        <v>Csatolom a megfelelő dokumentációt, amelyik leírja vagy bizonyítja, hogy a csomagolás-visszaváltási rendszer megvalósult.</v>
      </c>
      <c r="D190" s="1236">
        <f aca="true" t="shared" si="47" ref="D190:I190">D135</f>
        <v>0</v>
      </c>
      <c r="E190" s="1236">
        <f t="shared" si="47"/>
        <v>0</v>
      </c>
      <c r="F190" s="1236">
        <f t="shared" si="47"/>
        <v>0</v>
      </c>
      <c r="G190" s="1236">
        <f t="shared" si="47"/>
        <v>0</v>
      </c>
      <c r="H190" s="1236">
        <f t="shared" si="47"/>
        <v>0</v>
      </c>
      <c r="I190" s="1236">
        <f t="shared" si="47"/>
        <v>0</v>
      </c>
      <c r="J190" s="1236"/>
      <c r="L190" s="649" t="b">
        <v>0</v>
      </c>
    </row>
    <row r="191" ht="8.15" customHeight="1" hidden="1"/>
    <row r="192" spans="2:12" ht="25" customHeight="1" hidden="1">
      <c r="B192" s="596" t="str">
        <f>IF(AND($L$188=TRUE,L192=FALSE),IF(Adatlap!$L$1="Magyar","Jelölje be!","Please, check!"),"")</f>
        <v/>
      </c>
      <c r="C192" s="1368" t="str">
        <f>C$27</f>
        <v>Az adott kiszerelés mentesül az 5. c) és d) pontokban megfogalmazott követelmények alól.</v>
      </c>
      <c r="D192" s="1368"/>
      <c r="E192" s="1368"/>
      <c r="F192" s="1368"/>
      <c r="G192" s="1368"/>
      <c r="H192" s="1368"/>
      <c r="I192" s="1368"/>
      <c r="J192" s="1368"/>
      <c r="L192" s="649" t="b">
        <v>0</v>
      </c>
    </row>
    <row r="193" ht="8.15" customHeight="1" hidden="1"/>
    <row r="194" spans="1:12" ht="25.5" customHeight="1" hidden="1">
      <c r="A194" s="655" t="str">
        <f>IF(AND(L188=FALSE,L194=FALSE),IF(Adatlap!$L$1="Magyar","Jelölje be!","Please, check!"),"")</f>
        <v>Jelölje be!</v>
      </c>
      <c r="B194" s="1202" t="str">
        <f>B$29</f>
        <v>Kijelentem, hogy a termék NEM a termékre / az adott kiszerelésre vonatkozó visszaváltási rendszer hatálya alá tartozó csomagolásban kerül forgalomba, így nem mentesül az 5. kritérium c) és d) pontjában megadott kritériumok alól. (A c) és d) pontokat ki kell tölteni.)</v>
      </c>
      <c r="C194" s="1202">
        <f aca="true" t="shared" si="48" ref="C194:I194">C139</f>
        <v>0</v>
      </c>
      <c r="D194" s="1202">
        <f t="shared" si="48"/>
        <v>0</v>
      </c>
      <c r="E194" s="1202">
        <f t="shared" si="48"/>
        <v>0</v>
      </c>
      <c r="F194" s="1202">
        <f t="shared" si="48"/>
        <v>0</v>
      </c>
      <c r="G194" s="1202">
        <f t="shared" si="48"/>
        <v>0</v>
      </c>
      <c r="H194" s="1202">
        <f t="shared" si="48"/>
        <v>0</v>
      </c>
      <c r="I194" s="1202">
        <f t="shared" si="48"/>
        <v>0</v>
      </c>
      <c r="J194" s="1202"/>
      <c r="L194" s="649" t="b">
        <v>0</v>
      </c>
    </row>
    <row r="195" spans="1:10" ht="15.75" customHeight="1" hidden="1">
      <c r="A195" s="675"/>
      <c r="B195" s="1202">
        <f aca="true" t="shared" si="49" ref="B195:I195">B140</f>
        <v>0</v>
      </c>
      <c r="C195" s="1202">
        <f t="shared" si="49"/>
        <v>0</v>
      </c>
      <c r="D195" s="1202">
        <f t="shared" si="49"/>
        <v>0</v>
      </c>
      <c r="E195" s="1202">
        <f t="shared" si="49"/>
        <v>0</v>
      </c>
      <c r="F195" s="1202">
        <f t="shared" si="49"/>
        <v>0</v>
      </c>
      <c r="G195" s="1202">
        <f t="shared" si="49"/>
        <v>0</v>
      </c>
      <c r="H195" s="1202">
        <f t="shared" si="49"/>
        <v>0</v>
      </c>
      <c r="I195" s="1202">
        <f t="shared" si="49"/>
        <v>0</v>
      </c>
      <c r="J195" s="1202"/>
    </row>
    <row r="196" spans="2:10" ht="13" customHeight="1" hidden="1">
      <c r="B196" s="657"/>
      <c r="C196" s="657"/>
      <c r="D196" s="657"/>
      <c r="E196" s="657"/>
      <c r="F196" s="657"/>
      <c r="G196" s="657"/>
      <c r="H196" s="657"/>
      <c r="I196" s="657"/>
      <c r="J196" s="657"/>
    </row>
    <row r="197" spans="1:10" ht="13" customHeight="1">
      <c r="A197" s="599" t="str">
        <f>A$32</f>
        <v>a)</v>
      </c>
      <c r="B197" s="1369" t="str">
        <f>B$32</f>
        <v>Tömeg/hasznosság arány (THA)</v>
      </c>
      <c r="C197" s="1369"/>
      <c r="D197" s="1369"/>
      <c r="E197" s="1369"/>
      <c r="F197" s="1369"/>
      <c r="G197" s="1369"/>
      <c r="H197" s="1369"/>
      <c r="I197" s="1369"/>
      <c r="J197" s="1369"/>
    </row>
    <row r="198" spans="2:10" ht="13" customHeight="1">
      <c r="B198" s="657"/>
      <c r="C198" s="657"/>
      <c r="D198" s="657"/>
      <c r="E198" s="657"/>
      <c r="F198" s="657"/>
      <c r="G198" s="657"/>
      <c r="H198" s="657"/>
      <c r="I198" s="657"/>
      <c r="J198" s="657"/>
    </row>
    <row r="199" spans="1:18" ht="28" customHeight="1">
      <c r="A199" s="596" t="s">
        <v>2241</v>
      </c>
      <c r="B199" s="1236" t="str">
        <f>B$34</f>
        <v>Kijelentem, hogy az adott kiszerelésben a termék elsődleges csomagolása TÖBB mint 80 %-ban újrahasznosított anyagokból készül.</v>
      </c>
      <c r="C199" s="1236">
        <f aca="true" t="shared" si="50" ref="C199:I199">C144</f>
        <v>0</v>
      </c>
      <c r="D199" s="1236">
        <f t="shared" si="50"/>
        <v>0</v>
      </c>
      <c r="E199" s="1236">
        <f t="shared" si="50"/>
        <v>0</v>
      </c>
      <c r="F199" s="1236">
        <f t="shared" si="50"/>
        <v>0</v>
      </c>
      <c r="G199" s="1236">
        <f t="shared" si="50"/>
        <v>0</v>
      </c>
      <c r="H199" s="1236">
        <f t="shared" si="50"/>
        <v>0</v>
      </c>
      <c r="I199" s="1236">
        <f t="shared" si="50"/>
        <v>0</v>
      </c>
      <c r="J199" s="1236"/>
      <c r="L199" s="649" t="b">
        <v>0</v>
      </c>
      <c r="O199" s="913" t="str">
        <f>IF(AND(L194=TRUE,L199=FALSE,L204=FALSE),IF(Adatlap!$L$1="Magyar","Jelölje be!","Please, check!"),"")</f>
        <v/>
      </c>
      <c r="P199" t="str">
        <f>IF(AND(L199=FALSE,L204=FALSE),IF(Adatlap!$L$1="Magyar","Jelölje be!","Please, check!"),"")</f>
        <v>Jelölje be!</v>
      </c>
      <c r="Q199">
        <f>IF(AND(L194=TRUE,L199=FALSE,L204=FALSE),1,0)</f>
        <v>0</v>
      </c>
      <c r="R199" s="523">
        <f>IF(AND(L199=FALSE,L204=FALSE),1,0)</f>
        <v>1</v>
      </c>
    </row>
    <row r="200" spans="1:10" ht="8.15" customHeight="1">
      <c r="A200" s="596"/>
      <c r="B200" s="658"/>
      <c r="C200" s="658"/>
      <c r="D200" s="658"/>
      <c r="E200" s="658"/>
      <c r="F200" s="658"/>
      <c r="G200" s="658"/>
      <c r="H200" s="658"/>
      <c r="I200" s="658"/>
      <c r="J200" s="658"/>
    </row>
    <row r="201" spans="1:2" ht="13" customHeight="1">
      <c r="A201" s="596"/>
      <c r="B201" s="527" t="str">
        <f>B$36</f>
        <v>Csatolom a nyilatkozatot alátámasztó dokumentációt:</v>
      </c>
    </row>
    <row r="202" spans="1:12" ht="25" customHeight="1">
      <c r="A202" s="596"/>
      <c r="B202" s="596" t="str">
        <f>IF(AND(L199=TRUE,L202=FALSE,L203=FALSE),IF(Adatlap!$L$1="Magyar","Jelölje be!","Please, check!"),"")</f>
        <v/>
      </c>
      <c r="C202" s="527" t="str">
        <f>C$37</f>
        <v>Gyártói nyilatkozat(ok)</v>
      </c>
      <c r="D202" s="527"/>
      <c r="E202" s="527"/>
      <c r="F202" s="527"/>
      <c r="G202" s="527"/>
      <c r="H202" s="527"/>
      <c r="I202" s="527"/>
      <c r="J202" s="527"/>
      <c r="L202" s="649" t="b">
        <v>0</v>
      </c>
    </row>
    <row r="203" spans="2:12" ht="25" customHeight="1">
      <c r="B203" s="596" t="str">
        <f>IF(AND($L$199=TRUE,L202=FALSE,L203=FALSE),IF(Adatlap!$L$1="Magyar","Jelölje be!","Please, check!"),"")</f>
        <v/>
      </c>
      <c r="C203" s="1367" t="str">
        <f>C$38</f>
        <v>Egyéb (nevezze meg):</v>
      </c>
      <c r="D203" s="1367"/>
      <c r="E203" s="1367"/>
      <c r="F203" s="1367"/>
      <c r="G203" s="1367"/>
      <c r="H203" s="1367"/>
      <c r="I203" s="1367"/>
      <c r="J203" s="1367"/>
      <c r="L203" s="649" t="b">
        <v>0</v>
      </c>
    </row>
    <row r="204" spans="1:12" ht="25" customHeight="1">
      <c r="A204" s="596" t="s">
        <v>2241</v>
      </c>
      <c r="B204" s="1202" t="str">
        <f>B39</f>
        <v>Kijelentem, hogy az adott kiszerelés esetében a  termék elsődleges csomagolásához felhasznált újrahasznosított anyagok aránya KEVESEBB mint 80%.</v>
      </c>
      <c r="C204" s="1202">
        <f aca="true" t="shared" si="51" ref="C204:I204">C149</f>
        <v>0</v>
      </c>
      <c r="D204" s="1202">
        <f t="shared" si="51"/>
        <v>0</v>
      </c>
      <c r="E204" s="1202">
        <f t="shared" si="51"/>
        <v>0</v>
      </c>
      <c r="F204" s="1202">
        <f t="shared" si="51"/>
        <v>0</v>
      </c>
      <c r="G204" s="1202">
        <f t="shared" si="51"/>
        <v>0</v>
      </c>
      <c r="H204" s="1202">
        <f t="shared" si="51"/>
        <v>0</v>
      </c>
      <c r="I204" s="1202">
        <f t="shared" si="51"/>
        <v>0</v>
      </c>
      <c r="J204" s="1202"/>
      <c r="L204" s="649" t="b">
        <v>0</v>
      </c>
    </row>
    <row r="205" spans="1:2" ht="25" customHeight="1">
      <c r="A205" s="596"/>
      <c r="B205" s="527" t="str">
        <f>B$40</f>
        <v>Csatolom a nyilatkozatot alátámasztó dokumentációt:</v>
      </c>
    </row>
    <row r="206" spans="1:12" ht="25" customHeight="1">
      <c r="A206" s="596"/>
      <c r="B206" s="596" t="str">
        <f>IF(AND(L204=TRUE,L206=FALSE,L207=FALSE),IF(Adatlap!$L$1="Magyar","Jelölje be!","Please, check!"),"")</f>
        <v/>
      </c>
      <c r="C206" s="527" t="str">
        <f>C$41</f>
        <v>Gyártói nyilatkozat(ok)</v>
      </c>
      <c r="D206" s="658"/>
      <c r="E206" s="658"/>
      <c r="F206" s="658"/>
      <c r="G206" s="658"/>
      <c r="H206" s="658"/>
      <c r="I206" s="658"/>
      <c r="J206" s="658"/>
      <c r="L206" s="649" t="b">
        <v>0</v>
      </c>
    </row>
    <row r="207" spans="2:12" ht="25" customHeight="1">
      <c r="B207" s="596" t="str">
        <f>IF(AND(L204=TRUE,L206=FALSE,L207=FALSE),IF(Adatlap!$L$1="Magyar","Jelölje be!","Please, check!"),"")</f>
        <v/>
      </c>
      <c r="C207" s="527" t="str">
        <f>C$42</f>
        <v>Egyéb (nevezze meg):</v>
      </c>
      <c r="D207" s="657"/>
      <c r="E207" s="1382"/>
      <c r="F207" s="1382"/>
      <c r="G207" s="1382"/>
      <c r="H207" s="1382"/>
      <c r="I207" s="1382"/>
      <c r="J207" s="1382"/>
      <c r="L207" s="649" t="b">
        <v>0</v>
      </c>
    </row>
    <row r="208" spans="1:10" ht="13" customHeight="1">
      <c r="A208" s="596"/>
      <c r="B208" s="658"/>
      <c r="C208" s="658"/>
      <c r="D208" s="658"/>
      <c r="E208" s="658"/>
      <c r="F208" s="658"/>
      <c r="G208" s="658"/>
      <c r="H208" s="658"/>
      <c r="I208" s="658"/>
      <c r="J208" s="658"/>
    </row>
    <row r="209" spans="2:22" ht="24" customHeight="1">
      <c r="B209" s="596" t="str">
        <f>IF(AND(L204=TRUE,L209=FALSE),IF(Adatlap!$L$1="Magyar","Jelölje be!","Please, check!"),"")</f>
        <v/>
      </c>
      <c r="C209" s="1236" t="str">
        <f>C$44</f>
        <v>Kijelentem, hogy az adott kiszerelés esetében a THA arány nem haladja meg a vonatkozó határértéket.</v>
      </c>
      <c r="D209" s="1236">
        <f aca="true" t="shared" si="52" ref="D209:I209">D154</f>
        <v>0</v>
      </c>
      <c r="E209" s="1236">
        <f t="shared" si="52"/>
        <v>0</v>
      </c>
      <c r="F209" s="1236">
        <f t="shared" si="52"/>
        <v>0</v>
      </c>
      <c r="G209" s="1236">
        <f t="shared" si="52"/>
        <v>0</v>
      </c>
      <c r="H209" s="1236">
        <f t="shared" si="52"/>
        <v>0</v>
      </c>
      <c r="I209" s="1236">
        <f t="shared" si="52"/>
        <v>0</v>
      </c>
      <c r="J209" s="1236"/>
      <c r="L209" s="649" t="b">
        <v>0</v>
      </c>
      <c r="O209" s="1377"/>
      <c r="P209" s="1372"/>
      <c r="Q209" s="1372"/>
      <c r="R209" s="1397"/>
      <c r="S209" s="1397"/>
      <c r="T209" s="1397"/>
      <c r="U209" s="1397"/>
      <c r="V209" s="1397"/>
    </row>
    <row r="210" spans="2:22" ht="12" customHeight="1">
      <c r="B210" s="596"/>
      <c r="C210" s="527"/>
      <c r="D210" s="658"/>
      <c r="O210" s="1377"/>
      <c r="P210" s="1372"/>
      <c r="Q210" s="1372"/>
      <c r="R210" s="1397"/>
      <c r="S210" s="1397"/>
      <c r="T210" s="1397"/>
      <c r="U210" s="1397"/>
      <c r="V210" s="1397"/>
    </row>
    <row r="211" spans="2:22" ht="13" customHeight="1">
      <c r="B211" s="1214" t="str">
        <f>B$46</f>
        <v>A termék fajtája:</v>
      </c>
      <c r="C211" s="1214">
        <f aca="true" t="shared" si="53" ref="C211:E211">C156</f>
        <v>0</v>
      </c>
      <c r="D211" s="1214">
        <f t="shared" si="53"/>
        <v>0</v>
      </c>
      <c r="E211" s="1214">
        <f t="shared" si="53"/>
        <v>0</v>
      </c>
      <c r="F211" s="1373" t="str">
        <f>F$46</f>
        <v>THA</v>
      </c>
      <c r="G211" s="1373">
        <f aca="true" t="shared" si="54" ref="G211">G156</f>
        <v>0</v>
      </c>
      <c r="H211" s="1373" t="str">
        <f>H$46</f>
        <v>THA Határérték</v>
      </c>
      <c r="I211" s="1373">
        <f aca="true" t="shared" si="55" ref="I211">I156</f>
        <v>0</v>
      </c>
      <c r="J211" s="648"/>
      <c r="O211" s="1377"/>
      <c r="P211" s="1372"/>
      <c r="Q211" s="1372"/>
      <c r="R211" s="1397"/>
      <c r="S211" s="1397"/>
      <c r="T211" s="1397"/>
      <c r="U211" s="1397"/>
      <c r="V211" s="1397"/>
    </row>
    <row r="212" spans="2:22" ht="13" customHeight="1">
      <c r="B212" s="1214">
        <f aca="true" t="shared" si="56" ref="B212:E212">B157</f>
        <v>0</v>
      </c>
      <c r="C212" s="1214">
        <f t="shared" si="56"/>
        <v>0</v>
      </c>
      <c r="D212" s="1214">
        <f t="shared" si="56"/>
        <v>0</v>
      </c>
      <c r="E212" s="1214">
        <f t="shared" si="56"/>
        <v>0</v>
      </c>
      <c r="F212" s="1374" t="str">
        <f>F$47</f>
        <v>g/l tisztítószer oldat</v>
      </c>
      <c r="G212" s="1374">
        <f aca="true" t="shared" si="57" ref="G212">G157</f>
        <v>0</v>
      </c>
      <c r="H212" s="1374" t="str">
        <f>H$47</f>
        <v>g/l tisztítószer oldat</v>
      </c>
      <c r="I212" s="1374">
        <f aca="true" t="shared" si="58" ref="I212">I157</f>
        <v>0</v>
      </c>
      <c r="J212" s="648"/>
      <c r="O212" s="1377"/>
      <c r="P212" s="1372"/>
      <c r="Q212" s="1372"/>
      <c r="R212" s="1397"/>
      <c r="S212" s="1397"/>
      <c r="T212" s="1397"/>
      <c r="U212" s="1397"/>
      <c r="V212" s="1397"/>
    </row>
    <row r="213" spans="2:22" ht="27" customHeight="1">
      <c r="B213" s="1376" t="str">
        <f>B48</f>
        <v>Kézi mosogatószer</v>
      </c>
      <c r="C213" s="1376"/>
      <c r="D213" s="1376"/>
      <c r="E213" s="1376"/>
      <c r="F213" s="1375">
        <f>'Kiszerelés 1-4'!M42</f>
        <v>0</v>
      </c>
      <c r="G213" s="1375">
        <f aca="true" t="shared" si="59" ref="G213">G158</f>
        <v>0</v>
      </c>
      <c r="H213" s="1375" t="e">
        <f>'Kiszerelés 1-4'!M43</f>
        <v>#N/A</v>
      </c>
      <c r="I213" s="1375">
        <f aca="true" t="shared" si="60" ref="I213">I158</f>
        <v>0</v>
      </c>
      <c r="P213" s="131"/>
      <c r="Q213" s="131"/>
      <c r="R213" s="131"/>
      <c r="S213" s="131"/>
      <c r="T213" s="131"/>
      <c r="U213" s="131"/>
      <c r="V213" s="131"/>
    </row>
    <row r="214" spans="2:22" ht="13" customHeight="1">
      <c r="B214" s="596"/>
      <c r="C214" s="527"/>
      <c r="D214" s="658"/>
      <c r="O214" s="911"/>
      <c r="P214" s="673"/>
      <c r="Q214" s="673"/>
      <c r="R214" s="533"/>
      <c r="S214" s="533"/>
      <c r="T214" s="533"/>
      <c r="U214" s="533"/>
      <c r="V214" s="533"/>
    </row>
    <row r="215" spans="2:12" ht="22" customHeight="1">
      <c r="B215" s="596" t="str">
        <f>IF(AND($L$204=TRUE,L215=FALSE),IF(Adatlap!$L$1="Magyar","Jelölje be!","Please, check!"),"")</f>
        <v/>
      </c>
      <c r="C215" s="1202" t="str">
        <f>C$50</f>
        <v>Csatolom a THA kiszámítását bemutató munkalapot.</v>
      </c>
      <c r="D215" s="1202">
        <f aca="true" t="shared" si="61" ref="D215:I215">D160</f>
        <v>0</v>
      </c>
      <c r="E215" s="1202">
        <f t="shared" si="61"/>
        <v>0</v>
      </c>
      <c r="F215" s="1202">
        <f t="shared" si="61"/>
        <v>0</v>
      </c>
      <c r="G215" s="1202">
        <f t="shared" si="61"/>
        <v>0</v>
      </c>
      <c r="H215" s="1202">
        <f t="shared" si="61"/>
        <v>0</v>
      </c>
      <c r="I215" s="1202">
        <f t="shared" si="61"/>
        <v>0</v>
      </c>
      <c r="J215" s="1202"/>
      <c r="L215" s="649" t="b">
        <v>0</v>
      </c>
    </row>
    <row r="216" spans="1:9" ht="26.15" customHeight="1">
      <c r="A216" s="599" t="str">
        <f>A$51</f>
        <v>b)</v>
      </c>
      <c r="B216" s="1366" t="str">
        <f>B$51</f>
        <v>Az újrahasznosítást megkönnyítő kialakítás</v>
      </c>
      <c r="C216" s="1366"/>
      <c r="D216" s="1366"/>
      <c r="E216" s="1366"/>
      <c r="F216" s="1366"/>
      <c r="G216" s="1366"/>
      <c r="H216" s="1366"/>
      <c r="I216" s="1366"/>
    </row>
    <row r="217" spans="2:4" ht="13" customHeight="1">
      <c r="B217" s="674"/>
      <c r="C217" s="527"/>
      <c r="D217" s="658"/>
    </row>
    <row r="218" spans="1:12" ht="13" customHeight="1">
      <c r="A218" s="1364" t="str">
        <f>IF(AND($L$194=TRUE,L218=FALSE),IF(Adatlap!$L$1="Magyar","Jelölje be!","Please, check!"),"")</f>
        <v/>
      </c>
      <c r="B218" s="1236" t="str">
        <f>B$53</f>
        <v>Kijelentem, hogy a termék csomagolása a következő anyagokból áll:</v>
      </c>
      <c r="C218" s="1236">
        <f aca="true" t="shared" si="62" ref="C218:I218">C163</f>
        <v>0</v>
      </c>
      <c r="D218" s="1236">
        <f t="shared" si="62"/>
        <v>0</v>
      </c>
      <c r="E218" s="1236">
        <f t="shared" si="62"/>
        <v>0</v>
      </c>
      <c r="F218" s="1236">
        <f t="shared" si="62"/>
        <v>0</v>
      </c>
      <c r="G218" s="1236">
        <f t="shared" si="62"/>
        <v>0</v>
      </c>
      <c r="H218" s="1236">
        <f t="shared" si="62"/>
        <v>0</v>
      </c>
      <c r="I218" s="1236">
        <f t="shared" si="62"/>
        <v>0</v>
      </c>
      <c r="J218" s="1236"/>
      <c r="L218" s="649" t="b">
        <v>0</v>
      </c>
    </row>
    <row r="219" ht="13" customHeight="1">
      <c r="A219" s="1364">
        <f aca="true" t="shared" si="63" ref="A219">A164</f>
        <v>0</v>
      </c>
    </row>
    <row r="220" spans="2:9" ht="25" customHeight="1">
      <c r="B220" s="1370" t="str">
        <f>B$55</f>
        <v>A tartály vagy palack anyaga</v>
      </c>
      <c r="C220" s="1370">
        <f aca="true" t="shared" si="64" ref="C220:I224">C165</f>
        <v>0</v>
      </c>
      <c r="D220" s="1370">
        <f>'Kiszerelés 1-4'!K47</f>
        <v>0</v>
      </c>
      <c r="E220" s="1370">
        <f t="shared" si="64"/>
        <v>0</v>
      </c>
      <c r="F220" s="1370">
        <f t="shared" si="64"/>
        <v>0</v>
      </c>
      <c r="G220" s="1370">
        <f t="shared" si="64"/>
        <v>0</v>
      </c>
      <c r="H220" s="1370">
        <f t="shared" si="64"/>
        <v>0</v>
      </c>
      <c r="I220" s="1370">
        <f t="shared" si="64"/>
        <v>0</v>
      </c>
    </row>
    <row r="221" spans="2:9" ht="25" customHeight="1">
      <c r="B221" s="1370" t="str">
        <f>B$56</f>
        <v>A címke/ráhúzható címke anyaga</v>
      </c>
      <c r="C221" s="1370">
        <f t="shared" si="64"/>
        <v>0</v>
      </c>
      <c r="D221" s="1370">
        <f>'Kiszerelés 1-4'!K48</f>
        <v>0</v>
      </c>
      <c r="E221" s="1370">
        <f aca="true" t="shared" si="65" ref="E221:I221">E166</f>
        <v>0</v>
      </c>
      <c r="F221" s="1370">
        <f t="shared" si="65"/>
        <v>0</v>
      </c>
      <c r="G221" s="1370">
        <f t="shared" si="65"/>
        <v>0</v>
      </c>
      <c r="H221" s="1370">
        <f t="shared" si="65"/>
        <v>0</v>
      </c>
      <c r="I221" s="1370">
        <f t="shared" si="65"/>
        <v>0</v>
      </c>
    </row>
    <row r="222" spans="2:9" ht="25" customHeight="1">
      <c r="B222" s="1370" t="str">
        <f>B$57</f>
        <v>A záróelem anyaga</v>
      </c>
      <c r="C222" s="1370">
        <f t="shared" si="64"/>
        <v>0</v>
      </c>
      <c r="D222" s="1370">
        <f>'Kiszerelés 1-4'!K49</f>
        <v>0</v>
      </c>
      <c r="E222" s="1370">
        <f aca="true" t="shared" si="66" ref="E222:I222">E167</f>
        <v>0</v>
      </c>
      <c r="F222" s="1370">
        <f t="shared" si="66"/>
        <v>0</v>
      </c>
      <c r="G222" s="1370">
        <f t="shared" si="66"/>
        <v>0</v>
      </c>
      <c r="H222" s="1370">
        <f t="shared" si="66"/>
        <v>0</v>
      </c>
      <c r="I222" s="1370">
        <f t="shared" si="66"/>
        <v>0</v>
      </c>
    </row>
    <row r="223" spans="2:9" ht="25" customHeight="1">
      <c r="B223" s="1370" t="str">
        <f>B$58</f>
        <v>A záróréteg-bevonat anyaga</v>
      </c>
      <c r="C223" s="1370">
        <f t="shared" si="64"/>
        <v>0</v>
      </c>
      <c r="D223" s="1370">
        <f>'Kiszerelés 1-4'!K50</f>
        <v>0</v>
      </c>
      <c r="E223" s="1370">
        <f aca="true" t="shared" si="67" ref="E223:I223">E168</f>
        <v>0</v>
      </c>
      <c r="F223" s="1370">
        <f t="shared" si="67"/>
        <v>0</v>
      </c>
      <c r="G223" s="1370">
        <f t="shared" si="67"/>
        <v>0</v>
      </c>
      <c r="H223" s="1370">
        <f t="shared" si="67"/>
        <v>0</v>
      </c>
      <c r="I223" s="1370">
        <f t="shared" si="67"/>
        <v>0</v>
      </c>
    </row>
    <row r="224" spans="2:9" ht="25" customHeight="1">
      <c r="B224" s="1370" t="str">
        <f>B$59</f>
        <v>Ragasztók</v>
      </c>
      <c r="C224" s="1370">
        <f t="shared" si="64"/>
        <v>0</v>
      </c>
      <c r="D224" s="1371"/>
      <c r="E224" s="1371"/>
      <c r="F224" s="1371"/>
      <c r="G224" s="1371"/>
      <c r="H224" s="1371"/>
      <c r="I224" s="1371"/>
    </row>
    <row r="225" ht="13" customHeight="1"/>
    <row r="226" spans="2:12" ht="25" customHeight="1">
      <c r="B226" s="596" t="str">
        <f>IF(AND(L226=FALSE,L218=TRUE),IF(Adatlap!$L$1="Magyar","Jelölje be!","Please, check!"),"")</f>
        <v/>
      </c>
      <c r="C226" s="1202" t="str">
        <f>C$61</f>
        <v>Csatolom az elsődleges csomagolás fényképét vagy műszaki rajzokat  az elsődleges csomagolásról.</v>
      </c>
      <c r="D226" s="1202"/>
      <c r="E226" s="1202"/>
      <c r="F226" s="1202"/>
      <c r="G226" s="1202"/>
      <c r="H226" s="1202"/>
      <c r="I226" s="1202"/>
      <c r="J226" s="1202"/>
      <c r="L226" s="649" t="b">
        <v>0</v>
      </c>
    </row>
    <row r="227" ht="18" customHeight="1"/>
    <row r="228" spans="1:9" ht="21" customHeight="1">
      <c r="A228" s="1365" t="str">
        <f>'Kiszerelés 5-8'!C10</f>
        <v>5. kiszerelés</v>
      </c>
      <c r="B228" s="1365"/>
      <c r="C228" s="1366"/>
      <c r="D228" s="1366"/>
      <c r="E228" s="1366"/>
      <c r="F228" s="1366"/>
      <c r="G228" s="1366"/>
      <c r="H228" s="1366"/>
      <c r="I228" s="1366"/>
    </row>
    <row r="229" ht="13" customHeight="1"/>
    <row r="230" spans="1:9" ht="13" customHeight="1" hidden="1">
      <c r="A230" s="599" t="str">
        <f>A$10</f>
        <v>a)</v>
      </c>
      <c r="B230" s="1366" t="str">
        <f>B$10</f>
        <v>Szórófejes palackokban értékesített termékek</v>
      </c>
      <c r="C230" s="1366"/>
      <c r="D230" s="1366"/>
      <c r="E230" s="1366"/>
      <c r="F230" s="1366"/>
      <c r="G230" s="1366"/>
      <c r="H230" s="1366"/>
      <c r="I230" s="1366"/>
    </row>
    <row r="231" ht="13" customHeight="1" hidden="1"/>
    <row r="232" spans="1:12" ht="25" customHeight="1" hidden="1">
      <c r="A232" s="528" t="str">
        <f>IF(AND(L232=FALSE,L239=FALSE),IF(Adatlap!$L$1="Magyar","Jelölje be!","Please, check!"),"")</f>
        <v>Jelölje be!</v>
      </c>
      <c r="B232" s="1202" t="str">
        <f>B$12</f>
        <v>Kijelentem, hogy az adott kiszerelés esetében a termék szórófejes palackban kerül forgalomba.</v>
      </c>
      <c r="C232" s="1202" t="str">
        <f aca="true" t="shared" si="68" ref="C232:I232">C178</f>
        <v>Kijelentem, hogy az adott kiszerelésű termékeknél a szórófejes palackok nem tartalmaznak hajtógázt.</v>
      </c>
      <c r="D232" s="1202">
        <f t="shared" si="68"/>
        <v>0</v>
      </c>
      <c r="E232" s="1202">
        <f t="shared" si="68"/>
        <v>0</v>
      </c>
      <c r="F232" s="1202">
        <f t="shared" si="68"/>
        <v>0</v>
      </c>
      <c r="G232" s="1202">
        <f t="shared" si="68"/>
        <v>0</v>
      </c>
      <c r="H232" s="1202">
        <f t="shared" si="68"/>
        <v>0</v>
      </c>
      <c r="I232" s="1202">
        <f t="shared" si="68"/>
        <v>0</v>
      </c>
      <c r="J232" s="1202"/>
      <c r="L232" s="649" t="b">
        <v>0</v>
      </c>
    </row>
    <row r="233" spans="2:12" ht="25" customHeight="1" hidden="1">
      <c r="B233" s="596" t="str">
        <f>IF(AND($L$232=TRUE,L233=FALSE),IF(Adatlap!$L$1="Magyar","Jelölje be!","Please, check!"),"")</f>
        <v/>
      </c>
      <c r="C233" s="1236" t="str">
        <f>C$13</f>
        <v>Kijelentem, hogy az adott kiszerelésű termékeknél a szórófejes palackok nem tartalmaznak hajtógázt.</v>
      </c>
      <c r="D233" s="1236">
        <f aca="true" t="shared" si="69" ref="D233:I233">D179</f>
        <v>0</v>
      </c>
      <c r="E233" s="1236">
        <f t="shared" si="69"/>
        <v>0</v>
      </c>
      <c r="F233" s="1236">
        <f t="shared" si="69"/>
        <v>0</v>
      </c>
      <c r="G233" s="1236">
        <f t="shared" si="69"/>
        <v>0</v>
      </c>
      <c r="H233" s="1236">
        <f t="shared" si="69"/>
        <v>0</v>
      </c>
      <c r="I233" s="1236">
        <f t="shared" si="69"/>
        <v>0</v>
      </c>
      <c r="J233" s="1236"/>
      <c r="L233" s="649" t="b">
        <v>0</v>
      </c>
    </row>
    <row r="234" ht="8.15" customHeight="1" hidden="1"/>
    <row r="235" spans="2:12" ht="25" customHeight="1" hidden="1">
      <c r="B235" s="596" t="str">
        <f>IF(AND($L$232=TRUE,L235=FALSE),IF(Adatlap!$L$1="Magyar","Jelölje be!","Please, check!"),"")</f>
        <v/>
      </c>
      <c r="C235" s="1236" t="str">
        <f>C$15</f>
        <v>Kijelentem, hogy a szórófejes palackok újratölthetőek és újrahasználhatóak.</v>
      </c>
      <c r="D235" s="1236">
        <f aca="true" t="shared" si="70" ref="D235:I235">D181</f>
        <v>0</v>
      </c>
      <c r="E235" s="1236">
        <f t="shared" si="70"/>
        <v>0</v>
      </c>
      <c r="F235" s="1236">
        <f t="shared" si="70"/>
        <v>0</v>
      </c>
      <c r="G235" s="1236">
        <f t="shared" si="70"/>
        <v>0</v>
      </c>
      <c r="H235" s="1236">
        <f t="shared" si="70"/>
        <v>0</v>
      </c>
      <c r="I235" s="1236">
        <f t="shared" si="70"/>
        <v>0</v>
      </c>
      <c r="J235" s="1236"/>
      <c r="L235" s="649" t="b">
        <v>0</v>
      </c>
    </row>
    <row r="236" ht="8.15" customHeight="1" hidden="1"/>
    <row r="237" spans="2:12" ht="25" customHeight="1" hidden="1">
      <c r="B237" s="596" t="str">
        <f>IF(AND($L$232=TRUE,L237=FALSE),IF(Adatlap!$L$1="Magyar","Jelölje be!","Please, check!"),"")</f>
        <v/>
      </c>
      <c r="C237" s="1236" t="str">
        <f>C$17</f>
        <v>Csatolom a megfelelő dokumentációt, amelyik leírja vagy bemutatja, hogy a csomagolás részét képező szórófejes palackokat hogyan lehet utántölteni.</v>
      </c>
      <c r="D237" s="1236">
        <f aca="true" t="shared" si="71" ref="D237:I237">D183</f>
        <v>0</v>
      </c>
      <c r="E237" s="1236">
        <f t="shared" si="71"/>
        <v>0</v>
      </c>
      <c r="F237" s="1236">
        <f t="shared" si="71"/>
        <v>0</v>
      </c>
      <c r="G237" s="1236">
        <f t="shared" si="71"/>
        <v>0</v>
      </c>
      <c r="H237" s="1236">
        <f t="shared" si="71"/>
        <v>0</v>
      </c>
      <c r="I237" s="1236">
        <f t="shared" si="71"/>
        <v>0</v>
      </c>
      <c r="J237" s="1236"/>
      <c r="L237" s="649" t="b">
        <v>0</v>
      </c>
    </row>
    <row r="238" ht="13" customHeight="1" hidden="1"/>
    <row r="239" spans="1:12" ht="25" customHeight="1" hidden="1">
      <c r="A239" s="528" t="str">
        <f>IF(AND(L232=FALSE,L239=FALSE),IF(Adatlap!$L$1="Magyar","Jelölje be!","Please, check!"),"")</f>
        <v>Jelölje be!</v>
      </c>
      <c r="B239" s="1202" t="str">
        <f>B$19</f>
        <v>Kijelentem, hogy az adott kiszerelés nem tartalmaz szórófejes palackot.</v>
      </c>
      <c r="C239" s="1202">
        <f aca="true" t="shared" si="72" ref="C239:I239">C185</f>
        <v>0</v>
      </c>
      <c r="D239" s="1202">
        <f t="shared" si="72"/>
        <v>0</v>
      </c>
      <c r="E239" s="1202">
        <f t="shared" si="72"/>
        <v>0</v>
      </c>
      <c r="F239" s="1202">
        <f t="shared" si="72"/>
        <v>0</v>
      </c>
      <c r="G239" s="1202">
        <f t="shared" si="72"/>
        <v>0</v>
      </c>
      <c r="H239" s="1202">
        <f t="shared" si="72"/>
        <v>0</v>
      </c>
      <c r="I239" s="1202">
        <f t="shared" si="72"/>
        <v>0</v>
      </c>
      <c r="J239" s="1202"/>
      <c r="L239" s="649" t="b">
        <v>0</v>
      </c>
    </row>
    <row r="240" ht="13" customHeight="1" hidden="1"/>
    <row r="241" spans="1:10" ht="13" customHeight="1" hidden="1">
      <c r="A241" s="599" t="s">
        <v>1801</v>
      </c>
      <c r="B241" s="1336" t="str">
        <f>B$21</f>
        <v>Csomagolás-visszaváltási rendszerek</v>
      </c>
      <c r="C241" s="1336">
        <f aca="true" t="shared" si="73" ref="C241:I241">C187</f>
        <v>0</v>
      </c>
      <c r="D241" s="1336">
        <f t="shared" si="73"/>
        <v>0</v>
      </c>
      <c r="E241" s="1336">
        <f t="shared" si="73"/>
        <v>0</v>
      </c>
      <c r="F241" s="1336">
        <f t="shared" si="73"/>
        <v>0</v>
      </c>
      <c r="G241" s="1336">
        <f t="shared" si="73"/>
        <v>0</v>
      </c>
      <c r="H241" s="1336">
        <f t="shared" si="73"/>
        <v>0</v>
      </c>
      <c r="I241" s="1336">
        <f t="shared" si="73"/>
        <v>0</v>
      </c>
      <c r="J241" s="1336"/>
    </row>
    <row r="242" ht="13" customHeight="1" hidden="1"/>
    <row r="243" spans="1:12" ht="25" customHeight="1" hidden="1">
      <c r="A243" s="528" t="str">
        <f>IF(AND(L243=FALSE,L249=FALSE),IF(Adatlap!$L$1="Magyar","Jelölje be!","Please, check!"),"")</f>
        <v>Jelölje be!</v>
      </c>
      <c r="B243" s="1202" t="str">
        <f>B$23</f>
        <v>Kijelentem, hogy a termék a termékre / az adott kiszerelésre vonatkozó visszaváltási rendszer hatálya alá tartozó csomagolásban kerül forgalomba.</v>
      </c>
      <c r="C243" s="1202">
        <f aca="true" t="shared" si="74" ref="C243:I243">C189</f>
        <v>0</v>
      </c>
      <c r="D243" s="1202">
        <f t="shared" si="74"/>
        <v>0</v>
      </c>
      <c r="E243" s="1202">
        <f t="shared" si="74"/>
        <v>0</v>
      </c>
      <c r="F243" s="1202">
        <f t="shared" si="74"/>
        <v>0</v>
      </c>
      <c r="G243" s="1202">
        <f t="shared" si="74"/>
        <v>0</v>
      </c>
      <c r="H243" s="1202">
        <f t="shared" si="74"/>
        <v>0</v>
      </c>
      <c r="I243" s="1202">
        <f t="shared" si="74"/>
        <v>0</v>
      </c>
      <c r="J243" s="1202"/>
      <c r="L243" s="649" t="b">
        <v>0</v>
      </c>
    </row>
    <row r="244" spans="3:10" ht="13" customHeight="1" hidden="1">
      <c r="C244" s="659"/>
      <c r="D244" s="659"/>
      <c r="E244" s="659"/>
      <c r="F244" s="659"/>
      <c r="G244" s="659"/>
      <c r="H244" s="659"/>
      <c r="I244" s="659"/>
      <c r="J244" s="659"/>
    </row>
    <row r="245" spans="2:12" ht="25" customHeight="1" hidden="1">
      <c r="B245" s="596" t="str">
        <f>IF(AND($L$243=TRUE,L245=FALSE),IF(Adatlap!$L$1="Magyar","Jelölje be!","Please, check!"),"")</f>
        <v/>
      </c>
      <c r="C245" s="1236" t="str">
        <f>C$25</f>
        <v>Csatolom a megfelelő dokumentációt, amelyik leírja vagy bizonyítja, hogy a csomagolás-visszaváltási rendszer megvalósult.</v>
      </c>
      <c r="D245" s="1236">
        <f aca="true" t="shared" si="75" ref="D245:I245">D191</f>
        <v>0</v>
      </c>
      <c r="E245" s="1236">
        <f t="shared" si="75"/>
        <v>0</v>
      </c>
      <c r="F245" s="1236">
        <f t="shared" si="75"/>
        <v>0</v>
      </c>
      <c r="G245" s="1236">
        <f t="shared" si="75"/>
        <v>0</v>
      </c>
      <c r="H245" s="1236">
        <f t="shared" si="75"/>
        <v>0</v>
      </c>
      <c r="I245" s="1236">
        <f t="shared" si="75"/>
        <v>0</v>
      </c>
      <c r="J245" s="1236"/>
      <c r="L245" s="649" t="b">
        <v>0</v>
      </c>
    </row>
    <row r="246" ht="8.15" customHeight="1" hidden="1"/>
    <row r="247" spans="2:12" ht="25" customHeight="1" hidden="1">
      <c r="B247" s="596" t="str">
        <f>IF(AND($L$243=TRUE,L247=FALSE),IF(Adatlap!$L$1="Magyar","Jelölje be!","Please, check!"),"")</f>
        <v/>
      </c>
      <c r="C247" s="1368" t="str">
        <f>C$27</f>
        <v>Az adott kiszerelés mentesül az 5. c) és d) pontokban megfogalmazott követelmények alól.</v>
      </c>
      <c r="D247" s="1368"/>
      <c r="E247" s="1368"/>
      <c r="F247" s="1368"/>
      <c r="G247" s="1368"/>
      <c r="H247" s="1368"/>
      <c r="I247" s="1368"/>
      <c r="J247" s="1368"/>
      <c r="L247" s="649" t="b">
        <v>0</v>
      </c>
    </row>
    <row r="248" ht="8.15" customHeight="1" hidden="1"/>
    <row r="249" spans="1:12" ht="27" customHeight="1" hidden="1">
      <c r="A249" s="655" t="str">
        <f>IF(AND(L243=FALSE,L249=FALSE),IF(Adatlap!$L$1="Magyar","Jelölje be!","Please, check!"),"")</f>
        <v>Jelölje be!</v>
      </c>
      <c r="B249" s="1202" t="str">
        <f>B$29</f>
        <v>Kijelentem, hogy a termék NEM a termékre / az adott kiszerelésre vonatkozó visszaváltási rendszer hatálya alá tartozó csomagolásban kerül forgalomba, így nem mentesül az 5. kritérium c) és d) pontjában megadott kritériumok alól. (A c) és d) pontokat ki kell tölteni.)</v>
      </c>
      <c r="C249" s="1202">
        <f aca="true" t="shared" si="76" ref="C249:I250">C195</f>
        <v>0</v>
      </c>
      <c r="D249" s="1202">
        <f t="shared" si="76"/>
        <v>0</v>
      </c>
      <c r="E249" s="1202">
        <f t="shared" si="76"/>
        <v>0</v>
      </c>
      <c r="F249" s="1202">
        <f t="shared" si="76"/>
        <v>0</v>
      </c>
      <c r="G249" s="1202">
        <f t="shared" si="76"/>
        <v>0</v>
      </c>
      <c r="H249" s="1202">
        <f t="shared" si="76"/>
        <v>0</v>
      </c>
      <c r="I249" s="1202">
        <f t="shared" si="76"/>
        <v>0</v>
      </c>
      <c r="J249" s="1202"/>
      <c r="L249" s="649" t="b">
        <v>0</v>
      </c>
    </row>
    <row r="250" spans="1:10" ht="14.25" customHeight="1" hidden="1">
      <c r="A250" s="675"/>
      <c r="B250" s="1202">
        <f>B196</f>
        <v>0</v>
      </c>
      <c r="C250" s="1202">
        <f t="shared" si="76"/>
        <v>0</v>
      </c>
      <c r="D250" s="1202">
        <f t="shared" si="76"/>
        <v>0</v>
      </c>
      <c r="E250" s="1202">
        <f t="shared" si="76"/>
        <v>0</v>
      </c>
      <c r="F250" s="1202">
        <f t="shared" si="76"/>
        <v>0</v>
      </c>
      <c r="G250" s="1202">
        <f t="shared" si="76"/>
        <v>0</v>
      </c>
      <c r="H250" s="1202">
        <f t="shared" si="76"/>
        <v>0</v>
      </c>
      <c r="I250" s="1202">
        <f t="shared" si="76"/>
        <v>0</v>
      </c>
      <c r="J250" s="1202"/>
    </row>
    <row r="251" spans="2:10" ht="13" customHeight="1" hidden="1">
      <c r="B251" s="657"/>
      <c r="C251" s="657"/>
      <c r="D251" s="657"/>
      <c r="E251" s="657"/>
      <c r="F251" s="657"/>
      <c r="G251" s="657"/>
      <c r="H251" s="657"/>
      <c r="I251" s="657"/>
      <c r="J251" s="657"/>
    </row>
    <row r="252" spans="1:10" ht="13" customHeight="1">
      <c r="A252" s="599" t="str">
        <f>A$32</f>
        <v>a)</v>
      </c>
      <c r="B252" s="1369" t="str">
        <f>B$32</f>
        <v>Tömeg/hasznosság arány (THA)</v>
      </c>
      <c r="C252" s="1369"/>
      <c r="D252" s="1369"/>
      <c r="E252" s="1369"/>
      <c r="F252" s="1369"/>
      <c r="G252" s="1369"/>
      <c r="H252" s="1369"/>
      <c r="I252" s="1369"/>
      <c r="J252" s="1369"/>
    </row>
    <row r="253" spans="2:10" ht="13" customHeight="1">
      <c r="B253" s="657"/>
      <c r="C253" s="657"/>
      <c r="D253" s="657"/>
      <c r="E253" s="657"/>
      <c r="F253" s="657"/>
      <c r="G253" s="657"/>
      <c r="H253" s="657"/>
      <c r="I253" s="657"/>
      <c r="J253" s="657"/>
    </row>
    <row r="254" spans="1:18" ht="28" customHeight="1">
      <c r="A254" s="596" t="s">
        <v>2241</v>
      </c>
      <c r="B254" s="1236" t="str">
        <f>B$34</f>
        <v>Kijelentem, hogy az adott kiszerelésben a termék elsődleges csomagolása TÖBB mint 80 %-ban újrahasznosított anyagokból készül.</v>
      </c>
      <c r="C254" s="1236">
        <f aca="true" t="shared" si="77" ref="C254:I254">C200</f>
        <v>0</v>
      </c>
      <c r="D254" s="1236">
        <f t="shared" si="77"/>
        <v>0</v>
      </c>
      <c r="E254" s="1236">
        <f t="shared" si="77"/>
        <v>0</v>
      </c>
      <c r="F254" s="1236">
        <f t="shared" si="77"/>
        <v>0</v>
      </c>
      <c r="G254" s="1236">
        <f t="shared" si="77"/>
        <v>0</v>
      </c>
      <c r="H254" s="1236">
        <f t="shared" si="77"/>
        <v>0</v>
      </c>
      <c r="I254" s="1236">
        <f t="shared" si="77"/>
        <v>0</v>
      </c>
      <c r="J254" s="1236"/>
      <c r="L254" s="649" t="b">
        <v>0</v>
      </c>
      <c r="O254" s="913" t="str">
        <f>IF(AND(L249=TRUE,L254=FALSE,L259=FALSE),IF(Adatlap!$L$1="Magyar","Jelölje be!","Please, check!"),"")</f>
        <v/>
      </c>
      <c r="P254" t="str">
        <f>IF(AND(L254=FALSE,L259=FALSE),IF(Adatlap!$L$1="Magyar","Jelölje be!","Please, check!"),"")</f>
        <v>Jelölje be!</v>
      </c>
      <c r="Q254">
        <f>IF(AND(L249=TRUE,L254=FALSE,L259=FALSE),1,0)</f>
        <v>0</v>
      </c>
      <c r="R254" s="523">
        <f>IF(AND(L254=FALSE,L259=FALSE),1,0)</f>
        <v>1</v>
      </c>
    </row>
    <row r="255" spans="1:10" ht="8.15" customHeight="1">
      <c r="A255" s="596"/>
      <c r="B255" s="658"/>
      <c r="C255" s="658"/>
      <c r="D255" s="658"/>
      <c r="E255" s="658"/>
      <c r="F255" s="658"/>
      <c r="G255" s="658"/>
      <c r="H255" s="658"/>
      <c r="I255" s="658"/>
      <c r="J255" s="658"/>
    </row>
    <row r="256" spans="1:2" ht="13" customHeight="1">
      <c r="A256" s="596"/>
      <c r="B256" s="527" t="str">
        <f>B$36</f>
        <v>Csatolom a nyilatkozatot alátámasztó dokumentációt:</v>
      </c>
    </row>
    <row r="257" spans="1:12" ht="25" customHeight="1">
      <c r="A257" s="596"/>
      <c r="B257" s="596" t="str">
        <f>IF(AND(L254=TRUE,L257=FALSE,L258=FALSE),IF(Adatlap!$L$1="Magyar","Jelölje be!","Please, check!"),"")</f>
        <v/>
      </c>
      <c r="C257" s="527" t="str">
        <f>C$37</f>
        <v>Gyártói nyilatkozat(ok)</v>
      </c>
      <c r="D257" s="527"/>
      <c r="E257" s="527"/>
      <c r="F257" s="527"/>
      <c r="G257" s="527"/>
      <c r="H257" s="527"/>
      <c r="I257" s="527"/>
      <c r="J257" s="527"/>
      <c r="L257" s="649" t="b">
        <v>0</v>
      </c>
    </row>
    <row r="258" spans="2:12" ht="25" customHeight="1">
      <c r="B258" s="596" t="str">
        <f>IF(AND($L$254=TRUE,L257=FALSE,L258=FALSE),IF(Adatlap!$L$1="Magyar","Jelölje be!","Please, check!"),"")</f>
        <v/>
      </c>
      <c r="C258" s="1367" t="str">
        <f>C$38</f>
        <v>Egyéb (nevezze meg):</v>
      </c>
      <c r="D258" s="1367"/>
      <c r="E258" s="1367"/>
      <c r="F258" s="1367"/>
      <c r="G258" s="1367"/>
      <c r="H258" s="1367"/>
      <c r="I258" s="1367"/>
      <c r="J258" s="1367"/>
      <c r="L258" s="649" t="b">
        <v>0</v>
      </c>
    </row>
    <row r="259" spans="1:12" ht="25" customHeight="1">
      <c r="A259" s="596" t="s">
        <v>2241</v>
      </c>
      <c r="B259" s="1202" t="str">
        <f>B39</f>
        <v>Kijelentem, hogy az adott kiszerelés esetében a  termék elsődleges csomagolásához felhasznált újrahasznosított anyagok aránya KEVESEBB mint 80%.</v>
      </c>
      <c r="C259" s="1202">
        <f aca="true" t="shared" si="78" ref="C259:I259">C205</f>
        <v>0</v>
      </c>
      <c r="D259" s="1202">
        <f t="shared" si="78"/>
        <v>0</v>
      </c>
      <c r="E259" s="1202">
        <f t="shared" si="78"/>
        <v>0</v>
      </c>
      <c r="F259" s="1202">
        <f t="shared" si="78"/>
        <v>0</v>
      </c>
      <c r="G259" s="1202">
        <f t="shared" si="78"/>
        <v>0</v>
      </c>
      <c r="H259" s="1202">
        <f t="shared" si="78"/>
        <v>0</v>
      </c>
      <c r="I259" s="1202">
        <f t="shared" si="78"/>
        <v>0</v>
      </c>
      <c r="J259" s="1202"/>
      <c r="L259" s="649" t="b">
        <v>0</v>
      </c>
    </row>
    <row r="260" spans="1:2" ht="25" customHeight="1">
      <c r="A260" s="596"/>
      <c r="B260" s="527" t="str">
        <f>B$40</f>
        <v>Csatolom a nyilatkozatot alátámasztó dokumentációt:</v>
      </c>
    </row>
    <row r="261" spans="1:12" ht="25" customHeight="1">
      <c r="A261" s="596"/>
      <c r="B261" s="596" t="str">
        <f>IF(AND(L259=TRUE,L261=FALSE,L262=FALSE),IF(Adatlap!$L$1="Magyar","Jelölje be!","Please, check!"),"")</f>
        <v/>
      </c>
      <c r="C261" s="646" t="str">
        <f>C$41</f>
        <v>Gyártói nyilatkozat(ok)</v>
      </c>
      <c r="D261" s="658"/>
      <c r="E261" s="658"/>
      <c r="F261" s="658"/>
      <c r="G261" s="658"/>
      <c r="H261" s="658"/>
      <c r="I261" s="658"/>
      <c r="J261" s="658"/>
      <c r="L261" s="649" t="b">
        <v>0</v>
      </c>
    </row>
    <row r="262" spans="2:12" ht="25" customHeight="1">
      <c r="B262" s="596" t="str">
        <f>IF(AND(L259=TRUE,L261=FALSE,L262=FALSE),IF(Adatlap!$L$1="Magyar","Jelölje be!","Please, check!"),"")</f>
        <v/>
      </c>
      <c r="C262" s="646" t="str">
        <f>C$42</f>
        <v>Egyéb (nevezze meg):</v>
      </c>
      <c r="D262" s="657"/>
      <c r="E262" s="1382"/>
      <c r="F262" s="1382"/>
      <c r="G262" s="1382"/>
      <c r="H262" s="1382"/>
      <c r="I262" s="1382"/>
      <c r="J262" s="1382"/>
      <c r="L262" s="649" t="b">
        <v>0</v>
      </c>
    </row>
    <row r="263" spans="1:10" ht="8.15" customHeight="1">
      <c r="A263" s="596"/>
      <c r="B263" s="658"/>
      <c r="C263" s="658"/>
      <c r="D263" s="658"/>
      <c r="E263" s="658"/>
      <c r="F263" s="658"/>
      <c r="G263" s="658"/>
      <c r="H263" s="658"/>
      <c r="I263" s="658"/>
      <c r="J263" s="658"/>
    </row>
    <row r="264" spans="2:22" ht="24" customHeight="1">
      <c r="B264" s="596" t="str">
        <f>IF(AND(L259=TRUE,L264=FALSE),IF(Adatlap!$L$1="Magyar","Jelölje be!","Please, check!"),"")</f>
        <v/>
      </c>
      <c r="C264" s="1236" t="str">
        <f>C$44</f>
        <v>Kijelentem, hogy az adott kiszerelés esetében a THA arány nem haladja meg a vonatkozó határértéket.</v>
      </c>
      <c r="D264" s="1236">
        <f aca="true" t="shared" si="79" ref="D264:I264">D210</f>
        <v>0</v>
      </c>
      <c r="E264" s="1236">
        <f t="shared" si="79"/>
        <v>0</v>
      </c>
      <c r="F264" s="1236">
        <f t="shared" si="79"/>
        <v>0</v>
      </c>
      <c r="G264" s="1236">
        <f t="shared" si="79"/>
        <v>0</v>
      </c>
      <c r="H264" s="1236">
        <f t="shared" si="79"/>
        <v>0</v>
      </c>
      <c r="I264" s="1236">
        <f t="shared" si="79"/>
        <v>0</v>
      </c>
      <c r="J264" s="1236"/>
      <c r="L264" s="649" t="b">
        <v>0</v>
      </c>
      <c r="O264" s="1377"/>
      <c r="P264" s="1372"/>
      <c r="Q264" s="1372"/>
      <c r="R264" s="1397"/>
      <c r="S264" s="1397"/>
      <c r="T264" s="1397"/>
      <c r="U264" s="1397"/>
      <c r="V264" s="1397"/>
    </row>
    <row r="265" spans="2:22" ht="12" customHeight="1">
      <c r="B265" s="596"/>
      <c r="C265" s="527"/>
      <c r="D265" s="658"/>
      <c r="O265" s="1377"/>
      <c r="P265" s="1372"/>
      <c r="Q265" s="1372"/>
      <c r="R265" s="1397"/>
      <c r="S265" s="1397"/>
      <c r="T265" s="1397"/>
      <c r="U265" s="1397"/>
      <c r="V265" s="1397"/>
    </row>
    <row r="266" spans="2:22" ht="13" customHeight="1">
      <c r="B266" s="1214" t="str">
        <f>B$46</f>
        <v>A termék fajtája:</v>
      </c>
      <c r="C266" s="1214">
        <f aca="true" t="shared" si="80" ref="C266:E267">C212</f>
        <v>0</v>
      </c>
      <c r="D266" s="1214">
        <f t="shared" si="80"/>
        <v>0</v>
      </c>
      <c r="E266" s="1214">
        <f t="shared" si="80"/>
        <v>0</v>
      </c>
      <c r="F266" s="1373" t="str">
        <f>F$46</f>
        <v>THA</v>
      </c>
      <c r="G266" s="1373">
        <f>G212</f>
        <v>0</v>
      </c>
      <c r="H266" s="1373" t="str">
        <f>H$46</f>
        <v>THA Határérték</v>
      </c>
      <c r="I266" s="1373">
        <f>I212</f>
        <v>0</v>
      </c>
      <c r="J266" s="648"/>
      <c r="O266" s="1377"/>
      <c r="P266" s="1372"/>
      <c r="Q266" s="1372"/>
      <c r="R266" s="1397"/>
      <c r="S266" s="1397"/>
      <c r="T266" s="1397"/>
      <c r="U266" s="1397"/>
      <c r="V266" s="1397"/>
    </row>
    <row r="267" spans="2:22" ht="13" customHeight="1">
      <c r="B267" s="1214" t="str">
        <f>B213</f>
        <v>Kézi mosogatószer</v>
      </c>
      <c r="C267" s="1214">
        <f t="shared" si="80"/>
        <v>0</v>
      </c>
      <c r="D267" s="1214">
        <f t="shared" si="80"/>
        <v>0</v>
      </c>
      <c r="E267" s="1214">
        <f t="shared" si="80"/>
        <v>0</v>
      </c>
      <c r="F267" s="1374" t="str">
        <f>F$47</f>
        <v>g/l tisztítószer oldat</v>
      </c>
      <c r="G267" s="1374">
        <f>G213</f>
        <v>0</v>
      </c>
      <c r="H267" s="1374" t="str">
        <f>H$47</f>
        <v>g/l tisztítószer oldat</v>
      </c>
      <c r="I267" s="1374">
        <f>I213</f>
        <v>0</v>
      </c>
      <c r="J267" s="648"/>
      <c r="O267" s="1377"/>
      <c r="P267" s="1372"/>
      <c r="Q267" s="1372"/>
      <c r="R267" s="1397"/>
      <c r="S267" s="1397"/>
      <c r="T267" s="1397"/>
      <c r="U267" s="1397"/>
      <c r="V267" s="1397"/>
    </row>
    <row r="268" spans="2:22" ht="27" customHeight="1">
      <c r="B268" s="1376" t="str">
        <f>B48</f>
        <v>Kézi mosogatószer</v>
      </c>
      <c r="C268" s="1376"/>
      <c r="D268" s="1376"/>
      <c r="E268" s="1376"/>
      <c r="F268" s="1375">
        <f>'Kiszerelés 5-8'!F21</f>
        <v>0</v>
      </c>
      <c r="G268" s="1375">
        <f>G214</f>
        <v>0</v>
      </c>
      <c r="H268" s="1375" t="e">
        <f>'Kiszerelés 5-8'!F22</f>
        <v>#N/A</v>
      </c>
      <c r="I268" s="1375">
        <f>I214</f>
        <v>0</v>
      </c>
      <c r="P268" s="131"/>
      <c r="Q268" s="131"/>
      <c r="R268" s="131"/>
      <c r="S268" s="131"/>
      <c r="T268" s="131"/>
      <c r="U268" s="131"/>
      <c r="V268" s="131"/>
    </row>
    <row r="269" spans="2:22" ht="13" customHeight="1">
      <c r="B269" s="596"/>
      <c r="C269" s="527"/>
      <c r="D269" s="658"/>
      <c r="O269" s="911"/>
      <c r="P269" s="673"/>
      <c r="Q269" s="673"/>
      <c r="R269" s="533"/>
      <c r="S269" s="533"/>
      <c r="T269" s="533"/>
      <c r="U269" s="533"/>
      <c r="V269" s="533"/>
    </row>
    <row r="270" spans="2:12" ht="22" customHeight="1">
      <c r="B270" s="596" t="str">
        <f>IF(AND($L$259=TRUE,L270=FALSE),IF(Adatlap!$L$1="Magyar","Jelölje be!","Please, check!"),"")</f>
        <v/>
      </c>
      <c r="C270" s="1202" t="str">
        <f>C$50</f>
        <v>Csatolom a THA kiszámítását bemutató munkalapot.</v>
      </c>
      <c r="D270" s="1202">
        <f aca="true" t="shared" si="81" ref="D270:I270">D216</f>
        <v>0</v>
      </c>
      <c r="E270" s="1202">
        <f t="shared" si="81"/>
        <v>0</v>
      </c>
      <c r="F270" s="1202">
        <f t="shared" si="81"/>
        <v>0</v>
      </c>
      <c r="G270" s="1202">
        <f t="shared" si="81"/>
        <v>0</v>
      </c>
      <c r="H270" s="1202">
        <f t="shared" si="81"/>
        <v>0</v>
      </c>
      <c r="I270" s="1202">
        <f t="shared" si="81"/>
        <v>0</v>
      </c>
      <c r="J270" s="1202"/>
      <c r="L270" s="649" t="b">
        <v>0</v>
      </c>
    </row>
    <row r="271" spans="1:9" ht="26.15" customHeight="1">
      <c r="A271" s="599" t="str">
        <f>A$51</f>
        <v>b)</v>
      </c>
      <c r="B271" s="1366" t="str">
        <f>B$51</f>
        <v>Az újrahasznosítást megkönnyítő kialakítás</v>
      </c>
      <c r="C271" s="1366"/>
      <c r="D271" s="1366"/>
      <c r="E271" s="1366"/>
      <c r="F271" s="1366"/>
      <c r="G271" s="1366"/>
      <c r="H271" s="1366"/>
      <c r="I271" s="1366"/>
    </row>
    <row r="272" spans="2:4" ht="13" customHeight="1">
      <c r="B272" s="674"/>
      <c r="C272" s="527"/>
      <c r="D272" s="658"/>
    </row>
    <row r="273" spans="1:12" ht="13" customHeight="1">
      <c r="A273" s="1364" t="str">
        <f>IF(AND($L$249=TRUE,L273=FALSE),IF(Adatlap!$L$1="Magyar","Jelölje be!","Please, check!"),"")</f>
        <v/>
      </c>
      <c r="B273" s="1236" t="str">
        <f>B$53</f>
        <v>Kijelentem, hogy a termék csomagolása a következő anyagokból áll:</v>
      </c>
      <c r="C273" s="1236">
        <f aca="true" t="shared" si="82" ref="C273:I273">C219</f>
        <v>0</v>
      </c>
      <c r="D273" s="1236">
        <f t="shared" si="82"/>
        <v>0</v>
      </c>
      <c r="E273" s="1236">
        <f t="shared" si="82"/>
        <v>0</v>
      </c>
      <c r="F273" s="1236">
        <f t="shared" si="82"/>
        <v>0</v>
      </c>
      <c r="G273" s="1236">
        <f t="shared" si="82"/>
        <v>0</v>
      </c>
      <c r="H273" s="1236">
        <f t="shared" si="82"/>
        <v>0</v>
      </c>
      <c r="I273" s="1236">
        <f t="shared" si="82"/>
        <v>0</v>
      </c>
      <c r="J273" s="1236"/>
      <c r="L273" s="649" t="b">
        <v>0</v>
      </c>
    </row>
    <row r="274" ht="13" customHeight="1">
      <c r="A274" s="1364"/>
    </row>
    <row r="275" spans="2:9" ht="25" customHeight="1">
      <c r="B275" s="1370" t="str">
        <f>B$55</f>
        <v>A tartály vagy palack anyaga</v>
      </c>
      <c r="C275" s="1370">
        <f aca="true" t="shared" si="83" ref="C275:I275">C221</f>
        <v>0</v>
      </c>
      <c r="D275" s="1370">
        <f>'Kiszerelés 5-8'!D26</f>
        <v>0</v>
      </c>
      <c r="E275" s="1370">
        <f t="shared" si="83"/>
        <v>0</v>
      </c>
      <c r="F275" s="1370">
        <f t="shared" si="83"/>
        <v>0</v>
      </c>
      <c r="G275" s="1370">
        <f t="shared" si="83"/>
        <v>0</v>
      </c>
      <c r="H275" s="1370">
        <f t="shared" si="83"/>
        <v>0</v>
      </c>
      <c r="I275" s="1370">
        <f t="shared" si="83"/>
        <v>0</v>
      </c>
    </row>
    <row r="276" spans="2:9" ht="25" customHeight="1">
      <c r="B276" s="1370" t="str">
        <f>B$56</f>
        <v>A címke/ráhúzható címke anyaga</v>
      </c>
      <c r="C276" s="1370">
        <f>C222</f>
        <v>0</v>
      </c>
      <c r="D276" s="1370">
        <f>'Kiszerelés 5-8'!D27</f>
        <v>0</v>
      </c>
      <c r="E276" s="1370">
        <f aca="true" t="shared" si="84" ref="E276:I276">E222</f>
        <v>0</v>
      </c>
      <c r="F276" s="1370">
        <f t="shared" si="84"/>
        <v>0</v>
      </c>
      <c r="G276" s="1370">
        <f t="shared" si="84"/>
        <v>0</v>
      </c>
      <c r="H276" s="1370">
        <f t="shared" si="84"/>
        <v>0</v>
      </c>
      <c r="I276" s="1370">
        <f t="shared" si="84"/>
        <v>0</v>
      </c>
    </row>
    <row r="277" spans="2:9" ht="25" customHeight="1">
      <c r="B277" s="1370" t="str">
        <f>B$57</f>
        <v>A záróelem anyaga</v>
      </c>
      <c r="C277" s="1370">
        <f>C223</f>
        <v>0</v>
      </c>
      <c r="D277" s="1370">
        <f>'Kiszerelés 5-8'!D28</f>
        <v>0</v>
      </c>
      <c r="E277" s="1370">
        <f aca="true" t="shared" si="85" ref="E277:I277">E223</f>
        <v>0</v>
      </c>
      <c r="F277" s="1370">
        <f t="shared" si="85"/>
        <v>0</v>
      </c>
      <c r="G277" s="1370">
        <f t="shared" si="85"/>
        <v>0</v>
      </c>
      <c r="H277" s="1370">
        <f t="shared" si="85"/>
        <v>0</v>
      </c>
      <c r="I277" s="1370">
        <f t="shared" si="85"/>
        <v>0</v>
      </c>
    </row>
    <row r="278" spans="2:9" ht="25" customHeight="1">
      <c r="B278" s="1370" t="str">
        <f>B$58</f>
        <v>A záróréteg-bevonat anyaga</v>
      </c>
      <c r="C278" s="1370">
        <f>C224</f>
        <v>0</v>
      </c>
      <c r="D278" s="1370">
        <f>'Kiszerelés 5-8'!D29</f>
        <v>0</v>
      </c>
      <c r="E278" s="1370">
        <f aca="true" t="shared" si="86" ref="E278:I278">E224</f>
        <v>0</v>
      </c>
      <c r="F278" s="1370">
        <f t="shared" si="86"/>
        <v>0</v>
      </c>
      <c r="G278" s="1370">
        <f t="shared" si="86"/>
        <v>0</v>
      </c>
      <c r="H278" s="1370">
        <f t="shared" si="86"/>
        <v>0</v>
      </c>
      <c r="I278" s="1370">
        <f t="shared" si="86"/>
        <v>0</v>
      </c>
    </row>
    <row r="279" spans="2:9" ht="25" customHeight="1">
      <c r="B279" s="1370" t="str">
        <f>B$59</f>
        <v>Ragasztók</v>
      </c>
      <c r="C279" s="1370">
        <f>C225</f>
        <v>0</v>
      </c>
      <c r="D279" s="1371"/>
      <c r="E279" s="1371"/>
      <c r="F279" s="1371"/>
      <c r="G279" s="1371"/>
      <c r="H279" s="1371"/>
      <c r="I279" s="1371"/>
    </row>
    <row r="280" ht="13" customHeight="1"/>
    <row r="281" spans="2:12" ht="25" customHeight="1">
      <c r="B281" s="596" t="str">
        <f>IF(AND(L281=FALSE,L273=TRUE),IF(Adatlap!$L$1="Magyar","Jelölje be!","Please, check!"),"")</f>
        <v/>
      </c>
      <c r="C281" s="1202" t="str">
        <f>C$61</f>
        <v>Csatolom az elsődleges csomagolás fényképét vagy műszaki rajzokat  az elsődleges csomagolásról.</v>
      </c>
      <c r="D281" s="1202"/>
      <c r="E281" s="1202"/>
      <c r="F281" s="1202"/>
      <c r="G281" s="1202"/>
      <c r="H281" s="1202"/>
      <c r="I281" s="1202"/>
      <c r="J281" s="1202"/>
      <c r="L281" s="649" t="b">
        <v>0</v>
      </c>
    </row>
    <row r="282" ht="18" customHeight="1"/>
    <row r="283" spans="1:9" ht="21" customHeight="1">
      <c r="A283" s="1365" t="str">
        <f>'Kiszerelés 5-8'!C31</f>
        <v>6. kiszerelés</v>
      </c>
      <c r="B283" s="1365"/>
      <c r="C283" s="1366" t="str">
        <f>IF('Kiszerelés 5-8'!C32="","",'Kiszerelés 5-8'!C32)</f>
        <v/>
      </c>
      <c r="D283" s="1366"/>
      <c r="E283" s="1366"/>
      <c r="F283" s="1366"/>
      <c r="G283" s="1366"/>
      <c r="H283" s="1366"/>
      <c r="I283" s="1366"/>
    </row>
    <row r="284" ht="13" customHeight="1"/>
    <row r="285" spans="1:9" ht="13" customHeight="1" hidden="1">
      <c r="A285" s="599" t="str">
        <f>A$10</f>
        <v>a)</v>
      </c>
      <c r="B285" s="1366" t="str">
        <f>B$10</f>
        <v>Szórófejes palackokban értékesített termékek</v>
      </c>
      <c r="C285" s="1366"/>
      <c r="D285" s="1366"/>
      <c r="E285" s="1366"/>
      <c r="F285" s="1366"/>
      <c r="G285" s="1366"/>
      <c r="H285" s="1366"/>
      <c r="I285" s="1366"/>
    </row>
    <row r="286" ht="13" customHeight="1" hidden="1"/>
    <row r="287" spans="1:12" ht="25" customHeight="1" hidden="1">
      <c r="A287" s="528" t="str">
        <f>IF(AND(L287=FALSE,L294=FALSE),IF(Adatlap!$L$1="Magyar","Jelölje be!","Please, check!"),"")</f>
        <v>Jelölje be!</v>
      </c>
      <c r="B287" s="1202" t="str">
        <f>B$12</f>
        <v>Kijelentem, hogy az adott kiszerelés esetében a termék szórófejes palackban kerül forgalomba.</v>
      </c>
      <c r="C287" s="1202" t="str">
        <f aca="true" t="shared" si="87" ref="C287:I287">C233</f>
        <v>Kijelentem, hogy az adott kiszerelésű termékeknél a szórófejes palackok nem tartalmaznak hajtógázt.</v>
      </c>
      <c r="D287" s="1202">
        <f t="shared" si="87"/>
        <v>0</v>
      </c>
      <c r="E287" s="1202">
        <f t="shared" si="87"/>
        <v>0</v>
      </c>
      <c r="F287" s="1202">
        <f t="shared" si="87"/>
        <v>0</v>
      </c>
      <c r="G287" s="1202">
        <f t="shared" si="87"/>
        <v>0</v>
      </c>
      <c r="H287" s="1202">
        <f t="shared" si="87"/>
        <v>0</v>
      </c>
      <c r="I287" s="1202">
        <f t="shared" si="87"/>
        <v>0</v>
      </c>
      <c r="J287" s="1202"/>
      <c r="L287" s="649" t="b">
        <v>0</v>
      </c>
    </row>
    <row r="288" spans="2:12" ht="25" customHeight="1" hidden="1">
      <c r="B288" s="596" t="str">
        <f>IF(AND($L$287=TRUE,L288=FALSE),IF(Adatlap!$L$1="Magyar","Jelölje be!","Please, check!"),"")</f>
        <v/>
      </c>
      <c r="C288" s="1236" t="str">
        <f>C$13</f>
        <v>Kijelentem, hogy az adott kiszerelésű termékeknél a szórófejes palackok nem tartalmaznak hajtógázt.</v>
      </c>
      <c r="D288" s="1236">
        <f aca="true" t="shared" si="88" ref="D288:I288">D234</f>
        <v>0</v>
      </c>
      <c r="E288" s="1236">
        <f t="shared" si="88"/>
        <v>0</v>
      </c>
      <c r="F288" s="1236">
        <f t="shared" si="88"/>
        <v>0</v>
      </c>
      <c r="G288" s="1236">
        <f t="shared" si="88"/>
        <v>0</v>
      </c>
      <c r="H288" s="1236">
        <f t="shared" si="88"/>
        <v>0</v>
      </c>
      <c r="I288" s="1236">
        <f t="shared" si="88"/>
        <v>0</v>
      </c>
      <c r="J288" s="1236"/>
      <c r="L288" s="649" t="b">
        <v>0</v>
      </c>
    </row>
    <row r="289" ht="8.15" customHeight="1" hidden="1"/>
    <row r="290" spans="2:12" ht="25" customHeight="1" hidden="1">
      <c r="B290" s="596" t="str">
        <f>IF(AND($L$287=TRUE,L290=FALSE),IF(Adatlap!$L$1="Magyar","Jelölje be!","Please, check!"),"")</f>
        <v/>
      </c>
      <c r="C290" s="1236" t="str">
        <f>C$15</f>
        <v>Kijelentem, hogy a szórófejes palackok újratölthetőek és újrahasználhatóak.</v>
      </c>
      <c r="D290" s="1236">
        <f aca="true" t="shared" si="89" ref="D290:I290">D236</f>
        <v>0</v>
      </c>
      <c r="E290" s="1236">
        <f t="shared" si="89"/>
        <v>0</v>
      </c>
      <c r="F290" s="1236">
        <f t="shared" si="89"/>
        <v>0</v>
      </c>
      <c r="G290" s="1236">
        <f t="shared" si="89"/>
        <v>0</v>
      </c>
      <c r="H290" s="1236">
        <f t="shared" si="89"/>
        <v>0</v>
      </c>
      <c r="I290" s="1236">
        <f t="shared" si="89"/>
        <v>0</v>
      </c>
      <c r="J290" s="1236"/>
      <c r="L290" s="649" t="b">
        <v>0</v>
      </c>
    </row>
    <row r="291" ht="8.15" customHeight="1" hidden="1"/>
    <row r="292" spans="2:12" ht="25" customHeight="1" hidden="1">
      <c r="B292" s="596" t="str">
        <f>IF(AND($L$287=TRUE,L292=FALSE),IF(Adatlap!$L$1="Magyar","Jelölje be!","Please, check!"),"")</f>
        <v/>
      </c>
      <c r="C292" s="1236" t="str">
        <f>C$17</f>
        <v>Csatolom a megfelelő dokumentációt, amelyik leírja vagy bemutatja, hogy a csomagolás részét képező szórófejes palackokat hogyan lehet utántölteni.</v>
      </c>
      <c r="D292" s="1236">
        <f aca="true" t="shared" si="90" ref="D292:I292">D238</f>
        <v>0</v>
      </c>
      <c r="E292" s="1236">
        <f t="shared" si="90"/>
        <v>0</v>
      </c>
      <c r="F292" s="1236">
        <f t="shared" si="90"/>
        <v>0</v>
      </c>
      <c r="G292" s="1236">
        <f t="shared" si="90"/>
        <v>0</v>
      </c>
      <c r="H292" s="1236">
        <f t="shared" si="90"/>
        <v>0</v>
      </c>
      <c r="I292" s="1236">
        <f t="shared" si="90"/>
        <v>0</v>
      </c>
      <c r="J292" s="1236"/>
      <c r="L292" s="649" t="b">
        <v>0</v>
      </c>
    </row>
    <row r="293" ht="13" customHeight="1" hidden="1"/>
    <row r="294" spans="1:12" ht="25" customHeight="1" hidden="1">
      <c r="A294" s="528" t="str">
        <f>IF(AND(L287=FALSE,L294=FALSE),IF(Adatlap!$L$1="Magyar","Jelölje be!","Please, check!"),"")</f>
        <v>Jelölje be!</v>
      </c>
      <c r="B294" s="1202" t="str">
        <f>B$19</f>
        <v>Kijelentem, hogy az adott kiszerelés nem tartalmaz szórófejes palackot.</v>
      </c>
      <c r="C294" s="1202">
        <f aca="true" t="shared" si="91" ref="C294:I294">C240</f>
        <v>0</v>
      </c>
      <c r="D294" s="1202">
        <f t="shared" si="91"/>
        <v>0</v>
      </c>
      <c r="E294" s="1202">
        <f t="shared" si="91"/>
        <v>0</v>
      </c>
      <c r="F294" s="1202">
        <f t="shared" si="91"/>
        <v>0</v>
      </c>
      <c r="G294" s="1202">
        <f t="shared" si="91"/>
        <v>0</v>
      </c>
      <c r="H294" s="1202">
        <f t="shared" si="91"/>
        <v>0</v>
      </c>
      <c r="I294" s="1202">
        <f t="shared" si="91"/>
        <v>0</v>
      </c>
      <c r="J294" s="1202"/>
      <c r="L294" s="649" t="b">
        <v>0</v>
      </c>
    </row>
    <row r="295" ht="13" customHeight="1" hidden="1"/>
    <row r="296" spans="1:10" ht="13" customHeight="1" hidden="1">
      <c r="A296" s="599" t="s">
        <v>1801</v>
      </c>
      <c r="B296" s="1336" t="str">
        <f>B$21</f>
        <v>Csomagolás-visszaváltási rendszerek</v>
      </c>
      <c r="C296" s="1336">
        <f aca="true" t="shared" si="92" ref="C296:I296">C242</f>
        <v>0</v>
      </c>
      <c r="D296" s="1336">
        <f t="shared" si="92"/>
        <v>0</v>
      </c>
      <c r="E296" s="1336">
        <f t="shared" si="92"/>
        <v>0</v>
      </c>
      <c r="F296" s="1336">
        <f t="shared" si="92"/>
        <v>0</v>
      </c>
      <c r="G296" s="1336">
        <f t="shared" si="92"/>
        <v>0</v>
      </c>
      <c r="H296" s="1336">
        <f t="shared" si="92"/>
        <v>0</v>
      </c>
      <c r="I296" s="1336">
        <f t="shared" si="92"/>
        <v>0</v>
      </c>
      <c r="J296" s="1336"/>
    </row>
    <row r="297" ht="13" customHeight="1" hidden="1"/>
    <row r="298" spans="1:12" ht="25" customHeight="1" hidden="1">
      <c r="A298" s="528" t="str">
        <f>IF(AND(L298=FALSE,L304=FALSE),IF(Adatlap!$L$1="Magyar","Jelölje be!","Please, check!"),"")</f>
        <v>Jelölje be!</v>
      </c>
      <c r="B298" s="1202" t="str">
        <f>B$23</f>
        <v>Kijelentem, hogy a termék a termékre / az adott kiszerelésre vonatkozó visszaváltási rendszer hatálya alá tartozó csomagolásban kerül forgalomba.</v>
      </c>
      <c r="C298" s="1202">
        <f aca="true" t="shared" si="93" ref="C298:I298">C244</f>
        <v>0</v>
      </c>
      <c r="D298" s="1202">
        <f t="shared" si="93"/>
        <v>0</v>
      </c>
      <c r="E298" s="1202">
        <f t="shared" si="93"/>
        <v>0</v>
      </c>
      <c r="F298" s="1202">
        <f t="shared" si="93"/>
        <v>0</v>
      </c>
      <c r="G298" s="1202">
        <f t="shared" si="93"/>
        <v>0</v>
      </c>
      <c r="H298" s="1202">
        <f t="shared" si="93"/>
        <v>0</v>
      </c>
      <c r="I298" s="1202">
        <f t="shared" si="93"/>
        <v>0</v>
      </c>
      <c r="J298" s="1202"/>
      <c r="L298" s="649" t="b">
        <v>0</v>
      </c>
    </row>
    <row r="299" spans="3:10" ht="13" customHeight="1" hidden="1">
      <c r="C299" s="659"/>
      <c r="D299" s="659"/>
      <c r="E299" s="659"/>
      <c r="F299" s="659"/>
      <c r="G299" s="659"/>
      <c r="H299" s="659"/>
      <c r="I299" s="659"/>
      <c r="J299" s="659"/>
    </row>
    <row r="300" spans="2:12" ht="25" customHeight="1" hidden="1">
      <c r="B300" s="596" t="str">
        <f>IF(AND($L$298=TRUE,L300=FALSE),IF(Adatlap!$L$1="Magyar","Jelölje be!","Please, check!"),"")</f>
        <v/>
      </c>
      <c r="C300" s="1236" t="str">
        <f>C$25</f>
        <v>Csatolom a megfelelő dokumentációt, amelyik leírja vagy bizonyítja, hogy a csomagolás-visszaváltási rendszer megvalósult.</v>
      </c>
      <c r="D300" s="1236">
        <f aca="true" t="shared" si="94" ref="D300:I300">D246</f>
        <v>0</v>
      </c>
      <c r="E300" s="1236">
        <f t="shared" si="94"/>
        <v>0</v>
      </c>
      <c r="F300" s="1236">
        <f t="shared" si="94"/>
        <v>0</v>
      </c>
      <c r="G300" s="1236">
        <f t="shared" si="94"/>
        <v>0</v>
      </c>
      <c r="H300" s="1236">
        <f t="shared" si="94"/>
        <v>0</v>
      </c>
      <c r="I300" s="1236">
        <f t="shared" si="94"/>
        <v>0</v>
      </c>
      <c r="J300" s="1236"/>
      <c r="L300" s="649" t="b">
        <v>0</v>
      </c>
    </row>
    <row r="301" ht="8.15" customHeight="1" hidden="1"/>
    <row r="302" spans="2:12" ht="25" customHeight="1" hidden="1">
      <c r="B302" s="596" t="str">
        <f>IF(AND($L$298=TRUE,L302=FALSE),IF(Adatlap!$L$1="Magyar","Jelölje be!","Please, check!"),"")</f>
        <v/>
      </c>
      <c r="C302" s="1368" t="str">
        <f>C$27</f>
        <v>Az adott kiszerelés mentesül az 5. c) és d) pontokban megfogalmazott követelmények alól.</v>
      </c>
      <c r="D302" s="1368"/>
      <c r="E302" s="1368"/>
      <c r="F302" s="1368"/>
      <c r="G302" s="1368"/>
      <c r="H302" s="1368"/>
      <c r="I302" s="1368"/>
      <c r="J302" s="1368"/>
      <c r="L302" s="649" t="b">
        <v>0</v>
      </c>
    </row>
    <row r="303" ht="8.15" customHeight="1" hidden="1"/>
    <row r="304" spans="1:12" ht="27.75" customHeight="1" hidden="1">
      <c r="A304" s="655" t="str">
        <f>IF(AND(L298=FALSE,L304=FALSE),IF(Adatlap!$L$1="Magyar","Jelölje be!","Please, check!"),"")</f>
        <v>Jelölje be!</v>
      </c>
      <c r="B304" s="1202" t="str">
        <f>B$29</f>
        <v>Kijelentem, hogy a termék NEM a termékre / az adott kiszerelésre vonatkozó visszaváltási rendszer hatálya alá tartozó csomagolásban kerül forgalomba, így nem mentesül az 5. kritérium c) és d) pontjában megadott kritériumok alól. (A c) és d) pontokat ki kell tölteni.)</v>
      </c>
      <c r="C304" s="1202">
        <f aca="true" t="shared" si="95" ref="C304:I305">C250</f>
        <v>0</v>
      </c>
      <c r="D304" s="1202">
        <f t="shared" si="95"/>
        <v>0</v>
      </c>
      <c r="E304" s="1202">
        <f t="shared" si="95"/>
        <v>0</v>
      </c>
      <c r="F304" s="1202">
        <f t="shared" si="95"/>
        <v>0</v>
      </c>
      <c r="G304" s="1202">
        <f t="shared" si="95"/>
        <v>0</v>
      </c>
      <c r="H304" s="1202">
        <f t="shared" si="95"/>
        <v>0</v>
      </c>
      <c r="I304" s="1202">
        <f t="shared" si="95"/>
        <v>0</v>
      </c>
      <c r="J304" s="1202"/>
      <c r="L304" s="649" t="b">
        <v>0</v>
      </c>
    </row>
    <row r="305" spans="1:10" ht="13.5" customHeight="1" hidden="1">
      <c r="A305" s="655"/>
      <c r="B305" s="1202">
        <f>B251</f>
        <v>0</v>
      </c>
      <c r="C305" s="1202">
        <f t="shared" si="95"/>
        <v>0</v>
      </c>
      <c r="D305" s="1202">
        <f t="shared" si="95"/>
        <v>0</v>
      </c>
      <c r="E305" s="1202">
        <f t="shared" si="95"/>
        <v>0</v>
      </c>
      <c r="F305" s="1202">
        <f t="shared" si="95"/>
        <v>0</v>
      </c>
      <c r="G305" s="1202">
        <f t="shared" si="95"/>
        <v>0</v>
      </c>
      <c r="H305" s="1202">
        <f t="shared" si="95"/>
        <v>0</v>
      </c>
      <c r="I305" s="1202">
        <f t="shared" si="95"/>
        <v>0</v>
      </c>
      <c r="J305" s="1202"/>
    </row>
    <row r="306" spans="2:10" ht="13" customHeight="1" hidden="1">
      <c r="B306" s="657"/>
      <c r="C306" s="657"/>
      <c r="D306" s="657"/>
      <c r="E306" s="657"/>
      <c r="F306" s="657"/>
      <c r="G306" s="657"/>
      <c r="H306" s="657"/>
      <c r="I306" s="657"/>
      <c r="J306" s="657"/>
    </row>
    <row r="307" spans="1:10" ht="13" customHeight="1">
      <c r="A307" s="599" t="str">
        <f>A$32</f>
        <v>a)</v>
      </c>
      <c r="B307" s="1369" t="str">
        <f>B$32</f>
        <v>Tömeg/hasznosság arány (THA)</v>
      </c>
      <c r="C307" s="1369"/>
      <c r="D307" s="1369"/>
      <c r="E307" s="1369"/>
      <c r="F307" s="1369"/>
      <c r="G307" s="1369"/>
      <c r="H307" s="1369"/>
      <c r="I307" s="1369"/>
      <c r="J307" s="1369"/>
    </row>
    <row r="308" spans="2:10" ht="13" customHeight="1">
      <c r="B308" s="657"/>
      <c r="C308" s="657"/>
      <c r="D308" s="657"/>
      <c r="E308" s="657"/>
      <c r="F308" s="657"/>
      <c r="G308" s="657"/>
      <c r="H308" s="657"/>
      <c r="I308" s="657"/>
      <c r="J308" s="657"/>
    </row>
    <row r="309" spans="1:18" ht="28" customHeight="1">
      <c r="A309" s="596" t="s">
        <v>2241</v>
      </c>
      <c r="B309" s="1236" t="str">
        <f>B$34</f>
        <v>Kijelentem, hogy az adott kiszerelésben a termék elsődleges csomagolása TÖBB mint 80 %-ban újrahasznosított anyagokból készül.</v>
      </c>
      <c r="C309" s="1236">
        <f aca="true" t="shared" si="96" ref="C309:I309">C255</f>
        <v>0</v>
      </c>
      <c r="D309" s="1236">
        <f t="shared" si="96"/>
        <v>0</v>
      </c>
      <c r="E309" s="1236">
        <f t="shared" si="96"/>
        <v>0</v>
      </c>
      <c r="F309" s="1236">
        <f t="shared" si="96"/>
        <v>0</v>
      </c>
      <c r="G309" s="1236">
        <f t="shared" si="96"/>
        <v>0</v>
      </c>
      <c r="H309" s="1236">
        <f t="shared" si="96"/>
        <v>0</v>
      </c>
      <c r="I309" s="1236">
        <f t="shared" si="96"/>
        <v>0</v>
      </c>
      <c r="J309" s="1236"/>
      <c r="L309" s="649" t="b">
        <v>0</v>
      </c>
      <c r="O309" s="913" t="str">
        <f>IF(AND(L304=TRUE,L309=FALSE,L314=FALSE),IF(Adatlap!$L$1="Magyar","Jelölje be!","Please, check!"),"")</f>
        <v/>
      </c>
      <c r="P309" t="str">
        <f>IF(AND(L309=FALSE,L314=FALSE),IF(Adatlap!$L$1="Magyar","Jelölje be!","Please, check!"),"")</f>
        <v>Jelölje be!</v>
      </c>
      <c r="Q309">
        <f>IF(AND(L304=TRUE,L309=FALSE,L314=FALSE),1,0)</f>
        <v>0</v>
      </c>
      <c r="R309" s="523">
        <f>IF(AND(L309=FALSE,L314=FALSE),1,0)</f>
        <v>1</v>
      </c>
    </row>
    <row r="310" spans="1:10" ht="8.15" customHeight="1">
      <c r="A310" s="596"/>
      <c r="B310" s="658"/>
      <c r="C310" s="658"/>
      <c r="D310" s="658"/>
      <c r="E310" s="658"/>
      <c r="F310" s="658"/>
      <c r="G310" s="658"/>
      <c r="H310" s="658"/>
      <c r="I310" s="658"/>
      <c r="J310" s="658"/>
    </row>
    <row r="311" spans="1:2" ht="13" customHeight="1">
      <c r="A311" s="596"/>
      <c r="B311" s="527" t="str">
        <f>B$36</f>
        <v>Csatolom a nyilatkozatot alátámasztó dokumentációt:</v>
      </c>
    </row>
    <row r="312" spans="1:12" ht="25" customHeight="1">
      <c r="A312" s="596"/>
      <c r="B312" s="596" t="str">
        <f>IF(AND($L$309=TRUE,L312=FALSE,L313=FALSE),IF(Adatlap!$L$1="Magyar","Jelölje be!","Please, check!"),"")</f>
        <v/>
      </c>
      <c r="C312" s="527" t="str">
        <f>C$37</f>
        <v>Gyártói nyilatkozat(ok)</v>
      </c>
      <c r="D312" s="527"/>
      <c r="E312" s="527"/>
      <c r="F312" s="527"/>
      <c r="G312" s="527"/>
      <c r="H312" s="527"/>
      <c r="I312" s="527"/>
      <c r="J312" s="527"/>
      <c r="L312" s="649" t="b">
        <v>0</v>
      </c>
    </row>
    <row r="313" spans="2:12" ht="25" customHeight="1">
      <c r="B313" s="596" t="str">
        <f>IF(AND($L$309=TRUE,L312=FALSE,L313=FALSE),IF(Adatlap!$L$1="Magyar","Jelölje be!","Please, check!"),"")</f>
        <v/>
      </c>
      <c r="C313" s="1367" t="str">
        <f>C$38</f>
        <v>Egyéb (nevezze meg):</v>
      </c>
      <c r="D313" s="1367"/>
      <c r="E313" s="1367"/>
      <c r="F313" s="1367"/>
      <c r="G313" s="1367"/>
      <c r="H313" s="1367"/>
      <c r="I313" s="1367"/>
      <c r="J313" s="1367"/>
      <c r="L313" s="649" t="b">
        <v>0</v>
      </c>
    </row>
    <row r="314" spans="1:12" ht="25" customHeight="1">
      <c r="A314" s="596" t="s">
        <v>2241</v>
      </c>
      <c r="B314" s="1202" t="str">
        <f>B39</f>
        <v>Kijelentem, hogy az adott kiszerelés esetében a  termék elsődleges csomagolásához felhasznált újrahasznosított anyagok aránya KEVESEBB mint 80%.</v>
      </c>
      <c r="C314" s="1202">
        <f aca="true" t="shared" si="97" ref="C314:I314">C260</f>
        <v>0</v>
      </c>
      <c r="D314" s="1202">
        <f t="shared" si="97"/>
        <v>0</v>
      </c>
      <c r="E314" s="1202">
        <f t="shared" si="97"/>
        <v>0</v>
      </c>
      <c r="F314" s="1202">
        <f t="shared" si="97"/>
        <v>0</v>
      </c>
      <c r="G314" s="1202">
        <f t="shared" si="97"/>
        <v>0</v>
      </c>
      <c r="H314" s="1202">
        <f t="shared" si="97"/>
        <v>0</v>
      </c>
      <c r="I314" s="1202">
        <f t="shared" si="97"/>
        <v>0</v>
      </c>
      <c r="J314" s="1202"/>
      <c r="L314" s="649" t="b">
        <v>0</v>
      </c>
    </row>
    <row r="315" spans="1:2" ht="25" customHeight="1">
      <c r="A315" s="596"/>
      <c r="B315" s="527" t="str">
        <f>B$40</f>
        <v>Csatolom a nyilatkozatot alátámasztó dokumentációt:</v>
      </c>
    </row>
    <row r="316" spans="1:12" ht="25" customHeight="1">
      <c r="A316" s="596"/>
      <c r="B316" s="596" t="str">
        <f>IF(AND(L314=TRUE,L316=FALSE,L317=FALSE),IF(Adatlap!$L$1="Magyar","Jelölje be!","Please, check!"),"")</f>
        <v/>
      </c>
      <c r="C316" s="527" t="str">
        <f>C$41</f>
        <v>Gyártói nyilatkozat(ok)</v>
      </c>
      <c r="D316" s="658"/>
      <c r="E316" s="658"/>
      <c r="F316" s="658"/>
      <c r="G316" s="658"/>
      <c r="H316" s="658"/>
      <c r="I316" s="658"/>
      <c r="J316" s="658"/>
      <c r="L316" s="649" t="b">
        <v>0</v>
      </c>
    </row>
    <row r="317" spans="2:12" ht="25" customHeight="1">
      <c r="B317" s="596" t="str">
        <f>IF(AND(L314=TRUE,L316=FALSE,L317=FALSE),IF(Adatlap!$L$1="Magyar","Jelölje be!","Please, check!"),"")</f>
        <v/>
      </c>
      <c r="C317" s="527" t="str">
        <f>C$42</f>
        <v>Egyéb (nevezze meg):</v>
      </c>
      <c r="D317" s="657"/>
      <c r="E317" s="1382"/>
      <c r="F317" s="1382"/>
      <c r="G317" s="1382"/>
      <c r="H317" s="1382"/>
      <c r="I317" s="1382"/>
      <c r="J317" s="1382"/>
      <c r="L317" s="649" t="b">
        <v>0</v>
      </c>
    </row>
    <row r="318" spans="1:10" ht="13" customHeight="1">
      <c r="A318" s="596"/>
      <c r="B318" s="658"/>
      <c r="C318" s="658"/>
      <c r="D318" s="658"/>
      <c r="E318" s="658"/>
      <c r="F318" s="658"/>
      <c r="G318" s="658"/>
      <c r="H318" s="658"/>
      <c r="I318" s="658"/>
      <c r="J318" s="658"/>
    </row>
    <row r="319" spans="2:22" ht="24" customHeight="1">
      <c r="B319" s="596" t="str">
        <f>IF(AND(L314=TRUE,L319=FALSE),IF(Adatlap!$L$1="Magyar","Jelölje be!","Please, check!"),"")</f>
        <v/>
      </c>
      <c r="C319" s="1236" t="str">
        <f>C$44</f>
        <v>Kijelentem, hogy az adott kiszerelés esetében a THA arány nem haladja meg a vonatkozó határértéket.</v>
      </c>
      <c r="D319" s="1236">
        <f aca="true" t="shared" si="98" ref="D319:I319">D265</f>
        <v>0</v>
      </c>
      <c r="E319" s="1236">
        <f t="shared" si="98"/>
        <v>0</v>
      </c>
      <c r="F319" s="1236">
        <f t="shared" si="98"/>
        <v>0</v>
      </c>
      <c r="G319" s="1236">
        <f t="shared" si="98"/>
        <v>0</v>
      </c>
      <c r="H319" s="1236">
        <f t="shared" si="98"/>
        <v>0</v>
      </c>
      <c r="I319" s="1236">
        <f t="shared" si="98"/>
        <v>0</v>
      </c>
      <c r="J319" s="1236"/>
      <c r="L319" s="649" t="b">
        <v>0</v>
      </c>
      <c r="O319" s="1377"/>
      <c r="P319" s="1372"/>
      <c r="Q319" s="1372"/>
      <c r="R319" s="1397"/>
      <c r="S319" s="1397"/>
      <c r="T319" s="1397"/>
      <c r="U319" s="1397"/>
      <c r="V319" s="1397"/>
    </row>
    <row r="320" spans="2:22" ht="12" customHeight="1">
      <c r="B320" s="596"/>
      <c r="C320" s="527"/>
      <c r="D320" s="658"/>
      <c r="O320" s="1377"/>
      <c r="P320" s="1372"/>
      <c r="Q320" s="1372"/>
      <c r="R320" s="1397"/>
      <c r="S320" s="1397"/>
      <c r="T320" s="1397"/>
      <c r="U320" s="1397"/>
      <c r="V320" s="1397"/>
    </row>
    <row r="321" spans="2:22" ht="13" customHeight="1">
      <c r="B321" s="1214" t="str">
        <f>B$46</f>
        <v>A termék fajtája:</v>
      </c>
      <c r="C321" s="1214">
        <f aca="true" t="shared" si="99" ref="C321:E322">C267</f>
        <v>0</v>
      </c>
      <c r="D321" s="1214">
        <f t="shared" si="99"/>
        <v>0</v>
      </c>
      <c r="E321" s="1214">
        <f t="shared" si="99"/>
        <v>0</v>
      </c>
      <c r="F321" s="1373" t="str">
        <f>F$46</f>
        <v>THA</v>
      </c>
      <c r="G321" s="1373">
        <f>G267</f>
        <v>0</v>
      </c>
      <c r="H321" s="1373" t="str">
        <f>H$46</f>
        <v>THA Határérték</v>
      </c>
      <c r="I321" s="1373">
        <f>I267</f>
        <v>0</v>
      </c>
      <c r="J321" s="648"/>
      <c r="O321" s="1377"/>
      <c r="P321" s="1372"/>
      <c r="Q321" s="1372"/>
      <c r="R321" s="1397"/>
      <c r="S321" s="1397"/>
      <c r="T321" s="1397"/>
      <c r="U321" s="1397"/>
      <c r="V321" s="1397"/>
    </row>
    <row r="322" spans="2:22" ht="13" customHeight="1">
      <c r="B322" s="1214" t="str">
        <f>B268</f>
        <v>Kézi mosogatószer</v>
      </c>
      <c r="C322" s="1214">
        <f t="shared" si="99"/>
        <v>0</v>
      </c>
      <c r="D322" s="1214">
        <f t="shared" si="99"/>
        <v>0</v>
      </c>
      <c r="E322" s="1214">
        <f t="shared" si="99"/>
        <v>0</v>
      </c>
      <c r="F322" s="1374" t="str">
        <f>F$47</f>
        <v>g/l tisztítószer oldat</v>
      </c>
      <c r="G322" s="1374">
        <f>G268</f>
        <v>0</v>
      </c>
      <c r="H322" s="1374" t="str">
        <f>H$47</f>
        <v>g/l tisztítószer oldat</v>
      </c>
      <c r="I322" s="1374">
        <f>I268</f>
        <v>0</v>
      </c>
      <c r="J322" s="648"/>
      <c r="O322" s="1377"/>
      <c r="P322" s="1372"/>
      <c r="Q322" s="1372"/>
      <c r="R322" s="1397"/>
      <c r="S322" s="1397"/>
      <c r="T322" s="1397"/>
      <c r="U322" s="1397"/>
      <c r="V322" s="1397"/>
    </row>
    <row r="323" spans="2:22" ht="27" customHeight="1">
      <c r="B323" s="1376" t="str">
        <f>B48</f>
        <v>Kézi mosogatószer</v>
      </c>
      <c r="C323" s="1376"/>
      <c r="D323" s="1376"/>
      <c r="E323" s="1376"/>
      <c r="F323" s="1375">
        <f>'Kiszerelés 5-8'!F42</f>
        <v>0</v>
      </c>
      <c r="G323" s="1375">
        <f>G269</f>
        <v>0</v>
      </c>
      <c r="H323" s="1375" t="e">
        <f>'Kiszerelés 5-8'!F43</f>
        <v>#N/A</v>
      </c>
      <c r="I323" s="1375">
        <f>I269</f>
        <v>0</v>
      </c>
      <c r="P323" s="131"/>
      <c r="Q323" s="131"/>
      <c r="R323" s="131"/>
      <c r="S323" s="131"/>
      <c r="T323" s="131"/>
      <c r="U323" s="131"/>
      <c r="V323" s="131"/>
    </row>
    <row r="324" spans="2:22" ht="13" customHeight="1">
      <c r="B324" s="596"/>
      <c r="C324" s="527"/>
      <c r="D324" s="658"/>
      <c r="O324" s="911"/>
      <c r="P324" s="673"/>
      <c r="Q324" s="673"/>
      <c r="R324" s="533"/>
      <c r="S324" s="533"/>
      <c r="T324" s="533"/>
      <c r="U324" s="533"/>
      <c r="V324" s="533"/>
    </row>
    <row r="325" spans="2:12" ht="22" customHeight="1">
      <c r="B325" s="596" t="str">
        <f>IF(AND($L$314=TRUE,L325=FALSE),IF(Adatlap!$L$1="Magyar","Jelölje be!","Please, check!"),"")</f>
        <v/>
      </c>
      <c r="C325" s="1202" t="str">
        <f>C$50</f>
        <v>Csatolom a THA kiszámítását bemutató munkalapot.</v>
      </c>
      <c r="D325" s="1202">
        <f aca="true" t="shared" si="100" ref="D325:I325">D271</f>
        <v>0</v>
      </c>
      <c r="E325" s="1202">
        <f t="shared" si="100"/>
        <v>0</v>
      </c>
      <c r="F325" s="1202">
        <f t="shared" si="100"/>
        <v>0</v>
      </c>
      <c r="G325" s="1202">
        <f t="shared" si="100"/>
        <v>0</v>
      </c>
      <c r="H325" s="1202">
        <f t="shared" si="100"/>
        <v>0</v>
      </c>
      <c r="I325" s="1202">
        <f t="shared" si="100"/>
        <v>0</v>
      </c>
      <c r="J325" s="1202"/>
      <c r="L325" s="649" t="b">
        <v>0</v>
      </c>
    </row>
    <row r="326" spans="1:9" ht="26.15" customHeight="1">
      <c r="A326" s="599" t="str">
        <f>A$51</f>
        <v>b)</v>
      </c>
      <c r="B326" s="1366" t="str">
        <f>B$51</f>
        <v>Az újrahasznosítást megkönnyítő kialakítás</v>
      </c>
      <c r="C326" s="1366"/>
      <c r="D326" s="1366"/>
      <c r="E326" s="1366"/>
      <c r="F326" s="1366"/>
      <c r="G326" s="1366"/>
      <c r="H326" s="1366"/>
      <c r="I326" s="1366"/>
    </row>
    <row r="327" spans="2:4" ht="13" customHeight="1">
      <c r="B327" s="674"/>
      <c r="C327" s="527"/>
      <c r="D327" s="658"/>
    </row>
    <row r="328" spans="1:12" ht="13" customHeight="1">
      <c r="A328" s="1364" t="str">
        <f>IF(AND($L$304=TRUE,L328=FALSE),IF(Adatlap!$L$1="Magyar","Jelölje be!","Please, check!"),"")</f>
        <v/>
      </c>
      <c r="B328" s="1236" t="str">
        <f>B$53</f>
        <v>Kijelentem, hogy a termék csomagolása a következő anyagokból áll:</v>
      </c>
      <c r="C328" s="1236">
        <f aca="true" t="shared" si="101" ref="C328:I328">C274</f>
        <v>0</v>
      </c>
      <c r="D328" s="1236">
        <f t="shared" si="101"/>
        <v>0</v>
      </c>
      <c r="E328" s="1236">
        <f t="shared" si="101"/>
        <v>0</v>
      </c>
      <c r="F328" s="1236">
        <f t="shared" si="101"/>
        <v>0</v>
      </c>
      <c r="G328" s="1236">
        <f t="shared" si="101"/>
        <v>0</v>
      </c>
      <c r="H328" s="1236">
        <f t="shared" si="101"/>
        <v>0</v>
      </c>
      <c r="I328" s="1236">
        <f t="shared" si="101"/>
        <v>0</v>
      </c>
      <c r="J328" s="1236"/>
      <c r="L328" s="649" t="b">
        <v>0</v>
      </c>
    </row>
    <row r="329" ht="13" customHeight="1">
      <c r="A329" s="1364"/>
    </row>
    <row r="330" spans="2:9" ht="25" customHeight="1">
      <c r="B330" s="1370" t="str">
        <f>B$55</f>
        <v>A tartály vagy palack anyaga</v>
      </c>
      <c r="C330" s="1370">
        <f aca="true" t="shared" si="102" ref="C330">C276</f>
        <v>0</v>
      </c>
      <c r="D330" s="1370">
        <f>'Kiszerelés 5-8'!D47:F47</f>
        <v>0</v>
      </c>
      <c r="E330" s="1370"/>
      <c r="F330" s="1370"/>
      <c r="G330" s="1370"/>
      <c r="H330" s="1370"/>
      <c r="I330" s="1370"/>
    </row>
    <row r="331" spans="2:9" ht="25" customHeight="1">
      <c r="B331" s="1370" t="str">
        <f>B$56</f>
        <v>A címke/ráhúzható címke anyaga</v>
      </c>
      <c r="C331" s="1370">
        <f>C277</f>
        <v>0</v>
      </c>
      <c r="D331" s="1370">
        <f>'Kiszerelés 5-8'!D48:F48</f>
        <v>0</v>
      </c>
      <c r="E331" s="1370"/>
      <c r="F331" s="1370"/>
      <c r="G331" s="1370"/>
      <c r="H331" s="1370"/>
      <c r="I331" s="1370"/>
    </row>
    <row r="332" spans="2:9" ht="25" customHeight="1">
      <c r="B332" s="1370" t="str">
        <f>B$57</f>
        <v>A záróelem anyaga</v>
      </c>
      <c r="C332" s="1370">
        <f>C278</f>
        <v>0</v>
      </c>
      <c r="D332" s="1370">
        <f>'Kiszerelés 5-8'!D49:F49</f>
        <v>0</v>
      </c>
      <c r="E332" s="1370"/>
      <c r="F332" s="1370"/>
      <c r="G332" s="1370"/>
      <c r="H332" s="1370"/>
      <c r="I332" s="1370"/>
    </row>
    <row r="333" spans="2:9" ht="25" customHeight="1">
      <c r="B333" s="1370" t="str">
        <f>B$58</f>
        <v>A záróréteg-bevonat anyaga</v>
      </c>
      <c r="C333" s="1370">
        <f>C279</f>
        <v>0</v>
      </c>
      <c r="D333" s="1370">
        <f>'Kiszerelés 5-8'!D50:F50</f>
        <v>0</v>
      </c>
      <c r="E333" s="1370"/>
      <c r="F333" s="1370"/>
      <c r="G333" s="1370"/>
      <c r="H333" s="1370"/>
      <c r="I333" s="1370"/>
    </row>
    <row r="334" spans="2:9" ht="25" customHeight="1">
      <c r="B334" s="1370" t="str">
        <f>B$59</f>
        <v>Ragasztók</v>
      </c>
      <c r="C334" s="1370">
        <f>C280</f>
        <v>0</v>
      </c>
      <c r="D334" s="1371"/>
      <c r="E334" s="1371"/>
      <c r="F334" s="1371"/>
      <c r="G334" s="1371"/>
      <c r="H334" s="1371"/>
      <c r="I334" s="1371"/>
    </row>
    <row r="335" ht="13" customHeight="1"/>
    <row r="336" spans="2:12" ht="25" customHeight="1">
      <c r="B336" s="596" t="str">
        <f>IF(AND(L336=FALSE,L328=TRUE),IF(Adatlap!$L$1="Magyar","Jelölje be!","Please, check!"),"")</f>
        <v/>
      </c>
      <c r="C336" s="1202" t="str">
        <f>C$61</f>
        <v>Csatolom az elsődleges csomagolás fényképét vagy műszaki rajzokat  az elsődleges csomagolásról.</v>
      </c>
      <c r="D336" s="1202"/>
      <c r="E336" s="1202"/>
      <c r="F336" s="1202"/>
      <c r="G336" s="1202"/>
      <c r="H336" s="1202"/>
      <c r="I336" s="1202"/>
      <c r="J336" s="1202"/>
      <c r="L336" s="649" t="b">
        <v>0</v>
      </c>
    </row>
    <row r="337" ht="18" customHeight="1"/>
    <row r="338" spans="1:9" ht="21" customHeight="1">
      <c r="A338" s="1365" t="str">
        <f>'Kiszerelés 5-8'!J10</f>
        <v>7. kiszerelés</v>
      </c>
      <c r="B338" s="1365"/>
      <c r="C338" s="1366" t="str">
        <f>IF('Kiszerelés 5-8'!J11="","",'Kiszerelés 5-8'!J11)</f>
        <v/>
      </c>
      <c r="D338" s="1366"/>
      <c r="E338" s="1366"/>
      <c r="F338" s="1366"/>
      <c r="G338" s="1366"/>
      <c r="H338" s="1366"/>
      <c r="I338" s="1366"/>
    </row>
    <row r="339" ht="13" customHeight="1"/>
    <row r="340" spans="1:9" ht="13" customHeight="1" hidden="1">
      <c r="A340" s="599" t="s">
        <v>1800</v>
      </c>
      <c r="B340" s="1366" t="s">
        <v>1792</v>
      </c>
      <c r="C340" s="1366"/>
      <c r="D340" s="1366"/>
      <c r="E340" s="1366"/>
      <c r="F340" s="1366"/>
      <c r="G340" s="1366"/>
      <c r="H340" s="1366"/>
      <c r="I340" s="1366"/>
    </row>
    <row r="341" ht="13" customHeight="1" hidden="1"/>
    <row r="342" spans="1:12" ht="25" customHeight="1" hidden="1">
      <c r="A342" s="528" t="str">
        <f>IF(AND(L342=FALSE,L349=FALSE),IF(Adatlap!$L$1="Magyar","Jelölje be!","Please, check!"),"")</f>
        <v>Jelölje be!</v>
      </c>
      <c r="B342" s="1202" t="s">
        <v>1823</v>
      </c>
      <c r="C342" s="1202">
        <v>0</v>
      </c>
      <c r="D342" s="1202">
        <v>0</v>
      </c>
      <c r="E342" s="1202">
        <v>0</v>
      </c>
      <c r="F342" s="1202">
        <v>0</v>
      </c>
      <c r="G342" s="1202">
        <v>0</v>
      </c>
      <c r="H342" s="1202">
        <v>0</v>
      </c>
      <c r="I342" s="1202">
        <v>0</v>
      </c>
      <c r="J342" s="1202"/>
      <c r="L342" s="649" t="b">
        <v>0</v>
      </c>
    </row>
    <row r="343" spans="2:12" ht="25" customHeight="1" hidden="1">
      <c r="B343" s="596" t="str">
        <f>IF(AND(L341=TRUE,L343=FALSE,L344=FALSE),IF(Adatlap!$L$1="Magyar","Jelölje be!","Please, check!"),"")</f>
        <v/>
      </c>
      <c r="C343" s="1236" t="s">
        <v>1826</v>
      </c>
      <c r="D343" s="1236">
        <v>0</v>
      </c>
      <c r="E343" s="1236">
        <v>0</v>
      </c>
      <c r="F343" s="1236">
        <v>0</v>
      </c>
      <c r="G343" s="1236">
        <v>0</v>
      </c>
      <c r="H343" s="1236">
        <v>0</v>
      </c>
      <c r="I343" s="1236">
        <v>0</v>
      </c>
      <c r="J343" s="1236"/>
      <c r="L343" s="649" t="b">
        <v>0</v>
      </c>
    </row>
    <row r="344" ht="8.15" customHeight="1" hidden="1">
      <c r="B344" s="523" t="str">
        <f>IF(AND(L341=TRUE,L343=FALSE,L344=FALSE),IF(Adatlap!$L$1="Magyar","Jelölje be!","Please, check!"),"")</f>
        <v/>
      </c>
    </row>
    <row r="345" spans="2:12" ht="25" customHeight="1" hidden="1">
      <c r="B345" s="596"/>
      <c r="C345" s="1236" t="s">
        <v>1795</v>
      </c>
      <c r="D345" s="1236">
        <v>0</v>
      </c>
      <c r="E345" s="1236">
        <v>0</v>
      </c>
      <c r="F345" s="1236">
        <v>0</v>
      </c>
      <c r="G345" s="1236">
        <v>0</v>
      </c>
      <c r="H345" s="1236">
        <v>0</v>
      </c>
      <c r="I345" s="1236">
        <v>0</v>
      </c>
      <c r="J345" s="1236"/>
      <c r="L345" s="649" t="b">
        <v>0</v>
      </c>
    </row>
    <row r="346" ht="8.15" customHeight="1" hidden="1">
      <c r="B346" s="523" t="str">
        <f>IF(AND(L341=TRUE,L346=FALSE),IF(Adatlap!$L$1="Magyar","Jelölje be!","Please, check!"),"")</f>
        <v/>
      </c>
    </row>
    <row r="347" spans="2:12" ht="25" customHeight="1" hidden="1">
      <c r="B347" s="596" t="str">
        <f>IF(AND($L$342=TRUE,L347=FALSE),IF(Adatlap!$L$1="Magyar","Jelölje be!","Please, check!"),"")</f>
        <v/>
      </c>
      <c r="C347" s="1236" t="s">
        <v>1796</v>
      </c>
      <c r="D347" s="1236">
        <v>0</v>
      </c>
      <c r="E347" s="1236">
        <v>0</v>
      </c>
      <c r="F347" s="1236">
        <v>0</v>
      </c>
      <c r="G347" s="1236">
        <v>0</v>
      </c>
      <c r="H347" s="1236">
        <v>0</v>
      </c>
      <c r="I347" s="1236">
        <v>0</v>
      </c>
      <c r="J347" s="1236"/>
      <c r="L347" s="649" t="b">
        <v>0</v>
      </c>
    </row>
    <row r="348" ht="13" customHeight="1" hidden="1"/>
    <row r="349" spans="1:12" ht="25" customHeight="1" hidden="1">
      <c r="A349" s="528" t="str">
        <f>IF(AND(L342=FALSE,L349=FALSE),IF(Adatlap!$L$1="Magyar","Jelölje be!","Please, check!"),"")</f>
        <v>Jelölje be!</v>
      </c>
      <c r="B349" s="1202" t="s">
        <v>1817</v>
      </c>
      <c r="C349" s="1202">
        <v>0</v>
      </c>
      <c r="D349" s="1202">
        <v>0</v>
      </c>
      <c r="E349" s="1202">
        <v>0</v>
      </c>
      <c r="F349" s="1202">
        <v>0</v>
      </c>
      <c r="G349" s="1202">
        <v>0</v>
      </c>
      <c r="H349" s="1202">
        <v>0</v>
      </c>
      <c r="I349" s="1202">
        <v>0</v>
      </c>
      <c r="J349" s="1202"/>
      <c r="L349" s="649" t="b">
        <v>0</v>
      </c>
    </row>
    <row r="350" ht="13" customHeight="1" hidden="1"/>
    <row r="351" spans="1:10" ht="13" customHeight="1" hidden="1">
      <c r="A351" s="599" t="s">
        <v>1801</v>
      </c>
      <c r="B351" s="1336" t="s">
        <v>1797</v>
      </c>
      <c r="C351" s="1336">
        <v>0</v>
      </c>
      <c r="D351" s="1336">
        <v>0</v>
      </c>
      <c r="E351" s="1336">
        <v>0</v>
      </c>
      <c r="F351" s="1336">
        <v>0</v>
      </c>
      <c r="G351" s="1336">
        <v>0</v>
      </c>
      <c r="H351" s="1336">
        <v>0</v>
      </c>
      <c r="I351" s="1336">
        <v>0</v>
      </c>
      <c r="J351" s="1336"/>
    </row>
    <row r="352" ht="13" customHeight="1" hidden="1"/>
    <row r="353" spans="1:12" ht="25" customHeight="1" hidden="1">
      <c r="A353" s="528" t="str">
        <f>IF(AND(L353=FALSE,L359=FALSE),IF(Adatlap!$L$1="Magyar","Jelölje be!","Please, check!"),"")</f>
        <v>Jelölje be!</v>
      </c>
      <c r="B353" s="1202" t="s">
        <v>1818</v>
      </c>
      <c r="C353" s="1202">
        <v>0</v>
      </c>
      <c r="D353" s="1202">
        <v>0</v>
      </c>
      <c r="E353" s="1202">
        <v>0</v>
      </c>
      <c r="F353" s="1202">
        <v>0</v>
      </c>
      <c r="G353" s="1202">
        <v>0</v>
      </c>
      <c r="H353" s="1202">
        <v>0</v>
      </c>
      <c r="I353" s="1202">
        <v>0</v>
      </c>
      <c r="J353" s="1202"/>
      <c r="L353" s="649" t="b">
        <v>0</v>
      </c>
    </row>
    <row r="354" spans="3:10" ht="13" customHeight="1" hidden="1">
      <c r="C354" s="659"/>
      <c r="D354" s="659"/>
      <c r="E354" s="659"/>
      <c r="F354" s="659"/>
      <c r="G354" s="659"/>
      <c r="H354" s="659"/>
      <c r="I354" s="659"/>
      <c r="J354" s="659"/>
    </row>
    <row r="355" spans="2:12" ht="25" customHeight="1" hidden="1">
      <c r="B355" s="596" t="str">
        <f>IF(AND($L$353=TRUE,L355=FALSE),IF(Adatlap!$L$1="Magyar","Jelölje be!","Please, check!"),"")</f>
        <v/>
      </c>
      <c r="C355" s="1236" t="s">
        <v>1804</v>
      </c>
      <c r="D355" s="1236">
        <v>0</v>
      </c>
      <c r="E355" s="1236">
        <v>0</v>
      </c>
      <c r="F355" s="1236">
        <v>0</v>
      </c>
      <c r="G355" s="1236">
        <v>0</v>
      </c>
      <c r="H355" s="1236">
        <v>0</v>
      </c>
      <c r="I355" s="1236">
        <v>0</v>
      </c>
      <c r="J355" s="1236"/>
      <c r="L355" s="649" t="b">
        <v>0</v>
      </c>
    </row>
    <row r="356" ht="8.15" customHeight="1" hidden="1"/>
    <row r="357" spans="2:12" ht="25" customHeight="1" hidden="1">
      <c r="B357" s="596" t="str">
        <f>IF(AND($L$353=TRUE,L357=FALSE),IF(Adatlap!$L$1="Magyar","Jelölje be!","Please, check!"),"")</f>
        <v/>
      </c>
      <c r="C357" s="1368" t="s">
        <v>1819</v>
      </c>
      <c r="D357" s="1368"/>
      <c r="E357" s="1368"/>
      <c r="F357" s="1368"/>
      <c r="G357" s="1368"/>
      <c r="H357" s="1368"/>
      <c r="I357" s="1368"/>
      <c r="J357" s="1368"/>
      <c r="L357" s="649" t="b">
        <v>0</v>
      </c>
    </row>
    <row r="358" ht="8.15" customHeight="1" hidden="1"/>
    <row r="359" spans="1:12" ht="27.75" customHeight="1" hidden="1">
      <c r="A359" s="655" t="str">
        <f>IF(AND(L353=FALSE,L359=FALSE),IF(Adatlap!$L$1="Magyar","Jelölje be!","Please, check!"),"")</f>
        <v>Jelölje be!</v>
      </c>
      <c r="B359" s="1202" t="s">
        <v>1820</v>
      </c>
      <c r="C359" s="1202"/>
      <c r="D359" s="1202"/>
      <c r="E359" s="1202"/>
      <c r="F359" s="1202"/>
      <c r="G359" s="1202"/>
      <c r="H359" s="1202"/>
      <c r="I359" s="1202"/>
      <c r="J359" s="1202"/>
      <c r="L359" s="649" t="b">
        <v>0</v>
      </c>
    </row>
    <row r="360" spans="1:10" ht="10.5" customHeight="1" hidden="1">
      <c r="A360" s="655"/>
      <c r="B360" s="1202"/>
      <c r="C360" s="1202"/>
      <c r="D360" s="1202"/>
      <c r="E360" s="1202"/>
      <c r="F360" s="1202"/>
      <c r="G360" s="1202"/>
      <c r="H360" s="1202"/>
      <c r="I360" s="1202"/>
      <c r="J360" s="1202"/>
    </row>
    <row r="361" spans="2:10" ht="13" customHeight="1" hidden="1">
      <c r="B361" s="657"/>
      <c r="C361" s="657"/>
      <c r="D361" s="657"/>
      <c r="E361" s="657"/>
      <c r="F361" s="657"/>
      <c r="G361" s="657"/>
      <c r="H361" s="657"/>
      <c r="I361" s="657"/>
      <c r="J361" s="657"/>
    </row>
    <row r="362" spans="1:10" ht="13" customHeight="1">
      <c r="A362" s="599" t="str">
        <f>A32</f>
        <v>a)</v>
      </c>
      <c r="B362" s="1369" t="s">
        <v>1803</v>
      </c>
      <c r="C362" s="1369"/>
      <c r="D362" s="1369"/>
      <c r="E362" s="1369"/>
      <c r="F362" s="1369"/>
      <c r="G362" s="1369"/>
      <c r="H362" s="1369"/>
      <c r="I362" s="1369"/>
      <c r="J362" s="1369"/>
    </row>
    <row r="363" spans="2:10" ht="13" customHeight="1">
      <c r="B363" s="657"/>
      <c r="C363" s="657"/>
      <c r="D363" s="657"/>
      <c r="E363" s="657"/>
      <c r="F363" s="657"/>
      <c r="G363" s="657"/>
      <c r="H363" s="657"/>
      <c r="I363" s="657"/>
      <c r="J363" s="657"/>
    </row>
    <row r="364" spans="1:18" ht="28" customHeight="1">
      <c r="A364" s="596" t="s">
        <v>2241</v>
      </c>
      <c r="B364" s="1236" t="s">
        <v>1821</v>
      </c>
      <c r="C364" s="1236">
        <v>0</v>
      </c>
      <c r="D364" s="1236">
        <v>0</v>
      </c>
      <c r="E364" s="1236">
        <v>0</v>
      </c>
      <c r="F364" s="1236">
        <v>0</v>
      </c>
      <c r="G364" s="1236">
        <v>0</v>
      </c>
      <c r="H364" s="1236">
        <v>0</v>
      </c>
      <c r="I364" s="1236">
        <v>0</v>
      </c>
      <c r="J364" s="1236"/>
      <c r="L364" s="649" t="b">
        <v>0</v>
      </c>
      <c r="O364" s="913" t="str">
        <f>IF(AND(L359=TRUE,L364=FALSE,L369=FALSE),IF(Adatlap!$L$1="Magyar","Jelölje be!","Please, check!"),"")</f>
        <v/>
      </c>
      <c r="P364" t="str">
        <f>IF(AND(L364=FALSE,L369=FALSE),IF(Adatlap!$L$1="Magyar","Jelölje be!","Please, check!"),"")</f>
        <v>Jelölje be!</v>
      </c>
      <c r="Q364">
        <f>IF(AND(L359=TRUE,L364=FALSE,L369=FALSE),1,0)</f>
        <v>0</v>
      </c>
      <c r="R364" s="523">
        <f>IF(AND(L364=FALSE,L369=FALSE),1,0)</f>
        <v>1</v>
      </c>
    </row>
    <row r="365" spans="1:10" ht="8.15" customHeight="1">
      <c r="A365" s="596"/>
      <c r="B365" s="658"/>
      <c r="C365" s="658"/>
      <c r="D365" s="658"/>
      <c r="E365" s="658"/>
      <c r="F365" s="658"/>
      <c r="G365" s="658"/>
      <c r="H365" s="658"/>
      <c r="I365" s="658"/>
      <c r="J365" s="658"/>
    </row>
    <row r="366" spans="1:2" ht="13" customHeight="1">
      <c r="A366" s="596"/>
      <c r="B366" s="527" t="s">
        <v>1805</v>
      </c>
    </row>
    <row r="367" spans="1:12" ht="25" customHeight="1">
      <c r="A367" s="596"/>
      <c r="B367" s="596" t="str">
        <f>IF(AND($L$364=TRUE,L367=FALSE,L368=FALSE),IF(Adatlap!$L$1="Magyar","Jelölje be!","Please, check!"),"")</f>
        <v/>
      </c>
      <c r="C367" s="527" t="s">
        <v>1807</v>
      </c>
      <c r="D367" s="527"/>
      <c r="E367" s="527"/>
      <c r="F367" s="527"/>
      <c r="G367" s="527"/>
      <c r="H367" s="527"/>
      <c r="I367" s="527"/>
      <c r="J367" s="527"/>
      <c r="L367" s="649" t="b">
        <v>0</v>
      </c>
    </row>
    <row r="368" spans="2:12" ht="25" customHeight="1">
      <c r="B368" s="596" t="str">
        <f>IF(AND($L$364=TRUE,L367=FALSE,L368=FALSE),IF(Adatlap!$L$1="Magyar","Jelölje be!","Please, check!"),"")</f>
        <v/>
      </c>
      <c r="C368" s="1367" t="s">
        <v>1808</v>
      </c>
      <c r="D368" s="1367"/>
      <c r="E368" s="1367"/>
      <c r="F368" s="1367"/>
      <c r="G368" s="1367"/>
      <c r="H368" s="1367"/>
      <c r="I368" s="1367"/>
      <c r="J368" s="1367"/>
      <c r="L368" s="649" t="b">
        <v>0</v>
      </c>
    </row>
    <row r="369" spans="1:12" ht="25" customHeight="1">
      <c r="A369" s="596" t="s">
        <v>2241</v>
      </c>
      <c r="B369" s="1202" t="str">
        <f>B39</f>
        <v>Kijelentem, hogy az adott kiszerelés esetében a  termék elsődleges csomagolásához felhasznált újrahasznosított anyagok aránya KEVESEBB mint 80%.</v>
      </c>
      <c r="C369" s="1202">
        <v>0</v>
      </c>
      <c r="D369" s="1202">
        <v>0</v>
      </c>
      <c r="E369" s="1202">
        <v>0</v>
      </c>
      <c r="F369" s="1202">
        <v>0</v>
      </c>
      <c r="G369" s="1202">
        <v>0</v>
      </c>
      <c r="H369" s="1202">
        <v>0</v>
      </c>
      <c r="I369" s="1202">
        <v>0</v>
      </c>
      <c r="J369" s="1202"/>
      <c r="L369" s="649" t="b">
        <v>0</v>
      </c>
    </row>
    <row r="370" spans="1:2" ht="25" customHeight="1">
      <c r="A370" s="596"/>
      <c r="B370" s="527" t="s">
        <v>1805</v>
      </c>
    </row>
    <row r="371" spans="1:12" ht="25" customHeight="1">
      <c r="A371" s="596"/>
      <c r="B371" s="596" t="str">
        <f>IF(AND($L$369=TRUE,L371=FALSE,L372=FALSE),IF(Adatlap!$L$1="Magyar","Jelölje be!","Please, check!"),"")</f>
        <v/>
      </c>
      <c r="C371" s="527" t="s">
        <v>1807</v>
      </c>
      <c r="D371" s="658"/>
      <c r="E371" s="658"/>
      <c r="F371" s="658"/>
      <c r="G371" s="658"/>
      <c r="H371" s="658"/>
      <c r="I371" s="658"/>
      <c r="J371" s="658"/>
      <c r="L371" s="649" t="b">
        <v>0</v>
      </c>
    </row>
    <row r="372" spans="2:12" ht="25" customHeight="1">
      <c r="B372" s="596" t="str">
        <f>IF(AND($L$369=TRUE,L371=FALSE,L372=FALSE),IF(Adatlap!$L$1="Magyar","Jelölje be!","Please, check!"),"")</f>
        <v/>
      </c>
      <c r="C372" s="527" t="s">
        <v>1808</v>
      </c>
      <c r="D372" s="657"/>
      <c r="E372" s="1382"/>
      <c r="F372" s="1382"/>
      <c r="G372" s="1382"/>
      <c r="H372" s="1382"/>
      <c r="I372" s="1382"/>
      <c r="J372" s="1382"/>
      <c r="L372" s="649" t="b">
        <v>0</v>
      </c>
    </row>
    <row r="373" spans="1:10" ht="13" customHeight="1">
      <c r="A373" s="596"/>
      <c r="B373" s="658"/>
      <c r="C373" s="658"/>
      <c r="D373" s="658"/>
      <c r="E373" s="658"/>
      <c r="F373" s="658"/>
      <c r="G373" s="658"/>
      <c r="H373" s="658"/>
      <c r="I373" s="658"/>
      <c r="J373" s="658"/>
    </row>
    <row r="374" spans="2:22" ht="24" customHeight="1">
      <c r="B374" s="596" t="str">
        <f>IF(AND($L$369=TRUE,L374=FALSE),IF(Adatlap!$L$1="Magyar","Jelölje be!","Please, check!"),"")</f>
        <v/>
      </c>
      <c r="C374" s="1236" t="s">
        <v>1822</v>
      </c>
      <c r="D374" s="1236">
        <v>0</v>
      </c>
      <c r="E374" s="1236">
        <v>0</v>
      </c>
      <c r="F374" s="1236">
        <v>0</v>
      </c>
      <c r="G374" s="1236">
        <v>0</v>
      </c>
      <c r="H374" s="1236">
        <v>0</v>
      </c>
      <c r="I374" s="1236">
        <v>0</v>
      </c>
      <c r="J374" s="1236"/>
      <c r="L374" s="649" t="b">
        <v>0</v>
      </c>
      <c r="O374" s="1377"/>
      <c r="P374" s="1372"/>
      <c r="Q374" s="1372"/>
      <c r="R374" s="1397"/>
      <c r="S374" s="1397"/>
      <c r="T374" s="1397"/>
      <c r="U374" s="1397"/>
      <c r="V374" s="1397"/>
    </row>
    <row r="375" spans="2:22" ht="12" customHeight="1">
      <c r="B375" s="596"/>
      <c r="C375" s="527"/>
      <c r="D375" s="658"/>
      <c r="O375" s="1377"/>
      <c r="P375" s="1372"/>
      <c r="Q375" s="1372"/>
      <c r="R375" s="1397"/>
      <c r="S375" s="1397"/>
      <c r="T375" s="1397"/>
      <c r="U375" s="1397"/>
      <c r="V375" s="1397"/>
    </row>
    <row r="376" spans="2:22" ht="13" customHeight="1">
      <c r="B376" s="1214" t="s">
        <v>1043</v>
      </c>
      <c r="C376" s="1214">
        <v>0</v>
      </c>
      <c r="D376" s="1214">
        <v>0</v>
      </c>
      <c r="E376" s="1214">
        <v>0</v>
      </c>
      <c r="F376" s="1373" t="s">
        <v>1812</v>
      </c>
      <c r="G376" s="1373">
        <v>0</v>
      </c>
      <c r="H376" s="1373" t="s">
        <v>1850</v>
      </c>
      <c r="I376" s="1373">
        <v>0</v>
      </c>
      <c r="J376" s="648"/>
      <c r="O376" s="1377"/>
      <c r="P376" s="1372"/>
      <c r="Q376" s="1372"/>
      <c r="R376" s="1397"/>
      <c r="S376" s="1397"/>
      <c r="T376" s="1397"/>
      <c r="U376" s="1397"/>
      <c r="V376" s="1397"/>
    </row>
    <row r="377" spans="2:22" ht="13" customHeight="1">
      <c r="B377" s="1214">
        <v>0</v>
      </c>
      <c r="C377" s="1214">
        <v>0</v>
      </c>
      <c r="D377" s="1214">
        <v>0</v>
      </c>
      <c r="E377" s="1214">
        <v>0</v>
      </c>
      <c r="F377" s="1374" t="s">
        <v>1851</v>
      </c>
      <c r="G377" s="1374">
        <v>0</v>
      </c>
      <c r="H377" s="1374" t="s">
        <v>1851</v>
      </c>
      <c r="I377" s="1374">
        <v>0</v>
      </c>
      <c r="J377" s="648"/>
      <c r="O377" s="1377"/>
      <c r="P377" s="1372"/>
      <c r="Q377" s="1372"/>
      <c r="R377" s="1397"/>
      <c r="S377" s="1397"/>
      <c r="T377" s="1397"/>
      <c r="U377" s="1397"/>
      <c r="V377" s="1397"/>
    </row>
    <row r="378" spans="2:22" ht="27" customHeight="1">
      <c r="B378" s="1376" t="str">
        <f>B48</f>
        <v>Kézi mosogatószer</v>
      </c>
      <c r="C378" s="1376"/>
      <c r="D378" s="1376"/>
      <c r="E378" s="1376"/>
      <c r="F378" s="1375">
        <f>'Kiszerelés 5-8'!M21</f>
        <v>0</v>
      </c>
      <c r="G378" s="1375">
        <v>0</v>
      </c>
      <c r="H378" s="1375" t="e">
        <f>'Kiszerelés 5-8'!M22</f>
        <v>#N/A</v>
      </c>
      <c r="I378" s="1375">
        <v>0</v>
      </c>
      <c r="P378" s="131"/>
      <c r="Q378" s="131"/>
      <c r="R378" s="131"/>
      <c r="S378" s="131"/>
      <c r="T378" s="131"/>
      <c r="U378" s="131"/>
      <c r="V378" s="131"/>
    </row>
    <row r="379" spans="2:22" ht="13" customHeight="1">
      <c r="B379" s="596"/>
      <c r="C379" s="527"/>
      <c r="D379" s="658"/>
      <c r="O379" s="911"/>
      <c r="P379" s="673"/>
      <c r="Q379" s="673"/>
      <c r="R379" s="533"/>
      <c r="S379" s="533"/>
      <c r="T379" s="533"/>
      <c r="U379" s="533"/>
      <c r="V379" s="533"/>
    </row>
    <row r="380" spans="2:10" ht="22" customHeight="1">
      <c r="B380" s="596" t="str">
        <f>IF(AND($L$369=TRUE,L380=FALSE),IF(Adatlap!$L$1="Magyar","Jelölje be!","Please, check!"),"")</f>
        <v/>
      </c>
      <c r="C380" s="1202" t="s">
        <v>1835</v>
      </c>
      <c r="D380" s="1202">
        <v>0</v>
      </c>
      <c r="E380" s="1202">
        <v>0</v>
      </c>
      <c r="F380" s="1202">
        <v>0</v>
      </c>
      <c r="G380" s="1202">
        <v>0</v>
      </c>
      <c r="H380" s="1202">
        <v>0</v>
      </c>
      <c r="I380" s="1202">
        <v>0</v>
      </c>
      <c r="J380" s="1202"/>
    </row>
    <row r="381" spans="1:9" ht="26.15" customHeight="1">
      <c r="A381" s="599" t="str">
        <f>A$51</f>
        <v>b)</v>
      </c>
      <c r="B381" s="1366" t="s">
        <v>1837</v>
      </c>
      <c r="C381" s="1366"/>
      <c r="D381" s="1366"/>
      <c r="E381" s="1366"/>
      <c r="F381" s="1366"/>
      <c r="G381" s="1366"/>
      <c r="H381" s="1366"/>
      <c r="I381" s="1366"/>
    </row>
    <row r="382" spans="2:4" ht="13" customHeight="1">
      <c r="B382" s="674"/>
      <c r="C382" s="527"/>
      <c r="D382" s="658"/>
    </row>
    <row r="383" spans="1:12" ht="13" customHeight="1">
      <c r="A383" s="1364" t="str">
        <f>IF(AND($L$359=TRUE,L383=FALSE),IF(Adatlap!$L$1="Magyar","Jelölje be!","Please, check!"),"")</f>
        <v/>
      </c>
      <c r="B383" s="1236" t="s">
        <v>1839</v>
      </c>
      <c r="C383" s="1236">
        <v>0</v>
      </c>
      <c r="D383" s="1236">
        <v>0</v>
      </c>
      <c r="E383" s="1236">
        <v>0</v>
      </c>
      <c r="F383" s="1236">
        <v>0</v>
      </c>
      <c r="G383" s="1236">
        <v>0</v>
      </c>
      <c r="H383" s="1236">
        <v>0</v>
      </c>
      <c r="I383" s="1236">
        <v>0</v>
      </c>
      <c r="J383" s="1236"/>
      <c r="L383" s="649" t="b">
        <v>0</v>
      </c>
    </row>
    <row r="384" ht="13" customHeight="1">
      <c r="A384" s="1364">
        <v>0</v>
      </c>
    </row>
    <row r="385" spans="2:9" ht="25" customHeight="1">
      <c r="B385" s="1370" t="s">
        <v>1841</v>
      </c>
      <c r="C385" s="1370">
        <v>0</v>
      </c>
      <c r="D385" s="1370">
        <f>'Kiszerelés 5-8'!K26</f>
        <v>0</v>
      </c>
      <c r="E385" s="1370">
        <v>0</v>
      </c>
      <c r="F385" s="1370">
        <v>0</v>
      </c>
      <c r="G385" s="1370">
        <v>0</v>
      </c>
      <c r="H385" s="1370">
        <v>0</v>
      </c>
      <c r="I385" s="1370">
        <v>0</v>
      </c>
    </row>
    <row r="386" spans="2:9" ht="25" customHeight="1">
      <c r="B386" s="1370" t="s">
        <v>1195</v>
      </c>
      <c r="C386" s="1370">
        <v>0</v>
      </c>
      <c r="D386" s="1370">
        <f>'Kiszerelés 5-8'!K27</f>
        <v>0</v>
      </c>
      <c r="E386" s="1370">
        <v>0</v>
      </c>
      <c r="F386" s="1370">
        <v>0</v>
      </c>
      <c r="G386" s="1370">
        <v>0</v>
      </c>
      <c r="H386" s="1370">
        <v>0</v>
      </c>
      <c r="I386" s="1370">
        <v>0</v>
      </c>
    </row>
    <row r="387" spans="2:9" ht="25" customHeight="1">
      <c r="B387" s="1370" t="s">
        <v>1842</v>
      </c>
      <c r="C387" s="1370">
        <v>0</v>
      </c>
      <c r="D387" s="1370">
        <f>'Kiszerelés 5-8'!K28</f>
        <v>0</v>
      </c>
      <c r="E387" s="1370">
        <v>0</v>
      </c>
      <c r="F387" s="1370">
        <v>0</v>
      </c>
      <c r="G387" s="1370">
        <v>0</v>
      </c>
      <c r="H387" s="1370">
        <v>0</v>
      </c>
      <c r="I387" s="1370">
        <v>0</v>
      </c>
    </row>
    <row r="388" spans="2:9" ht="25" customHeight="1">
      <c r="B388" s="1370" t="s">
        <v>1843</v>
      </c>
      <c r="C388" s="1370">
        <v>0</v>
      </c>
      <c r="D388" s="1370">
        <f>'Kiszerelés 5-8'!K29</f>
        <v>0</v>
      </c>
      <c r="E388" s="1370">
        <v>0</v>
      </c>
      <c r="F388" s="1370">
        <v>0</v>
      </c>
      <c r="G388" s="1370">
        <v>0</v>
      </c>
      <c r="H388" s="1370">
        <v>0</v>
      </c>
      <c r="I388" s="1370">
        <v>0</v>
      </c>
    </row>
    <row r="389" spans="2:9" ht="25" customHeight="1">
      <c r="B389" s="1370" t="s">
        <v>1847</v>
      </c>
      <c r="C389" s="1370">
        <v>0</v>
      </c>
      <c r="D389" s="1371"/>
      <c r="E389" s="1371"/>
      <c r="F389" s="1371"/>
      <c r="G389" s="1371"/>
      <c r="H389" s="1371"/>
      <c r="I389" s="1371"/>
    </row>
    <row r="390" ht="13" customHeight="1"/>
    <row r="391" spans="2:12" ht="25" customHeight="1">
      <c r="B391" s="596" t="str">
        <f>IF(AND(L391=FALSE,L383=TRUE),IF(Adatlap!$L$1="Magyar","Jelölje be!","Please, check!"),"")</f>
        <v/>
      </c>
      <c r="C391" s="1202" t="s">
        <v>1848</v>
      </c>
      <c r="D391" s="1202"/>
      <c r="E391" s="1202"/>
      <c r="F391" s="1202"/>
      <c r="G391" s="1202"/>
      <c r="H391" s="1202"/>
      <c r="I391" s="1202"/>
      <c r="J391" s="1202"/>
      <c r="L391" s="649" t="b">
        <v>0</v>
      </c>
    </row>
    <row r="392" ht="18" customHeight="1"/>
    <row r="393" spans="1:9" ht="21" customHeight="1">
      <c r="A393" s="1365" t="str">
        <f>'Kiszerelés 5-8'!J31</f>
        <v>8. kiszerelés</v>
      </c>
      <c r="B393" s="1365"/>
      <c r="C393" s="1366" t="str">
        <f>IF('Kiszerelés 5-8'!J32="","",'Kiszerelés 5-8'!J32)</f>
        <v/>
      </c>
      <c r="D393" s="1366"/>
      <c r="E393" s="1366"/>
      <c r="F393" s="1366"/>
      <c r="G393" s="1366"/>
      <c r="H393" s="1366"/>
      <c r="I393" s="1366"/>
    </row>
    <row r="394" ht="13" customHeight="1"/>
    <row r="395" spans="1:9" ht="13" customHeight="1" hidden="1">
      <c r="A395" s="599" t="str">
        <f>A$10</f>
        <v>a)</v>
      </c>
      <c r="B395" s="1366" t="str">
        <f>B$10</f>
        <v>Szórófejes palackokban értékesített termékek</v>
      </c>
      <c r="C395" s="1366"/>
      <c r="D395" s="1366"/>
      <c r="E395" s="1366"/>
      <c r="F395" s="1366"/>
      <c r="G395" s="1366"/>
      <c r="H395" s="1366"/>
      <c r="I395" s="1366"/>
    </row>
    <row r="396" ht="13" customHeight="1" hidden="1"/>
    <row r="397" spans="1:12" ht="25" customHeight="1" hidden="1">
      <c r="A397" s="528" t="str">
        <f>IF(AND(L397=FALSE,L404=FALSE),IF(Adatlap!$L$1="Magyar","Jelölje be!","Please, check!"),"")</f>
        <v>Jelölje be!</v>
      </c>
      <c r="B397" s="1202" t="str">
        <f>B$12</f>
        <v>Kijelentem, hogy az adott kiszerelés esetében a termék szórófejes palackban kerül forgalomba.</v>
      </c>
      <c r="C397" s="1202" t="str">
        <f aca="true" t="shared" si="103" ref="C397:I397">C343</f>
        <v>Kijelentem, hogy az adott kiszerelésű termékeknél a szórófejes palackok nem tartalmaznak hajtógázt.</v>
      </c>
      <c r="D397" s="1202">
        <f t="shared" si="103"/>
        <v>0</v>
      </c>
      <c r="E397" s="1202">
        <f t="shared" si="103"/>
        <v>0</v>
      </c>
      <c r="F397" s="1202">
        <f t="shared" si="103"/>
        <v>0</v>
      </c>
      <c r="G397" s="1202">
        <f t="shared" si="103"/>
        <v>0</v>
      </c>
      <c r="H397" s="1202">
        <f t="shared" si="103"/>
        <v>0</v>
      </c>
      <c r="I397" s="1202">
        <f t="shared" si="103"/>
        <v>0</v>
      </c>
      <c r="J397" s="1202"/>
      <c r="L397" s="649" t="b">
        <v>0</v>
      </c>
    </row>
    <row r="398" spans="2:12" ht="25" customHeight="1" hidden="1">
      <c r="B398" s="596" t="str">
        <f>IF(AND($L$397=TRUE,L398=FALSE),IF(Adatlap!$L$1="Magyar","Jelölje be!","Please, check!"),"")</f>
        <v/>
      </c>
      <c r="C398" s="1236" t="str">
        <f>C$13</f>
        <v>Kijelentem, hogy az adott kiszerelésű termékeknél a szórófejes palackok nem tartalmaznak hajtógázt.</v>
      </c>
      <c r="D398" s="1236">
        <f aca="true" t="shared" si="104" ref="D398:I398">D344</f>
        <v>0</v>
      </c>
      <c r="E398" s="1236">
        <f t="shared" si="104"/>
        <v>0</v>
      </c>
      <c r="F398" s="1236">
        <f t="shared" si="104"/>
        <v>0</v>
      </c>
      <c r="G398" s="1236">
        <f t="shared" si="104"/>
        <v>0</v>
      </c>
      <c r="H398" s="1236">
        <f t="shared" si="104"/>
        <v>0</v>
      </c>
      <c r="I398" s="1236">
        <f t="shared" si="104"/>
        <v>0</v>
      </c>
      <c r="J398" s="1236"/>
      <c r="L398" s="649" t="b">
        <v>0</v>
      </c>
    </row>
    <row r="399" ht="8.15" customHeight="1" hidden="1"/>
    <row r="400" spans="2:12" ht="25" customHeight="1" hidden="1">
      <c r="B400" s="596" t="str">
        <f>IF(AND($L$397=TRUE,L400=FALSE),IF(Adatlap!$L$1="Magyar","Jelölje be!","Please, check!"),"")</f>
        <v/>
      </c>
      <c r="C400" s="1236" t="str">
        <f>C$15</f>
        <v>Kijelentem, hogy a szórófejes palackok újratölthetőek és újrahasználhatóak.</v>
      </c>
      <c r="D400" s="1236">
        <f aca="true" t="shared" si="105" ref="D400:I400">D346</f>
        <v>0</v>
      </c>
      <c r="E400" s="1236">
        <f t="shared" si="105"/>
        <v>0</v>
      </c>
      <c r="F400" s="1236">
        <f t="shared" si="105"/>
        <v>0</v>
      </c>
      <c r="G400" s="1236">
        <f t="shared" si="105"/>
        <v>0</v>
      </c>
      <c r="H400" s="1236">
        <f t="shared" si="105"/>
        <v>0</v>
      </c>
      <c r="I400" s="1236">
        <f t="shared" si="105"/>
        <v>0</v>
      </c>
      <c r="J400" s="1236"/>
      <c r="L400" s="649" t="b">
        <v>0</v>
      </c>
    </row>
    <row r="401" ht="8.15" customHeight="1" hidden="1"/>
    <row r="402" spans="2:12" ht="25" customHeight="1" hidden="1">
      <c r="B402" s="596" t="str">
        <f>IF(AND($L$397=TRUE,L402=FALSE),IF(Adatlap!$L$1="Magyar","Jelölje be!","Please, check!"),"")</f>
        <v/>
      </c>
      <c r="C402" s="1236" t="str">
        <f>C$17</f>
        <v>Csatolom a megfelelő dokumentációt, amelyik leírja vagy bemutatja, hogy a csomagolás részét képező szórófejes palackokat hogyan lehet utántölteni.</v>
      </c>
      <c r="D402" s="1236">
        <f aca="true" t="shared" si="106" ref="D402:I402">D348</f>
        <v>0</v>
      </c>
      <c r="E402" s="1236">
        <f t="shared" si="106"/>
        <v>0</v>
      </c>
      <c r="F402" s="1236">
        <f t="shared" si="106"/>
        <v>0</v>
      </c>
      <c r="G402" s="1236">
        <f t="shared" si="106"/>
        <v>0</v>
      </c>
      <c r="H402" s="1236">
        <f t="shared" si="106"/>
        <v>0</v>
      </c>
      <c r="I402" s="1236">
        <f t="shared" si="106"/>
        <v>0</v>
      </c>
      <c r="J402" s="1236"/>
      <c r="L402" s="649" t="b">
        <v>0</v>
      </c>
    </row>
    <row r="403" ht="13" customHeight="1" hidden="1"/>
    <row r="404" spans="1:12" ht="25" customHeight="1" hidden="1">
      <c r="A404" s="528" t="str">
        <f>IF(AND(L397=FALSE,L404=FALSE),IF(Adatlap!$L$1="Magyar","Jelölje be!","Please, check!"),"")</f>
        <v>Jelölje be!</v>
      </c>
      <c r="B404" s="1202" t="str">
        <f>B$19</f>
        <v>Kijelentem, hogy az adott kiszerelés nem tartalmaz szórófejes palackot.</v>
      </c>
      <c r="C404" s="1202">
        <f aca="true" t="shared" si="107" ref="C404:I404">C350</f>
        <v>0</v>
      </c>
      <c r="D404" s="1202">
        <f t="shared" si="107"/>
        <v>0</v>
      </c>
      <c r="E404" s="1202">
        <f t="shared" si="107"/>
        <v>0</v>
      </c>
      <c r="F404" s="1202">
        <f t="shared" si="107"/>
        <v>0</v>
      </c>
      <c r="G404" s="1202">
        <f t="shared" si="107"/>
        <v>0</v>
      </c>
      <c r="H404" s="1202">
        <f t="shared" si="107"/>
        <v>0</v>
      </c>
      <c r="I404" s="1202">
        <f t="shared" si="107"/>
        <v>0</v>
      </c>
      <c r="J404" s="1202"/>
      <c r="L404" s="649" t="b">
        <v>0</v>
      </c>
    </row>
    <row r="405" ht="13" customHeight="1" hidden="1"/>
    <row r="406" spans="1:10" ht="13" customHeight="1" hidden="1">
      <c r="A406" s="599" t="s">
        <v>1801</v>
      </c>
      <c r="B406" s="1336" t="str">
        <f>B$21</f>
        <v>Csomagolás-visszaváltási rendszerek</v>
      </c>
      <c r="C406" s="1336">
        <f aca="true" t="shared" si="108" ref="C406:I406">C352</f>
        <v>0</v>
      </c>
      <c r="D406" s="1336">
        <f t="shared" si="108"/>
        <v>0</v>
      </c>
      <c r="E406" s="1336">
        <f t="shared" si="108"/>
        <v>0</v>
      </c>
      <c r="F406" s="1336">
        <f t="shared" si="108"/>
        <v>0</v>
      </c>
      <c r="G406" s="1336">
        <f t="shared" si="108"/>
        <v>0</v>
      </c>
      <c r="H406" s="1336">
        <f t="shared" si="108"/>
        <v>0</v>
      </c>
      <c r="I406" s="1336">
        <f t="shared" si="108"/>
        <v>0</v>
      </c>
      <c r="J406" s="1336"/>
    </row>
    <row r="407" ht="13" customHeight="1" hidden="1"/>
    <row r="408" spans="1:12" ht="25" customHeight="1" hidden="1">
      <c r="A408" s="528" t="str">
        <f>IF(AND(L408=FALSE,L414=FALSE),IF(Adatlap!$L$1="Magyar","Jelölje be!","Please, check!"),"")</f>
        <v>Jelölje be!</v>
      </c>
      <c r="B408" s="1202" t="str">
        <f>B$23</f>
        <v>Kijelentem, hogy a termék a termékre / az adott kiszerelésre vonatkozó visszaváltási rendszer hatálya alá tartozó csomagolásban kerül forgalomba.</v>
      </c>
      <c r="C408" s="1202">
        <f aca="true" t="shared" si="109" ref="C408:I408">C354</f>
        <v>0</v>
      </c>
      <c r="D408" s="1202">
        <f t="shared" si="109"/>
        <v>0</v>
      </c>
      <c r="E408" s="1202">
        <f t="shared" si="109"/>
        <v>0</v>
      </c>
      <c r="F408" s="1202">
        <f t="shared" si="109"/>
        <v>0</v>
      </c>
      <c r="G408" s="1202">
        <f t="shared" si="109"/>
        <v>0</v>
      </c>
      <c r="H408" s="1202">
        <f t="shared" si="109"/>
        <v>0</v>
      </c>
      <c r="I408" s="1202">
        <f t="shared" si="109"/>
        <v>0</v>
      </c>
      <c r="J408" s="1202"/>
      <c r="L408" s="649" t="b">
        <v>0</v>
      </c>
    </row>
    <row r="409" spans="3:10" ht="13" customHeight="1" hidden="1">
      <c r="C409" s="659"/>
      <c r="D409" s="659"/>
      <c r="E409" s="659"/>
      <c r="F409" s="659"/>
      <c r="G409" s="659"/>
      <c r="H409" s="659"/>
      <c r="I409" s="659"/>
      <c r="J409" s="659"/>
    </row>
    <row r="410" spans="2:12" ht="25" customHeight="1" hidden="1">
      <c r="B410" s="596" t="str">
        <f>IF(AND($L$408=TRUE,L410=FALSE),IF(Adatlap!$L$1="Magyar","Jelölje be!","Please, check!"),"")</f>
        <v/>
      </c>
      <c r="C410" s="1236" t="str">
        <f>C$25</f>
        <v>Csatolom a megfelelő dokumentációt, amelyik leírja vagy bizonyítja, hogy a csomagolás-visszaváltási rendszer megvalósult.</v>
      </c>
      <c r="D410" s="1236">
        <f aca="true" t="shared" si="110" ref="D410:I410">D356</f>
        <v>0</v>
      </c>
      <c r="E410" s="1236">
        <f t="shared" si="110"/>
        <v>0</v>
      </c>
      <c r="F410" s="1236">
        <f t="shared" si="110"/>
        <v>0</v>
      </c>
      <c r="G410" s="1236">
        <f t="shared" si="110"/>
        <v>0</v>
      </c>
      <c r="H410" s="1236">
        <f t="shared" si="110"/>
        <v>0</v>
      </c>
      <c r="I410" s="1236">
        <f t="shared" si="110"/>
        <v>0</v>
      </c>
      <c r="J410" s="1236"/>
      <c r="L410" s="649" t="b">
        <v>0</v>
      </c>
    </row>
    <row r="411" ht="8.15" customHeight="1" hidden="1"/>
    <row r="412" spans="2:12" ht="25" customHeight="1" hidden="1">
      <c r="B412" s="596" t="str">
        <f>IF(AND($L$408=TRUE,L412=FALSE),IF(Adatlap!$L$1="Magyar","Jelölje be!","Please, check!"),"")</f>
        <v/>
      </c>
      <c r="C412" s="1368" t="str">
        <f>C$27</f>
        <v>Az adott kiszerelés mentesül az 5. c) és d) pontokban megfogalmazott követelmények alól.</v>
      </c>
      <c r="D412" s="1368"/>
      <c r="E412" s="1368"/>
      <c r="F412" s="1368"/>
      <c r="G412" s="1368"/>
      <c r="H412" s="1368"/>
      <c r="I412" s="1368"/>
      <c r="J412" s="1368"/>
      <c r="L412" s="649" t="b">
        <v>0</v>
      </c>
    </row>
    <row r="413" ht="8.15" customHeight="1" hidden="1"/>
    <row r="414" spans="1:12" ht="29.25" customHeight="1" hidden="1">
      <c r="A414" s="655" t="str">
        <f>IF(AND(L408=FALSE,L414=FALSE),IF(Adatlap!$L$1="Magyar","Jelölje be!","Please, check!"),"")</f>
        <v>Jelölje be!</v>
      </c>
      <c r="B414" s="1202" t="str">
        <f>B$29</f>
        <v>Kijelentem, hogy a termék NEM a termékre / az adott kiszerelésre vonatkozó visszaváltási rendszer hatálya alá tartozó csomagolásban kerül forgalomba, így nem mentesül az 5. kritérium c) és d) pontjában megadott kritériumok alól. (A c) és d) pontokat ki kell tölteni.)</v>
      </c>
      <c r="C414" s="1202">
        <f aca="true" t="shared" si="111" ref="C414:I414">C360</f>
        <v>0</v>
      </c>
      <c r="D414" s="1202">
        <f t="shared" si="111"/>
        <v>0</v>
      </c>
      <c r="E414" s="1202">
        <f t="shared" si="111"/>
        <v>0</v>
      </c>
      <c r="F414" s="1202">
        <f t="shared" si="111"/>
        <v>0</v>
      </c>
      <c r="G414" s="1202">
        <f t="shared" si="111"/>
        <v>0</v>
      </c>
      <c r="H414" s="1202">
        <f t="shared" si="111"/>
        <v>0</v>
      </c>
      <c r="I414" s="1202">
        <f t="shared" si="111"/>
        <v>0</v>
      </c>
      <c r="J414" s="1202"/>
      <c r="L414" s="649" t="b">
        <v>0</v>
      </c>
    </row>
    <row r="415" spans="1:10" ht="12" customHeight="1" hidden="1">
      <c r="A415" s="655"/>
      <c r="B415" s="1202">
        <f aca="true" t="shared" si="112" ref="B415:I415">B361</f>
        <v>0</v>
      </c>
      <c r="C415" s="1202">
        <f t="shared" si="112"/>
        <v>0</v>
      </c>
      <c r="D415" s="1202">
        <f t="shared" si="112"/>
        <v>0</v>
      </c>
      <c r="E415" s="1202">
        <f t="shared" si="112"/>
        <v>0</v>
      </c>
      <c r="F415" s="1202">
        <f t="shared" si="112"/>
        <v>0</v>
      </c>
      <c r="G415" s="1202">
        <f t="shared" si="112"/>
        <v>0</v>
      </c>
      <c r="H415" s="1202">
        <f t="shared" si="112"/>
        <v>0</v>
      </c>
      <c r="I415" s="1202">
        <f t="shared" si="112"/>
        <v>0</v>
      </c>
      <c r="J415" s="1202"/>
    </row>
    <row r="416" spans="2:10" ht="13" customHeight="1" hidden="1">
      <c r="B416" s="657"/>
      <c r="C416" s="657"/>
      <c r="D416" s="657"/>
      <c r="E416" s="657"/>
      <c r="F416" s="657"/>
      <c r="G416" s="657"/>
      <c r="H416" s="657"/>
      <c r="I416" s="657"/>
      <c r="J416" s="657"/>
    </row>
    <row r="417" spans="1:10" ht="13" customHeight="1">
      <c r="A417" s="599" t="str">
        <f>A$32</f>
        <v>a)</v>
      </c>
      <c r="B417" s="1369" t="str">
        <f>B$32</f>
        <v>Tömeg/hasznosság arány (THA)</v>
      </c>
      <c r="C417" s="1369"/>
      <c r="D417" s="1369"/>
      <c r="E417" s="1369"/>
      <c r="F417" s="1369"/>
      <c r="G417" s="1369"/>
      <c r="H417" s="1369"/>
      <c r="I417" s="1369"/>
      <c r="J417" s="1369"/>
    </row>
    <row r="418" spans="2:10" ht="13" customHeight="1">
      <c r="B418" s="657"/>
      <c r="C418" s="657"/>
      <c r="D418" s="657"/>
      <c r="E418" s="657"/>
      <c r="F418" s="657"/>
      <c r="G418" s="657"/>
      <c r="H418" s="657"/>
      <c r="I418" s="657"/>
      <c r="J418" s="657"/>
    </row>
    <row r="419" spans="1:18" ht="28" customHeight="1">
      <c r="A419" s="596" t="s">
        <v>2241</v>
      </c>
      <c r="B419" s="1236" t="str">
        <f>B$34</f>
        <v>Kijelentem, hogy az adott kiszerelésben a termék elsődleges csomagolása TÖBB mint 80 %-ban újrahasznosított anyagokból készül.</v>
      </c>
      <c r="C419" s="1236">
        <f aca="true" t="shared" si="113" ref="C419:I419">C365</f>
        <v>0</v>
      </c>
      <c r="D419" s="1236">
        <f t="shared" si="113"/>
        <v>0</v>
      </c>
      <c r="E419" s="1236">
        <f t="shared" si="113"/>
        <v>0</v>
      </c>
      <c r="F419" s="1236">
        <f t="shared" si="113"/>
        <v>0</v>
      </c>
      <c r="G419" s="1236">
        <f t="shared" si="113"/>
        <v>0</v>
      </c>
      <c r="H419" s="1236">
        <f t="shared" si="113"/>
        <v>0</v>
      </c>
      <c r="I419" s="1236">
        <f t="shared" si="113"/>
        <v>0</v>
      </c>
      <c r="J419" s="1236"/>
      <c r="L419" s="649" t="b">
        <v>0</v>
      </c>
      <c r="O419" s="913" t="str">
        <f>IF(AND(L414=TRUE,L419=FALSE,L424=FALSE),IF(Adatlap!$L$1="Magyar","Jelölje be!","Please, check!"),"")</f>
        <v/>
      </c>
      <c r="P419" t="str">
        <f>IF(AND(L419=FALSE,L424=FALSE),IF(Adatlap!$L$1="Magyar","Jelölje be!","Please, check!"),"")</f>
        <v>Jelölje be!</v>
      </c>
      <c r="Q419">
        <f>IF(AND(L414=TRUE,L419=FALSE,L424=FALSE),1,0)</f>
        <v>0</v>
      </c>
      <c r="R419" s="523">
        <f>IF(AND(L419=FALSE,L424=FALSE),1,0)</f>
        <v>1</v>
      </c>
    </row>
    <row r="420" spans="1:10" ht="8.15" customHeight="1">
      <c r="A420" s="596"/>
      <c r="B420" s="658"/>
      <c r="C420" s="658"/>
      <c r="D420" s="658"/>
      <c r="E420" s="658"/>
      <c r="F420" s="658"/>
      <c r="G420" s="658"/>
      <c r="H420" s="658"/>
      <c r="I420" s="658"/>
      <c r="J420" s="658"/>
    </row>
    <row r="421" spans="1:2" ht="13" customHeight="1">
      <c r="A421" s="596"/>
      <c r="B421" s="527" t="str">
        <f>B$36</f>
        <v>Csatolom a nyilatkozatot alátámasztó dokumentációt:</v>
      </c>
    </row>
    <row r="422" spans="1:12" ht="25" customHeight="1">
      <c r="A422" s="596"/>
      <c r="B422" s="596" t="str">
        <f>IF(AND($L$419=TRUE,L422=FALSE,L423=FALSE),IF(Adatlap!$L$1="Magyar","Jelölje be!","Please, check!"),"")</f>
        <v/>
      </c>
      <c r="C422" s="527" t="str">
        <f>C$37</f>
        <v>Gyártói nyilatkozat(ok)</v>
      </c>
      <c r="D422" s="527"/>
      <c r="E422" s="527"/>
      <c r="F422" s="527"/>
      <c r="G422" s="527"/>
      <c r="H422" s="527"/>
      <c r="I422" s="527"/>
      <c r="J422" s="527"/>
      <c r="L422" s="649" t="b">
        <v>0</v>
      </c>
    </row>
    <row r="423" spans="2:12" ht="25" customHeight="1">
      <c r="B423" s="596" t="str">
        <f>IF(AND($L$419=TRUE,L422=FALSE,L423=FALSE),IF(Adatlap!$L$1="Magyar","Jelölje be!","Please, check!"),"")</f>
        <v/>
      </c>
      <c r="C423" s="1367" t="str">
        <f>C$38</f>
        <v>Egyéb (nevezze meg):</v>
      </c>
      <c r="D423" s="1367"/>
      <c r="E423" s="1367"/>
      <c r="F423" s="1367"/>
      <c r="G423" s="1367"/>
      <c r="H423" s="1367"/>
      <c r="I423" s="1367"/>
      <c r="J423" s="1367"/>
      <c r="L423" s="649" t="b">
        <v>0</v>
      </c>
    </row>
    <row r="424" spans="1:12" ht="25" customHeight="1">
      <c r="A424" s="596" t="s">
        <v>2241</v>
      </c>
      <c r="B424" s="1202" t="str">
        <f>B39</f>
        <v>Kijelentem, hogy az adott kiszerelés esetében a  termék elsődleges csomagolásához felhasznált újrahasznosított anyagok aránya KEVESEBB mint 80%.</v>
      </c>
      <c r="C424" s="1202">
        <f aca="true" t="shared" si="114" ref="C424:I424">C370</f>
        <v>0</v>
      </c>
      <c r="D424" s="1202">
        <f t="shared" si="114"/>
        <v>0</v>
      </c>
      <c r="E424" s="1202">
        <f t="shared" si="114"/>
        <v>0</v>
      </c>
      <c r="F424" s="1202">
        <f t="shared" si="114"/>
        <v>0</v>
      </c>
      <c r="G424" s="1202">
        <f t="shared" si="114"/>
        <v>0</v>
      </c>
      <c r="H424" s="1202">
        <f t="shared" si="114"/>
        <v>0</v>
      </c>
      <c r="I424" s="1202">
        <f t="shared" si="114"/>
        <v>0</v>
      </c>
      <c r="J424" s="1202"/>
      <c r="L424" s="649" t="b">
        <v>0</v>
      </c>
    </row>
    <row r="425" spans="1:2" ht="25" customHeight="1">
      <c r="A425" s="596"/>
      <c r="B425" s="527" t="str">
        <f>B$40</f>
        <v>Csatolom a nyilatkozatot alátámasztó dokumentációt:</v>
      </c>
    </row>
    <row r="426" spans="1:12" ht="25" customHeight="1">
      <c r="A426" s="596"/>
      <c r="B426" s="596" t="str">
        <f>IF(AND(L424=TRUE,L426=FALSE,L427=FALSE),IF(Adatlap!$L$1="Magyar","Jelölje be!","Please, check!"),"")</f>
        <v/>
      </c>
      <c r="C426" s="527" t="str">
        <f>C$41</f>
        <v>Gyártói nyilatkozat(ok)</v>
      </c>
      <c r="D426" s="658"/>
      <c r="E426" s="658"/>
      <c r="F426" s="658"/>
      <c r="G426" s="658"/>
      <c r="H426" s="658"/>
      <c r="I426" s="658"/>
      <c r="J426" s="658"/>
      <c r="L426" s="649" t="b">
        <v>0</v>
      </c>
    </row>
    <row r="427" spans="2:12" ht="25" customHeight="1">
      <c r="B427" s="596" t="str">
        <f>IF(AND(L424=TRUE,L426=FALSE,L427=FALSE),IF(Adatlap!$L$1="Magyar","Jelölje be!","Please, check!"),"")</f>
        <v/>
      </c>
      <c r="C427" s="527" t="str">
        <f>C$42</f>
        <v>Egyéb (nevezze meg):</v>
      </c>
      <c r="D427" s="657"/>
      <c r="E427" s="1382"/>
      <c r="F427" s="1382"/>
      <c r="G427" s="1382"/>
      <c r="H427" s="1382"/>
      <c r="I427" s="1382"/>
      <c r="J427" s="1382"/>
      <c r="L427" s="649" t="b">
        <v>0</v>
      </c>
    </row>
    <row r="428" spans="1:10" ht="13" customHeight="1">
      <c r="A428" s="596"/>
      <c r="B428" s="658"/>
      <c r="C428" s="658"/>
      <c r="D428" s="658"/>
      <c r="E428" s="658"/>
      <c r="F428" s="658"/>
      <c r="G428" s="658"/>
      <c r="H428" s="658"/>
      <c r="I428" s="658"/>
      <c r="J428" s="658"/>
    </row>
    <row r="429" spans="2:22" ht="24" customHeight="1">
      <c r="B429" s="596" t="str">
        <f>IF(AND(L424=TRUE,L429=FALSE),IF(Adatlap!$L$1="Magyar","Jelölje be!","Please, check!"),"")</f>
        <v/>
      </c>
      <c r="C429" s="1236" t="str">
        <f>C$44</f>
        <v>Kijelentem, hogy az adott kiszerelés esetében a THA arány nem haladja meg a vonatkozó határértéket.</v>
      </c>
      <c r="D429" s="1236">
        <f aca="true" t="shared" si="115" ref="D429:I429">D375</f>
        <v>0</v>
      </c>
      <c r="E429" s="1236">
        <f t="shared" si="115"/>
        <v>0</v>
      </c>
      <c r="F429" s="1236">
        <f t="shared" si="115"/>
        <v>0</v>
      </c>
      <c r="G429" s="1236">
        <f t="shared" si="115"/>
        <v>0</v>
      </c>
      <c r="H429" s="1236">
        <f t="shared" si="115"/>
        <v>0</v>
      </c>
      <c r="I429" s="1236">
        <f t="shared" si="115"/>
        <v>0</v>
      </c>
      <c r="J429" s="1236"/>
      <c r="L429" s="649" t="b">
        <v>0</v>
      </c>
      <c r="O429" s="1377"/>
      <c r="P429" s="1372"/>
      <c r="Q429" s="1372"/>
      <c r="R429" s="1397"/>
      <c r="S429" s="1397"/>
      <c r="T429" s="1397"/>
      <c r="U429" s="1397"/>
      <c r="V429" s="1397"/>
    </row>
    <row r="430" spans="2:22" ht="12" customHeight="1">
      <c r="B430" s="596"/>
      <c r="C430" s="527"/>
      <c r="D430" s="658"/>
      <c r="O430" s="1377"/>
      <c r="P430" s="1372"/>
      <c r="Q430" s="1372"/>
      <c r="R430" s="1397"/>
      <c r="S430" s="1397"/>
      <c r="T430" s="1397"/>
      <c r="U430" s="1397"/>
      <c r="V430" s="1397"/>
    </row>
    <row r="431" spans="2:22" ht="13" customHeight="1">
      <c r="B431" s="1214" t="str">
        <f>B$46</f>
        <v>A termék fajtája:</v>
      </c>
      <c r="C431" s="1214">
        <f aca="true" t="shared" si="116" ref="C431:E431">C377</f>
        <v>0</v>
      </c>
      <c r="D431" s="1214">
        <f t="shared" si="116"/>
        <v>0</v>
      </c>
      <c r="E431" s="1214">
        <f t="shared" si="116"/>
        <v>0</v>
      </c>
      <c r="F431" s="1373" t="str">
        <f>F$46</f>
        <v>THA</v>
      </c>
      <c r="G431" s="1373">
        <f aca="true" t="shared" si="117" ref="G431">G377</f>
        <v>0</v>
      </c>
      <c r="H431" s="1373" t="str">
        <f>H$46</f>
        <v>THA Határérték</v>
      </c>
      <c r="I431" s="1373">
        <f aca="true" t="shared" si="118" ref="I431">I377</f>
        <v>0</v>
      </c>
      <c r="J431" s="648"/>
      <c r="O431" s="1377"/>
      <c r="P431" s="1372"/>
      <c r="Q431" s="1372"/>
      <c r="R431" s="1397"/>
      <c r="S431" s="1397"/>
      <c r="T431" s="1397"/>
      <c r="U431" s="1397"/>
      <c r="V431" s="1397"/>
    </row>
    <row r="432" spans="2:22" ht="13" customHeight="1">
      <c r="B432" s="1214" t="str">
        <f aca="true" t="shared" si="119" ref="B432:E432">B378</f>
        <v>Kézi mosogatószer</v>
      </c>
      <c r="C432" s="1214">
        <f t="shared" si="119"/>
        <v>0</v>
      </c>
      <c r="D432" s="1214">
        <f t="shared" si="119"/>
        <v>0</v>
      </c>
      <c r="E432" s="1214">
        <f t="shared" si="119"/>
        <v>0</v>
      </c>
      <c r="F432" s="1374" t="str">
        <f>F$47</f>
        <v>g/l tisztítószer oldat</v>
      </c>
      <c r="G432" s="1374">
        <f aca="true" t="shared" si="120" ref="G432">G378</f>
        <v>0</v>
      </c>
      <c r="H432" s="1374" t="str">
        <f>H$47</f>
        <v>g/l tisztítószer oldat</v>
      </c>
      <c r="I432" s="1374">
        <f aca="true" t="shared" si="121" ref="I432">I378</f>
        <v>0</v>
      </c>
      <c r="J432" s="648"/>
      <c r="O432" s="1377"/>
      <c r="P432" s="1372"/>
      <c r="Q432" s="1372"/>
      <c r="R432" s="1397"/>
      <c r="S432" s="1397"/>
      <c r="T432" s="1397"/>
      <c r="U432" s="1397"/>
      <c r="V432" s="1397"/>
    </row>
    <row r="433" spans="2:22" ht="27" customHeight="1">
      <c r="B433" s="1376" t="str">
        <f>B48</f>
        <v>Kézi mosogatószer</v>
      </c>
      <c r="C433" s="1376"/>
      <c r="D433" s="1376"/>
      <c r="E433" s="1376"/>
      <c r="F433" s="1375">
        <f>'Kiszerelés 5-8'!M42</f>
        <v>0</v>
      </c>
      <c r="G433" s="1375">
        <f aca="true" t="shared" si="122" ref="G433">G379</f>
        <v>0</v>
      </c>
      <c r="H433" s="1375" t="e">
        <f>'Kiszerelés 5-8'!M43</f>
        <v>#N/A</v>
      </c>
      <c r="I433" s="1375">
        <f aca="true" t="shared" si="123" ref="I433">I379</f>
        <v>0</v>
      </c>
      <c r="P433" s="131"/>
      <c r="Q433" s="131"/>
      <c r="R433" s="131"/>
      <c r="S433" s="131"/>
      <c r="T433" s="131"/>
      <c r="U433" s="131"/>
      <c r="V433" s="131"/>
    </row>
    <row r="434" spans="2:22" ht="13" customHeight="1">
      <c r="B434" s="596"/>
      <c r="C434" s="527"/>
      <c r="D434" s="658"/>
      <c r="O434" s="911"/>
      <c r="P434" s="673"/>
      <c r="Q434" s="673"/>
      <c r="R434" s="533"/>
      <c r="S434" s="533"/>
      <c r="T434" s="533"/>
      <c r="U434" s="533"/>
      <c r="V434" s="533"/>
    </row>
    <row r="435" spans="2:12" ht="22" customHeight="1">
      <c r="B435" s="596" t="str">
        <f>IF(AND($L$424=TRUE,L435=FALSE),IF(Adatlap!$L$1="Magyar","Jelölje be!","Please, check!"),"")</f>
        <v/>
      </c>
      <c r="C435" s="1202" t="str">
        <f>C$50</f>
        <v>Csatolom a THA kiszámítását bemutató munkalapot.</v>
      </c>
      <c r="D435" s="1202">
        <f aca="true" t="shared" si="124" ref="D435:I435">D381</f>
        <v>0</v>
      </c>
      <c r="E435" s="1202">
        <f t="shared" si="124"/>
        <v>0</v>
      </c>
      <c r="F435" s="1202">
        <f t="shared" si="124"/>
        <v>0</v>
      </c>
      <c r="G435" s="1202">
        <f t="shared" si="124"/>
        <v>0</v>
      </c>
      <c r="H435" s="1202">
        <f t="shared" si="124"/>
        <v>0</v>
      </c>
      <c r="I435" s="1202">
        <f t="shared" si="124"/>
        <v>0</v>
      </c>
      <c r="J435" s="1202"/>
      <c r="L435" s="649" t="b">
        <v>0</v>
      </c>
    </row>
    <row r="436" spans="1:9" ht="26.15" customHeight="1">
      <c r="A436" s="599" t="str">
        <f>A$51</f>
        <v>b)</v>
      </c>
      <c r="B436" s="1366" t="str">
        <f>B$51</f>
        <v>Az újrahasznosítást megkönnyítő kialakítás</v>
      </c>
      <c r="C436" s="1366"/>
      <c r="D436" s="1366"/>
      <c r="E436" s="1366"/>
      <c r="F436" s="1366"/>
      <c r="G436" s="1366"/>
      <c r="H436" s="1366"/>
      <c r="I436" s="1366"/>
    </row>
    <row r="437" spans="2:4" ht="13" customHeight="1">
      <c r="B437" s="674"/>
      <c r="C437" s="527"/>
      <c r="D437" s="658"/>
    </row>
    <row r="438" spans="1:12" ht="13" customHeight="1">
      <c r="A438" s="1364" t="str">
        <f>IF(AND($L$414=TRUE,L438=FALSE),IF(Adatlap!$L$1="Magyar","Jelölje be!","Please, check!"),"")</f>
        <v/>
      </c>
      <c r="B438" s="1236" t="str">
        <f>B$53</f>
        <v>Kijelentem, hogy a termék csomagolása a következő anyagokból áll:</v>
      </c>
      <c r="C438" s="1236">
        <f aca="true" t="shared" si="125" ref="C438:I438">C384</f>
        <v>0</v>
      </c>
      <c r="D438" s="1236">
        <f t="shared" si="125"/>
        <v>0</v>
      </c>
      <c r="E438" s="1236">
        <f t="shared" si="125"/>
        <v>0</v>
      </c>
      <c r="F438" s="1236">
        <f t="shared" si="125"/>
        <v>0</v>
      </c>
      <c r="G438" s="1236">
        <f t="shared" si="125"/>
        <v>0</v>
      </c>
      <c r="H438" s="1236">
        <f t="shared" si="125"/>
        <v>0</v>
      </c>
      <c r="I438" s="1236">
        <f t="shared" si="125"/>
        <v>0</v>
      </c>
      <c r="J438" s="1236"/>
      <c r="L438" s="649" t="b">
        <v>0</v>
      </c>
    </row>
    <row r="439" ht="13" customHeight="1">
      <c r="A439" s="1364"/>
    </row>
    <row r="440" spans="2:9" ht="25" customHeight="1">
      <c r="B440" s="1370" t="str">
        <f>B$55</f>
        <v>A tartály vagy palack anyaga</v>
      </c>
      <c r="C440" s="1370">
        <f aca="true" t="shared" si="126" ref="C440:I444">C386</f>
        <v>0</v>
      </c>
      <c r="D440" s="1370">
        <f>'Kiszerelés 5-8'!K47</f>
        <v>0</v>
      </c>
      <c r="E440" s="1370">
        <f t="shared" si="126"/>
        <v>0</v>
      </c>
      <c r="F440" s="1370">
        <f t="shared" si="126"/>
        <v>0</v>
      </c>
      <c r="G440" s="1370">
        <f t="shared" si="126"/>
        <v>0</v>
      </c>
      <c r="H440" s="1370">
        <f t="shared" si="126"/>
        <v>0</v>
      </c>
      <c r="I440" s="1370">
        <f t="shared" si="126"/>
        <v>0</v>
      </c>
    </row>
    <row r="441" spans="2:9" ht="25" customHeight="1">
      <c r="B441" s="1370" t="str">
        <f>B$56</f>
        <v>A címke/ráhúzható címke anyaga</v>
      </c>
      <c r="C441" s="1370">
        <f t="shared" si="126"/>
        <v>0</v>
      </c>
      <c r="D441" s="1370">
        <f>'Kiszerelés 5-8'!K48</f>
        <v>0</v>
      </c>
      <c r="E441" s="1370">
        <f aca="true" t="shared" si="127" ref="E441:I441">E387</f>
        <v>0</v>
      </c>
      <c r="F441" s="1370">
        <f t="shared" si="127"/>
        <v>0</v>
      </c>
      <c r="G441" s="1370">
        <f t="shared" si="127"/>
        <v>0</v>
      </c>
      <c r="H441" s="1370">
        <f t="shared" si="127"/>
        <v>0</v>
      </c>
      <c r="I441" s="1370">
        <f t="shared" si="127"/>
        <v>0</v>
      </c>
    </row>
    <row r="442" spans="2:9" ht="25" customHeight="1">
      <c r="B442" s="1370" t="str">
        <f>B$57</f>
        <v>A záróelem anyaga</v>
      </c>
      <c r="C442" s="1370">
        <f t="shared" si="126"/>
        <v>0</v>
      </c>
      <c r="D442" s="1370">
        <f>'Kiszerelés 5-8'!K49</f>
        <v>0</v>
      </c>
      <c r="E442" s="1370">
        <f aca="true" t="shared" si="128" ref="E442:I442">E388</f>
        <v>0</v>
      </c>
      <c r="F442" s="1370">
        <f t="shared" si="128"/>
        <v>0</v>
      </c>
      <c r="G442" s="1370">
        <f t="shared" si="128"/>
        <v>0</v>
      </c>
      <c r="H442" s="1370">
        <f t="shared" si="128"/>
        <v>0</v>
      </c>
      <c r="I442" s="1370">
        <f t="shared" si="128"/>
        <v>0</v>
      </c>
    </row>
    <row r="443" spans="2:9" ht="25" customHeight="1">
      <c r="B443" s="1370" t="str">
        <f>B$58</f>
        <v>A záróréteg-bevonat anyaga</v>
      </c>
      <c r="C443" s="1370">
        <f t="shared" si="126"/>
        <v>0</v>
      </c>
      <c r="D443" s="1370">
        <f>'Kiszerelés 5-8'!K50</f>
        <v>0</v>
      </c>
      <c r="E443" s="1370">
        <f aca="true" t="shared" si="129" ref="E443:I443">E389</f>
        <v>0</v>
      </c>
      <c r="F443" s="1370">
        <f t="shared" si="129"/>
        <v>0</v>
      </c>
      <c r="G443" s="1370">
        <f t="shared" si="129"/>
        <v>0</v>
      </c>
      <c r="H443" s="1370">
        <f t="shared" si="129"/>
        <v>0</v>
      </c>
      <c r="I443" s="1370">
        <f t="shared" si="129"/>
        <v>0</v>
      </c>
    </row>
    <row r="444" spans="2:9" ht="25" customHeight="1">
      <c r="B444" s="1370" t="str">
        <f>B$59</f>
        <v>Ragasztók</v>
      </c>
      <c r="C444" s="1370">
        <f t="shared" si="126"/>
        <v>0</v>
      </c>
      <c r="D444" s="1371"/>
      <c r="E444" s="1371"/>
      <c r="F444" s="1371"/>
      <c r="G444" s="1371"/>
      <c r="H444" s="1371"/>
      <c r="I444" s="1371"/>
    </row>
    <row r="445" ht="13" customHeight="1"/>
    <row r="446" spans="2:12" ht="25" customHeight="1">
      <c r="B446" s="596" t="str">
        <f>IF(AND(L446=FALSE,L438=TRUE),IF(Adatlap!$L$1="Magyar","Jelölje be!","Please, check!"),"")</f>
        <v/>
      </c>
      <c r="C446" s="1202" t="str">
        <f>C$61</f>
        <v>Csatolom az elsődleges csomagolás fényképét vagy műszaki rajzokat  az elsődleges csomagolásról.</v>
      </c>
      <c r="D446" s="1202"/>
      <c r="E446" s="1202"/>
      <c r="F446" s="1202"/>
      <c r="G446" s="1202"/>
      <c r="H446" s="1202"/>
      <c r="I446" s="1202"/>
      <c r="J446" s="1202"/>
      <c r="L446" s="649" t="b">
        <v>0</v>
      </c>
    </row>
    <row r="447" ht="18" customHeight="1"/>
    <row r="448" spans="1:10" ht="14.25" customHeight="1">
      <c r="A448" s="1304" t="str">
        <f>IF(OR(Adatlap!$M$3=3,Adatlap!$M$3=4),IF(Adatlap!L1="Magyar",Fordítások!C668,Fordítások!B668),IF(Adatlap!L1="Magyar",Fordítások!C667,Fordítások!B667))</f>
        <v xml:space="preserve">6. kritérium - </v>
      </c>
      <c r="B448" s="1304"/>
      <c r="C448" s="1305" t="str">
        <f>IF(Adatlap!L1="Magyar",Fordítások!C609,Fordítások!B609)</f>
        <v>Használatra való alkalmasság</v>
      </c>
      <c r="D448" s="1305"/>
      <c r="E448" s="1305"/>
      <c r="F448" s="1305"/>
      <c r="G448" s="1305"/>
      <c r="H448" s="1305"/>
      <c r="I448" s="1305"/>
      <c r="J448" s="1305"/>
    </row>
    <row r="449" ht="12.75" customHeight="1"/>
    <row r="450" spans="1:10" ht="27" customHeight="1">
      <c r="A450" s="533" t="str">
        <f>IF(L469=FALSE,IF(Adatlap!$L$1="Magyar","Jelölje be!","Please, check!"),"")</f>
        <v>Jelölje be!</v>
      </c>
      <c r="B450" s="1158" t="s">
        <v>2143</v>
      </c>
      <c r="C450" s="1158"/>
      <c r="D450" s="1158"/>
      <c r="E450" s="1158"/>
      <c r="F450" s="1158"/>
      <c r="G450" s="1158"/>
      <c r="H450" s="1158"/>
      <c r="I450" s="1158"/>
      <c r="J450" s="1158"/>
    </row>
    <row r="451" spans="2:10" ht="12.75" customHeight="1">
      <c r="B451" s="1158"/>
      <c r="C451" s="1158"/>
      <c r="D451" s="1158"/>
      <c r="E451" s="1158"/>
      <c r="F451" s="1158"/>
      <c r="G451" s="1158"/>
      <c r="H451" s="1158"/>
      <c r="I451" s="1158"/>
      <c r="J451" s="1158"/>
    </row>
    <row r="452" spans="2:10" ht="12.75" customHeight="1">
      <c r="B452" s="931"/>
      <c r="C452" s="931"/>
      <c r="D452" s="931"/>
      <c r="E452" s="931"/>
      <c r="F452" s="931"/>
      <c r="G452" s="931"/>
      <c r="H452" s="931"/>
      <c r="I452" s="931"/>
      <c r="J452" s="931"/>
    </row>
    <row r="453" spans="2:10" ht="25" customHeight="1" hidden="1">
      <c r="B453" s="1368" t="str">
        <f>IF(Adatlap!$L$1="Magyar","Kijelentem, hogy a termék vizsgálata ","I declare that ")</f>
        <v xml:space="preserve">Kijelentem, hogy a termék vizsgálata </v>
      </c>
      <c r="C453" s="1368"/>
      <c r="D453" s="1368"/>
      <c r="E453" s="1368"/>
      <c r="F453" s="1368"/>
      <c r="G453" s="1368"/>
      <c r="H453" s="931"/>
      <c r="I453" s="931"/>
      <c r="J453" s="931"/>
    </row>
    <row r="454" spans="2:10" ht="25" customHeight="1" hidden="1">
      <c r="B454" s="931"/>
      <c r="C454" s="1202" t="str">
        <f>IF(Adatlap!$L$1="Magyar",Fordítások!C710,Fordítások!B710)</f>
        <v>a legfrissebb IKW szabvány szerint</v>
      </c>
      <c r="D454" s="1202"/>
      <c r="E454" s="1202"/>
      <c r="F454" s="1202"/>
      <c r="G454" s="1202"/>
      <c r="H454" s="1202"/>
      <c r="I454" s="1202"/>
      <c r="J454" s="1202"/>
    </row>
    <row r="455" spans="2:10" ht="8.15" customHeight="1" hidden="1">
      <c r="B455" s="931"/>
      <c r="C455" s="932"/>
      <c r="D455" s="932"/>
      <c r="E455" s="932"/>
      <c r="F455" s="932"/>
      <c r="G455" s="932"/>
      <c r="H455" s="932"/>
      <c r="I455" s="932"/>
      <c r="J455" s="932"/>
    </row>
    <row r="456" spans="2:10" ht="25" customHeight="1" hidden="1">
      <c r="B456" s="931"/>
      <c r="C456" s="1202" t="str">
        <f>IF(Adatlap!$L$1="Magyar",Fordítások!C711,Fordítások!B711)</f>
        <v>az EN 50242/EN 60436 szabvány legfrissebb változatának  az uniós ökocímke weboldalán elérhető „Framework performance test for dishwasher detergents” (Gépi mosogatószerek hatásossági vizsgálata) tanulmányban módosított előírásai szerint</v>
      </c>
      <c r="D456" s="1202"/>
      <c r="E456" s="1202"/>
      <c r="F456" s="1202"/>
      <c r="G456" s="1202"/>
      <c r="H456" s="1202"/>
      <c r="I456" s="1202"/>
      <c r="J456" s="1202"/>
    </row>
    <row r="457" spans="2:10" ht="25" customHeight="1" hidden="1">
      <c r="B457" s="931"/>
      <c r="C457" s="1202"/>
      <c r="D457" s="1202"/>
      <c r="E457" s="1202"/>
      <c r="F457" s="1202"/>
      <c r="G457" s="1202"/>
      <c r="H457" s="1202"/>
      <c r="I457" s="1202"/>
      <c r="J457" s="1202"/>
    </row>
    <row r="458" spans="2:10" ht="12.75" customHeight="1" hidden="1">
      <c r="B458" s="1368" t="str">
        <f>IF(Adatlap!$L$1="Magyar","történt.","was used for this application.")</f>
        <v>történt.</v>
      </c>
      <c r="C458" s="1368"/>
      <c r="D458" s="1368"/>
      <c r="E458" s="1368"/>
      <c r="F458" s="1368"/>
      <c r="G458" s="1368"/>
      <c r="H458" s="1368"/>
      <c r="I458" s="1368"/>
      <c r="J458" s="1368"/>
    </row>
    <row r="459" spans="2:10" ht="8.15" customHeight="1" hidden="1">
      <c r="B459" s="931"/>
      <c r="C459" s="931"/>
      <c r="D459" s="931"/>
      <c r="E459" s="931"/>
      <c r="F459" s="931"/>
      <c r="G459" s="931"/>
      <c r="H459" s="931"/>
      <c r="I459" s="931"/>
      <c r="J459" s="931"/>
    </row>
    <row r="460" spans="1:10" ht="25" customHeight="1" hidden="1">
      <c r="A460" s="533" t="str">
        <f>IF(L469=FALSE,IF(Adatlap!$L$1="Magyar","Jelölje be!","Please, check!"),"")</f>
        <v>Jelölje be!</v>
      </c>
      <c r="B460" s="1202" t="str">
        <f>IF(Adatlap!$L$1="Magyar",Fordítások!C712,Fordítások!B712)</f>
        <v>Kijelentem, hogy  a termék a vizsgálat eredménye szerint legalább az előírt minimális tisztító hatással rendelkezik.</v>
      </c>
      <c r="C460" s="1202"/>
      <c r="D460" s="1202"/>
      <c r="E460" s="1202"/>
      <c r="F460" s="1202"/>
      <c r="G460" s="1202"/>
      <c r="H460" s="1202"/>
      <c r="I460" s="1202"/>
      <c r="J460" s="1202"/>
    </row>
    <row r="461" ht="12.75" hidden="1">
      <c r="A461" s="533"/>
    </row>
    <row r="462" spans="1:2" ht="25" customHeight="1">
      <c r="A462" s="533" t="str">
        <f>IF(L469=FALSE,IF(Adatlap!$L$1="Magyar","Jelölje be!","Please, check!"),"")</f>
        <v>Jelölje be!</v>
      </c>
      <c r="B462" s="646" t="str">
        <f>IF(Adatlap!L1="Magyar",Fordítások!C612,Fordítások!B612)</f>
        <v>Csatolom a vizsgálati eredményeket tartalmazó dokumentációt.</v>
      </c>
    </row>
    <row r="463" ht="12.75">
      <c r="A463" s="533"/>
    </row>
    <row r="464" spans="1:10" ht="29.25" customHeight="1">
      <c r="A464" s="533" t="str">
        <f>IF(L469=FALSE,IF(Adatlap!$L$1="Magyar","Jelölje be!","Please, check!"),"")</f>
        <v>Jelölje be!</v>
      </c>
      <c r="B464" s="1158" t="str">
        <f>IF(Adatlap!L1="Magyar",Fordítások!C611,Fordítások!B611)</f>
        <v>Csatolom a dokumentációt, amely igazolja a vonatkozó harmonizált szabványokban a vizsgáló- és kalibrálólaboratóriumok számára előírt laboratóriumi követelményeknek való megfelelést.</v>
      </c>
      <c r="C464" s="1158"/>
      <c r="D464" s="1158"/>
      <c r="E464" s="1158"/>
      <c r="F464" s="1158"/>
      <c r="G464" s="1158"/>
      <c r="H464" s="1158"/>
      <c r="I464" s="1158"/>
      <c r="J464" s="1158"/>
    </row>
    <row r="465" spans="2:10" ht="12.75" customHeight="1">
      <c r="B465" s="931"/>
      <c r="C465" s="931"/>
      <c r="D465" s="931"/>
      <c r="E465" s="931"/>
      <c r="F465" s="931"/>
      <c r="G465" s="931"/>
      <c r="H465" s="931"/>
      <c r="I465" s="931"/>
      <c r="J465" s="931"/>
    </row>
    <row r="467" spans="1:3" ht="16.5" customHeight="1">
      <c r="A467" s="1333" t="str">
        <f>IF(OR(Adatlap!$M$3=3,Adatlap!$M$3=4),IF(Adatlap!L1="Magyar",Fordítások!C669,Fordítások!B669),IF(Adatlap!L1="Magyar",Fordítások!C668,Fordítások!B668))</f>
        <v xml:space="preserve">7. kritérium - </v>
      </c>
      <c r="B467" s="1333"/>
      <c r="C467" s="578" t="str">
        <f>IF(Adatlap!L1="Magyar",Fordítások!C613,Fordítások!B613)</f>
        <v>A felhasználók tájékoztatása</v>
      </c>
    </row>
    <row r="468" ht="12.75"/>
    <row r="469" spans="1:15" ht="26.25" customHeight="1">
      <c r="A469" s="533" t="str">
        <f>IF(L469=FALSE,IF(Adatlap!$L$1="Magyar","Jelölje be!","Please, check!"),"")</f>
        <v>Jelölje be!</v>
      </c>
      <c r="B469" s="1158" t="str">
        <f>IF(Adatlap!L1="Magyar",Fordítások!C614,Fordítások!B614)</f>
        <v>Kijelentem, hogy termék címkéjén/csomagolásán megtalálható a használati utasítás, amely segít maximalizálni a termék hatékonyságát és minimálisra csökkenteni a képződő hulladékot, valamint  a vízszennyezést és a természeti erőforrások felhasználását. A használati utasítás olvasható formában, grafikusan ábrázolva vagy ikonok formájában tartalmazza az adagolásra, a csomagolás ártalmatlanítására és a környezetvédelemre vonatkozó információkat.</v>
      </c>
      <c r="C469" s="1158"/>
      <c r="D469" s="1158"/>
      <c r="E469" s="1158"/>
      <c r="F469" s="1158"/>
      <c r="G469" s="1158"/>
      <c r="H469" s="1158"/>
      <c r="I469" s="1158"/>
      <c r="J469" s="1158"/>
      <c r="L469" s="649" t="b">
        <v>0</v>
      </c>
      <c r="O469" s="131">
        <v>172</v>
      </c>
    </row>
    <row r="470" spans="2:10" ht="38.25" customHeight="1">
      <c r="B470" s="1158"/>
      <c r="C470" s="1158"/>
      <c r="D470" s="1158"/>
      <c r="E470" s="1158"/>
      <c r="F470" s="1158"/>
      <c r="G470" s="1158"/>
      <c r="H470" s="1158"/>
      <c r="I470" s="1158"/>
      <c r="J470" s="1158"/>
    </row>
    <row r="472" spans="1:2" ht="13">
      <c r="A472" s="599" t="str">
        <f>IF(Adatlap!L1="Magyar","a)","(a)")</f>
        <v>a)</v>
      </c>
      <c r="B472" s="602" t="str">
        <f>IF(Adatlap!L1="Magyar",Fordítások!C616,Fordítások!B616)</f>
        <v>Adagolási utasítások</v>
      </c>
    </row>
    <row r="473" ht="12.75"/>
    <row r="474" spans="2:15" ht="27" customHeight="1">
      <c r="B474" s="533" t="str">
        <f>IF(L474=FALSE,IF(Adatlap!$L$1="Magyar","Jelölje be!","Please, check!"),"")</f>
        <v>Jelölje be!</v>
      </c>
      <c r="C474" s="1202" t="str">
        <f>IF(Adatlap!$L$1="Magyar",Fordítások!C619,Fordítások!B619)</f>
        <v>Kijelentem, hogy a termék megfelelő módon segíti a fogyasztókat az ajánlott adagolás betartásában (a termék tartalmazza az adagolási utasítást és az adagoláshoz szükséges eszközöket).</v>
      </c>
      <c r="D474" s="1202"/>
      <c r="E474" s="1202"/>
      <c r="F474" s="1202"/>
      <c r="G474" s="1202"/>
      <c r="H474" s="1202"/>
      <c r="I474" s="1202"/>
      <c r="J474" s="1202"/>
      <c r="L474" s="649" t="b">
        <v>0</v>
      </c>
      <c r="O474" s="131">
        <v>173</v>
      </c>
    </row>
    <row r="475" spans="3:10" ht="21.75" customHeight="1">
      <c r="C475" s="1202"/>
      <c r="D475" s="1202"/>
      <c r="E475" s="1202"/>
      <c r="F475" s="1202"/>
      <c r="G475" s="1202"/>
      <c r="H475" s="1202"/>
      <c r="I475" s="1202"/>
      <c r="J475" s="1202"/>
    </row>
    <row r="476" spans="2:15" ht="26.25" customHeight="1">
      <c r="B476" s="679" t="str">
        <f>IF(L476=FALSE,IF(Adatlap!$L$1="Magyar","Jelölje be!","Please, check!"),"")</f>
        <v>Jelölje be!</v>
      </c>
      <c r="C476" s="1140" t="str">
        <f>IF(Adatlap!$L$1="Magyar",Fordítások!C620,Fordítások!B620)</f>
        <v xml:space="preserve">Kijelentem, hogy az adagolási utasításban legalább két különböző mértékű szennyezettségnek megfelelő ajánlott adagolás van feltüntetve. </v>
      </c>
      <c r="D476" s="1140"/>
      <c r="E476" s="1140"/>
      <c r="F476" s="1140"/>
      <c r="G476" s="1140"/>
      <c r="H476" s="1140"/>
      <c r="I476" s="1140"/>
      <c r="J476" s="1140"/>
      <c r="L476" s="649" t="b">
        <v>0</v>
      </c>
      <c r="O476" s="131">
        <v>174</v>
      </c>
    </row>
    <row r="477" spans="2:10" ht="15" customHeight="1">
      <c r="B477" s="533"/>
      <c r="C477" s="1140"/>
      <c r="D477" s="1140"/>
      <c r="E477" s="1140"/>
      <c r="F477" s="1140"/>
      <c r="G477" s="1140"/>
      <c r="H477" s="1140"/>
      <c r="I477" s="1140"/>
      <c r="J477" s="1140"/>
    </row>
    <row r="478" spans="2:15" ht="27" customHeight="1" hidden="1">
      <c r="B478" s="533" t="str">
        <f>IF(L478=FALSE,IF(Adatlap!$L$1="Magyar","Jelölje be!","Please, check!"),"")</f>
        <v>Jelölje be!</v>
      </c>
      <c r="C478" s="1202" t="str">
        <f>IF(Adatlap!$L$1="Magyar",Fordítások!C684,Fordítások!B684)</f>
        <v>Kijelentem, hogy az  adagolási utasítás tartalmazza a  normál  töltet  legalább két  különböző mértékű  szennyezettségének megfelelő ajánlott adagolást, és azt, hogy a vízkeménység hogyan befolyásolja az adagolást.</v>
      </c>
      <c r="D478" s="1202"/>
      <c r="E478" s="1202"/>
      <c r="F478" s="1202"/>
      <c r="G478" s="1202"/>
      <c r="H478" s="1202"/>
      <c r="I478" s="1202"/>
      <c r="J478" s="1202"/>
      <c r="L478" s="649" t="b">
        <v>0</v>
      </c>
      <c r="O478" s="131">
        <v>176</v>
      </c>
    </row>
    <row r="479" spans="3:10" ht="22.5" customHeight="1" hidden="1">
      <c r="C479" s="1202"/>
      <c r="D479" s="1202"/>
      <c r="E479" s="1202"/>
      <c r="F479" s="1202"/>
      <c r="G479" s="1202"/>
      <c r="H479" s="1202"/>
      <c r="I479" s="1202"/>
      <c r="J479" s="1202"/>
    </row>
    <row r="480" spans="2:15" ht="27" customHeight="1">
      <c r="B480" s="533" t="str">
        <f>IF(L480=FALSE,IF(Adatlap!$L$1="Magyar","Jelölje be!","Please, check!"),"")</f>
        <v>Jelölje be!</v>
      </c>
      <c r="C480" s="1202" t="str">
        <f>IF(Adatlap!$L$1="Magyar",Fordítások!C621,Fordítások!B621)</f>
        <v>Kijelentem, hogy az adagolási utasításban megtalálható, hogy a vízkeménység hogyan befolyásolja az adagolást.</v>
      </c>
      <c r="D480" s="1202"/>
      <c r="E480" s="1202"/>
      <c r="F480" s="1202"/>
      <c r="G480" s="1202"/>
      <c r="H480" s="1202"/>
      <c r="I480" s="1202"/>
      <c r="J480" s="1202"/>
      <c r="O480" s="131">
        <v>175</v>
      </c>
    </row>
    <row r="481" spans="3:10" ht="12.75">
      <c r="C481" s="902"/>
      <c r="D481" s="902"/>
      <c r="E481" s="902"/>
      <c r="F481" s="902"/>
      <c r="G481" s="902"/>
      <c r="H481" s="902"/>
      <c r="I481" s="902"/>
      <c r="J481" s="902"/>
    </row>
    <row r="482" spans="2:15" ht="27" customHeight="1">
      <c r="B482" s="533" t="str">
        <f>IF(L482=FALSE,IF(Adatlap!$L$1="Magyar","Jelölje be!","Please, check!"),"")</f>
        <v>Jelölje be!</v>
      </c>
      <c r="C482" s="1202" t="str">
        <f>IF(Adatlap!$L$1="Magyar",Fordítások!C622,Fordítások!B622)</f>
        <v>Kijelentem, hogy az adagolási utasítás tartalmazza annak a térségnek a jellemző vízkeménységét, ahol a terméket forgalomba kívánják hozni, vagy azt, hogy ez az információ hol található meg.</v>
      </c>
      <c r="D482" s="1202"/>
      <c r="E482" s="1202"/>
      <c r="F482" s="1202"/>
      <c r="G482" s="1202"/>
      <c r="H482" s="1202"/>
      <c r="I482" s="1202"/>
      <c r="J482" s="1202"/>
      <c r="L482" s="649" t="b">
        <v>0</v>
      </c>
      <c r="O482" s="131">
        <v>177</v>
      </c>
    </row>
    <row r="483" spans="1:10" ht="21.75" customHeight="1">
      <c r="A483" s="1396"/>
      <c r="B483" s="1396"/>
      <c r="C483" s="1202"/>
      <c r="D483" s="1202"/>
      <c r="E483" s="1202"/>
      <c r="F483" s="1202"/>
      <c r="G483" s="1202"/>
      <c r="H483" s="1202"/>
      <c r="I483" s="1202"/>
      <c r="J483" s="1202"/>
    </row>
    <row r="484" spans="1:10" ht="25" customHeight="1" hidden="1">
      <c r="A484" s="933"/>
      <c r="B484" s="679" t="str">
        <f>IF(L484=FALSE,IF(Adatlap!$L$1="Magyar","Jelölje be!","Please, check!"),"")</f>
        <v>Jelölje be!</v>
      </c>
      <c r="C484" s="1395" t="str">
        <f>IF(Adatlap!$L$1="Magyar",Fordítások!C713,Fordítások!B713)</f>
        <v>Kijelentem, hogy az adagolási utasításban szerepel a normál töltethez ajánlott adag megjelölése.</v>
      </c>
      <c r="D484" s="1395"/>
      <c r="E484" s="1395"/>
      <c r="F484" s="1395"/>
      <c r="G484" s="1395"/>
      <c r="H484" s="1395"/>
      <c r="I484" s="1395"/>
      <c r="J484" s="1395"/>
    </row>
    <row r="485" spans="1:10" ht="15" customHeight="1" hidden="1">
      <c r="A485" s="933"/>
      <c r="B485" s="679"/>
      <c r="C485" s="932"/>
      <c r="D485" s="932"/>
      <c r="E485" s="932"/>
      <c r="F485" s="932"/>
      <c r="G485" s="932"/>
      <c r="H485" s="932"/>
      <c r="I485" s="932"/>
      <c r="J485" s="932"/>
    </row>
    <row r="486" spans="1:10" ht="27" customHeight="1" hidden="1">
      <c r="A486" s="908" t="str">
        <f>Nyilatkozatok_3!A91</f>
        <v>Válasszon az alábbi két válasz közül:</v>
      </c>
      <c r="B486" s="903"/>
      <c r="C486" s="901"/>
      <c r="D486" s="901"/>
      <c r="E486" s="901"/>
      <c r="F486" s="901"/>
      <c r="G486" s="901"/>
      <c r="H486" s="901"/>
      <c r="I486" s="901"/>
      <c r="J486" s="901"/>
    </row>
    <row r="487" spans="2:15" ht="27" customHeight="1" hidden="1">
      <c r="B487" s="533" t="str">
        <f>IF(AND(L487=FALSE,L489=FALSE),IF(Adatlap!$L$1="Magyar","Jelölje be!","Please, check!"),"")</f>
        <v>Jelölje be!</v>
      </c>
      <c r="C487" s="1202" t="str">
        <f>IF(Adatlap!$L$1="Magyar",Fordítások!C623,Fordítások!B623)</f>
        <v>Kijelentem, hogy ez a termék használatra kész termék, amelynek a csomagolásán fel van tüntetve a következő szöveg: „Ez a termék nem ipari takarításra szolgál.”</v>
      </c>
      <c r="D487" s="1202"/>
      <c r="E487" s="1202"/>
      <c r="F487" s="1202"/>
      <c r="G487" s="1202"/>
      <c r="H487" s="1202"/>
      <c r="I487" s="1202"/>
      <c r="J487" s="1202"/>
      <c r="L487" s="649" t="b">
        <v>0</v>
      </c>
      <c r="N487" s="649" t="b">
        <v>0</v>
      </c>
      <c r="O487" s="131">
        <v>187</v>
      </c>
    </row>
    <row r="488" spans="2:14" ht="27" customHeight="1" hidden="1">
      <c r="B488" s="533"/>
      <c r="C488" s="1202"/>
      <c r="D488" s="1202"/>
      <c r="E488" s="1202"/>
      <c r="F488" s="1202"/>
      <c r="G488" s="1202"/>
      <c r="H488" s="1202"/>
      <c r="I488" s="1202"/>
      <c r="J488" s="1202"/>
      <c r="N488" s="649"/>
    </row>
    <row r="489" spans="2:15" ht="27" customHeight="1" hidden="1">
      <c r="B489" s="533" t="str">
        <f>IF(AND(L487=FALSE,L489=FALSE),IF(Adatlap!$L$1="Magyar","Jelölje be!","Please, check!"),"")</f>
        <v>Jelölje be!</v>
      </c>
      <c r="C489" s="1202" t="str">
        <f>IF(Adatlap!$L$1="Magyar",Fordítások!C623,Fordítások!B623)</f>
        <v>Kijelentem, hogy ez a termék használatra kész termék, amelynek a csomagolásán fel van tüntetve a következő szöveg: „Ez a termék nem ipari takarításra szolgál.”</v>
      </c>
      <c r="D489" s="1202"/>
      <c r="E489" s="1202"/>
      <c r="F489" s="1202"/>
      <c r="G489" s="1202"/>
      <c r="H489" s="1202"/>
      <c r="I489" s="1202"/>
      <c r="J489" s="1202"/>
      <c r="L489" s="649" t="b">
        <v>0</v>
      </c>
      <c r="N489" s="649" t="b">
        <v>0</v>
      </c>
      <c r="O489" s="131">
        <v>188</v>
      </c>
    </row>
    <row r="490" spans="1:2" ht="28.5" customHeight="1">
      <c r="A490" s="599" t="str">
        <f>Nyilatkozatok_3!A221</f>
        <v>b)</v>
      </c>
      <c r="B490" s="602" t="str">
        <f>IF(Adatlap!L1="Magyar",Fordítások!C617,Fordítások!B617)</f>
        <v>A csomagolás ártalmatlanítására vonatkozó információk</v>
      </c>
    </row>
    <row r="492" spans="2:15" ht="26.25" customHeight="1">
      <c r="B492" s="533" t="str">
        <f>IF(L492=FALSE,IF(Adatlap!$L$1="Magyar","Jelölje be!","Please, check!"),"")</f>
        <v>Jelölje be!</v>
      </c>
      <c r="C492" s="1202" t="str">
        <f>IF(Adatlap!$L$1="Magyar",Fordítások!C624,Fordítások!B624)</f>
        <v>Kijelentem, hogy az elsődleges csomagoláson fel vannak tüntetve a csomagolás újrafelhasználására, újrahasznosítására és a csomagolási hulladék megfelelő elhelyezésére vonatkozó információkat.</v>
      </c>
      <c r="D492" s="1202"/>
      <c r="E492" s="1202"/>
      <c r="F492" s="1202"/>
      <c r="G492" s="1202"/>
      <c r="H492" s="1202"/>
      <c r="I492" s="1202"/>
      <c r="J492" s="1202"/>
      <c r="L492" s="649" t="b">
        <v>0</v>
      </c>
      <c r="O492" s="131">
        <v>178</v>
      </c>
    </row>
    <row r="493" spans="3:10" ht="23.25" customHeight="1">
      <c r="C493" s="1202"/>
      <c r="D493" s="1202"/>
      <c r="E493" s="1202"/>
      <c r="F493" s="1202"/>
      <c r="G493" s="1202"/>
      <c r="H493" s="1202"/>
      <c r="I493" s="1202"/>
      <c r="J493" s="1202"/>
    </row>
    <row r="494" spans="1:10" ht="23.25" customHeight="1">
      <c r="A494" s="599" t="str">
        <f>Nyilatkozatok_3!A294</f>
        <v>c)</v>
      </c>
      <c r="B494" s="602" t="str">
        <f>IF(Adatlap!L1="Magyar",Fordítások!C618,Fordítások!B618)</f>
        <v>Környezetvédelmi információk</v>
      </c>
      <c r="C494" s="676"/>
      <c r="D494" s="676"/>
      <c r="E494" s="676"/>
      <c r="F494" s="676"/>
      <c r="G494" s="676"/>
      <c r="H494" s="676"/>
      <c r="I494" s="676"/>
      <c r="J494" s="676"/>
    </row>
    <row r="495" spans="1:10" ht="8.5" customHeight="1">
      <c r="A495" s="599"/>
      <c r="B495" s="602"/>
      <c r="C495" s="676"/>
      <c r="D495" s="676"/>
      <c r="E495" s="676"/>
      <c r="F495" s="676"/>
      <c r="G495" s="676"/>
      <c r="H495" s="676"/>
      <c r="I495" s="676"/>
      <c r="J495" s="676"/>
    </row>
    <row r="496" spans="2:12" ht="26.25" customHeight="1">
      <c r="B496" s="533" t="str">
        <f>IF(L496=FALSE,IF(Adatlap!$L$1="Magyar","Jelölje be!","Please, check!"),"")</f>
        <v>Jelölje be!</v>
      </c>
      <c r="C496" s="1202" t="str">
        <f>IF(Adatlap!$L$1="Magyar",Fordítások!C625,Fordítások!B625)</f>
        <v>Kijelentem, hogy az elsődleges csomagoláson szövegesen fel van tüntetve, hogy az energia- és a vízfogyasztás minimálisra csökkentése, valamint a vízszennyezés visszaszorítása érdekében fontos betartani a helyes adagolást és a legalacsonyabb ajánlott hőmérsékletet.</v>
      </c>
      <c r="D496" s="1202"/>
      <c r="E496" s="1202"/>
      <c r="F496" s="1202"/>
      <c r="G496" s="1202"/>
      <c r="H496" s="1202"/>
      <c r="I496" s="1202"/>
      <c r="J496" s="1202"/>
      <c r="L496" s="649" t="b">
        <v>0</v>
      </c>
    </row>
    <row r="497" spans="3:10" ht="24.75" customHeight="1">
      <c r="C497" s="1202"/>
      <c r="D497" s="1202"/>
      <c r="E497" s="1202"/>
      <c r="F497" s="1202"/>
      <c r="G497" s="1202"/>
      <c r="H497" s="1202"/>
      <c r="I497" s="1202"/>
      <c r="J497" s="1202"/>
    </row>
    <row r="498" spans="2:10" ht="15" customHeight="1" hidden="1">
      <c r="B498" s="1207" t="str">
        <f>IF(L498=FALSE,IF(Adatlap!$L$1="Magyar","Jelölje be!","Please, check!"),"")</f>
        <v>Jelölje be!</v>
      </c>
      <c r="C498" s="1367" t="str">
        <f>IF(Adatlap!$L$1="Magyar",Fordítások!C692,Fordítások!B692)</f>
        <v xml:space="preserve">Kijelentem, hogy az ajánlott legalacsonyabb mosási hőmérséklet </v>
      </c>
      <c r="D498" s="1367"/>
      <c r="E498" s="1367"/>
      <c r="F498" s="1367"/>
      <c r="G498" s="1367"/>
      <c r="H498" s="1367"/>
      <c r="I498" s="909"/>
      <c r="J498" s="910" t="s">
        <v>2152</v>
      </c>
    </row>
    <row r="499" spans="2:12" ht="15" customHeight="1" hidden="1">
      <c r="B499" s="1207"/>
      <c r="C499" s="679" t="str">
        <f>IF(I498="",IF(Adatlap!$L$1="Magyar",Fordítások!C693,Fordítások!B693),"")</f>
        <v>[Írja be az ajánlott legalacsonyabb mosási hőmérsékletet (nem lehet 30ºC-nál magasabb)!]</v>
      </c>
      <c r="D499" s="679"/>
      <c r="E499" s="679"/>
      <c r="F499" s="679"/>
      <c r="G499" s="679"/>
      <c r="H499" s="679"/>
      <c r="I499" s="679"/>
      <c r="J499" s="901"/>
      <c r="L499" s="649" t="b">
        <v>0</v>
      </c>
    </row>
    <row r="500" spans="3:10" ht="13.5" customHeight="1">
      <c r="C500" s="901"/>
      <c r="D500" s="901"/>
      <c r="E500" s="901"/>
      <c r="F500" s="901"/>
      <c r="G500" s="901"/>
      <c r="H500" s="901"/>
      <c r="I500" s="901"/>
      <c r="J500" s="901"/>
    </row>
    <row r="501" spans="1:46" s="662" customFormat="1" ht="24.75" customHeight="1">
      <c r="A501" s="1333" t="str">
        <f>IF(OR(Adatlap!$M$3=3,Adatlap!$M$3=4),IF(Adatlap!L1="Magyar",Fordítások!C670,Fordítások!B670),IF(Adatlap!L1="Magyar",Fordítások!C669,Fordítások!B669))</f>
        <v xml:space="preserve">8. kritérium - </v>
      </c>
      <c r="B501" s="1333"/>
      <c r="C501" s="1363" t="str">
        <f>IF(Adatlap!L1="Magyar",Fordítások!C626,Fordítások!B626)</f>
        <v>Az uniós ökocímkén feltüntetett információk</v>
      </c>
      <c r="D501" s="1363"/>
      <c r="E501" s="1363"/>
      <c r="F501" s="1363"/>
      <c r="G501" s="1363"/>
      <c r="H501" s="1363"/>
      <c r="I501" s="1363"/>
      <c r="J501" s="1363"/>
      <c r="K501" s="653"/>
      <c r="L501" s="830"/>
      <c r="M501" s="830"/>
      <c r="N501" s="830"/>
      <c r="O501" s="830"/>
      <c r="R501" s="653"/>
      <c r="S501" s="653"/>
      <c r="T501" s="653"/>
      <c r="U501" s="653"/>
      <c r="V501" s="653"/>
      <c r="W501" s="653"/>
      <c r="X501" s="653"/>
      <c r="Y501" s="653"/>
      <c r="Z501" s="653"/>
      <c r="AA501" s="653"/>
      <c r="AB501" s="653"/>
      <c r="AC501" s="653"/>
      <c r="AD501" s="653"/>
      <c r="AE501" s="653"/>
      <c r="AF501" s="653"/>
      <c r="AG501" s="653"/>
      <c r="AH501" s="653"/>
      <c r="AI501" s="653"/>
      <c r="AJ501" s="653"/>
      <c r="AK501" s="653"/>
      <c r="AL501" s="653"/>
      <c r="AM501" s="653"/>
      <c r="AN501" s="653"/>
      <c r="AO501" s="653"/>
      <c r="AP501" s="653"/>
      <c r="AQ501" s="653"/>
      <c r="AR501" s="653"/>
      <c r="AS501" s="653"/>
      <c r="AT501" s="653"/>
    </row>
    <row r="502" spans="3:10" ht="12" customHeight="1">
      <c r="C502" s="676"/>
      <c r="D502" s="676"/>
      <c r="E502" s="676"/>
      <c r="F502" s="676"/>
      <c r="G502" s="676"/>
      <c r="H502" s="676"/>
      <c r="I502" s="676"/>
      <c r="J502" s="676"/>
    </row>
    <row r="503" spans="1:12" ht="23.25" customHeight="1">
      <c r="A503" s="533" t="str">
        <f>IF(L503=FALSE,IF(Adatlap!$L$1="Magyar","Jelölje be!","Please, check!"),"")</f>
        <v>Jelölje be!</v>
      </c>
      <c r="B503" s="646" t="str">
        <f>IF(Adatlap!$L$1="Magyar",Fordítások!C627,Fordítások!B627)</f>
        <v>Kijelentem, hogy az uniós ökocímke logóját az arculati előírásoknak megfelelően használjuk.</v>
      </c>
      <c r="C503" s="677"/>
      <c r="D503" s="677"/>
      <c r="E503" s="677"/>
      <c r="F503" s="677"/>
      <c r="G503" s="677"/>
      <c r="H503" s="677"/>
      <c r="I503" s="677"/>
      <c r="J503" s="677"/>
      <c r="L503" s="649" t="b">
        <v>0</v>
      </c>
    </row>
    <row r="504" spans="1:10" ht="12.75">
      <c r="A504" s="533"/>
      <c r="B504" s="646"/>
      <c r="C504" s="677"/>
      <c r="D504" s="677"/>
      <c r="E504" s="677"/>
      <c r="F504" s="677"/>
      <c r="G504" s="677"/>
      <c r="H504" s="677"/>
      <c r="I504" s="677"/>
      <c r="J504" s="677"/>
    </row>
    <row r="505" spans="1:12" ht="25.5" customHeight="1">
      <c r="A505" s="533" t="str">
        <f>IF(L505=FALSE,IF(Adatlap!$L$1="Magyar","Jelölje be!","Please, check!"),"")</f>
        <v>Jelölje be!</v>
      </c>
      <c r="B505" s="1202" t="str">
        <f>IF(Adatlap!$L$1="Magyar",Fordítások!C628,Fordítások!B628)</f>
        <v>Kijelentem, hogy az uniós ökocímke nyilvántartási/engedélyezési száma olvasható és jól látható módon van a terméken feltüntetve.</v>
      </c>
      <c r="C505" s="1202"/>
      <c r="D505" s="1202"/>
      <c r="E505" s="1202"/>
      <c r="F505" s="1202"/>
      <c r="G505" s="1202"/>
      <c r="H505" s="1202"/>
      <c r="I505" s="1202"/>
      <c r="J505" s="1202"/>
      <c r="L505" s="649" t="b">
        <v>0</v>
      </c>
    </row>
    <row r="506" spans="1:10" ht="12.75">
      <c r="A506" s="533"/>
      <c r="B506" s="646"/>
      <c r="C506" s="1202" t="str">
        <f>IF(OR(Nyilatkozatok_1!L42=TRUE,Nyilatkozatok_1!L46=TRUE),IF(Adatlap!$L$1="Magyar",Fordítások!C632,Fordítások!B632),"")</f>
        <v/>
      </c>
      <c r="D506" s="1202"/>
      <c r="E506" s="1202"/>
      <c r="F506" s="1202"/>
      <c r="G506" s="1202"/>
      <c r="H506" s="1202"/>
      <c r="I506" s="1202"/>
      <c r="J506" s="1202"/>
    </row>
    <row r="507" spans="1:12" ht="12.75">
      <c r="A507" s="533"/>
      <c r="B507" s="646" t="str">
        <f>IF(Adatlap!$L$1="Magyar",Fordítások!C629,Fordítások!B629)</f>
        <v>Kijelentem, hogy a címkén a következő szöveget tartalmazó opcionális szövegdoboz is fel van tüntetve:</v>
      </c>
      <c r="C507" s="646"/>
      <c r="D507" s="646"/>
      <c r="E507" s="646"/>
      <c r="F507" s="646"/>
      <c r="G507" s="646"/>
      <c r="H507" s="646"/>
      <c r="I507" s="646"/>
      <c r="J507" s="646"/>
      <c r="L507" s="649" t="b">
        <v>0</v>
      </c>
    </row>
    <row r="508" spans="1:10" ht="12.75">
      <c r="A508" s="533"/>
      <c r="B508" s="646" t="str">
        <f>IF(Adatlap!$L$1="Magyar",Fordítások!C630,Fordítások!B630)</f>
        <v>"A vízi környezetre gyakorolt hatás korlátozott;"</v>
      </c>
      <c r="C508" s="646"/>
      <c r="D508" s="646"/>
      <c r="E508" s="646"/>
      <c r="F508" s="646"/>
      <c r="G508" s="646"/>
      <c r="H508" s="646"/>
      <c r="I508" s="646"/>
      <c r="J508" s="646"/>
    </row>
    <row r="509" spans="1:10" ht="12.75">
      <c r="A509" s="533"/>
      <c r="B509" s="646" t="str">
        <f>IF(Adatlap!$L$1="Magyar",Fordítások!C631,Fordítások!B631)</f>
        <v>"Korlátozott veszélyesanyag-tartalom;"</v>
      </c>
      <c r="C509" s="646"/>
      <c r="D509" s="646"/>
      <c r="E509" s="646"/>
      <c r="F509" s="646"/>
      <c r="G509" s="646"/>
      <c r="H509" s="646"/>
      <c r="I509" s="646"/>
      <c r="J509" s="646"/>
    </row>
    <row r="510" spans="1:9" s="955" customFormat="1" ht="12.75">
      <c r="A510" s="954"/>
      <c r="B510" s="1414" t="s">
        <v>1886</v>
      </c>
      <c r="C510" s="1414"/>
      <c r="D510" s="1414"/>
      <c r="E510" s="1414"/>
      <c r="F510" s="1414"/>
      <c r="G510" s="1414"/>
      <c r="H510" s="1414"/>
      <c r="I510" s="1414"/>
    </row>
    <row r="511" spans="1:10" ht="12.75">
      <c r="A511" s="533"/>
      <c r="B511" s="646"/>
      <c r="C511" s="646"/>
      <c r="D511" s="646"/>
      <c r="E511" s="646"/>
      <c r="F511" s="646"/>
      <c r="G511" s="646"/>
      <c r="H511" s="646"/>
      <c r="I511" s="646"/>
      <c r="J511" s="646"/>
    </row>
    <row r="512" spans="1:12" ht="24" customHeight="1">
      <c r="A512" s="533" t="str">
        <f>IF(L512=FALSE,IF(Adatlap!$L$1="Magyar","Jelölje be!","Please, check!"),"")</f>
        <v>Jelölje be!</v>
      </c>
      <c r="B512" s="646" t="str">
        <f>IF(Adatlap!$L$1="Magyar",Fordítások!C633,Fordítások!B633)</f>
        <v>Mellékelem az uniós ökocímkét feltüntető termékcímke mintáját vagy a csomagolási  tervet.</v>
      </c>
      <c r="C512" s="646"/>
      <c r="D512" s="646"/>
      <c r="E512" s="718"/>
      <c r="F512" s="646"/>
      <c r="G512" s="646"/>
      <c r="H512" s="646"/>
      <c r="I512" s="646"/>
      <c r="J512" s="646"/>
      <c r="L512" s="649" t="b">
        <v>0</v>
      </c>
    </row>
    <row r="515" spans="1:10" ht="32.25" customHeight="1">
      <c r="A515" s="1158" t="str">
        <f>IF(Adatlap!$L$1="Magyar",Fordítások!C634,Fordítások!B634)</f>
        <v>Alulírott kijelentem továbbá, hogy a termék ökocímke kritériumoknak való megfelelőségét igazoló valamennyi dokumentum valódi, és a tartalmuk megfelel a valóságnak.</v>
      </c>
      <c r="B515" s="1158"/>
      <c r="C515" s="1158"/>
      <c r="D515" s="1158"/>
      <c r="E515" s="1158"/>
      <c r="F515" s="1158"/>
      <c r="G515" s="1158"/>
      <c r="H515" s="1158"/>
      <c r="I515" s="1158"/>
      <c r="J515" s="1158"/>
    </row>
    <row r="518" spans="1:10" ht="12.75">
      <c r="A518" s="695" t="str">
        <f>IF(Adatlap!$L$1="Magyar",Fordítások!C635,Fordítások!B635)</f>
        <v>Keltezés (hely, dátum):</v>
      </c>
      <c r="B518" s="694"/>
      <c r="C518" s="680"/>
      <c r="D518" s="681"/>
      <c r="E518" s="1389" t="str">
        <f>IF(Adatlap!$L$1="Magyar",Fordítások!C636,Fordítások!B636)</f>
        <v>A vállalat neve / pecsétje</v>
      </c>
      <c r="F518" s="1390"/>
      <c r="G518" s="1390"/>
      <c r="H518" s="1390"/>
      <c r="I518" s="1390"/>
      <c r="J518" s="1391"/>
    </row>
    <row r="519" spans="1:10" ht="12.75">
      <c r="A519" s="1383"/>
      <c r="B519" s="1384"/>
      <c r="C519" s="1384"/>
      <c r="D519" s="1385"/>
      <c r="E519" s="682"/>
      <c r="F519" s="683"/>
      <c r="G519" s="683"/>
      <c r="H519" s="683"/>
      <c r="I519" s="683"/>
      <c r="J519" s="684"/>
    </row>
    <row r="520" spans="1:10" ht="12.75">
      <c r="A520" s="1383"/>
      <c r="B520" s="1384"/>
      <c r="C520" s="1384"/>
      <c r="D520" s="1385"/>
      <c r="E520" s="682"/>
      <c r="F520" s="683"/>
      <c r="G520" s="683"/>
      <c r="H520" s="683"/>
      <c r="I520" s="683"/>
      <c r="J520" s="684"/>
    </row>
    <row r="521" spans="1:10" ht="12.75">
      <c r="A521" s="1386"/>
      <c r="B521" s="1387"/>
      <c r="C521" s="1387"/>
      <c r="D521" s="1388"/>
      <c r="E521" s="685"/>
      <c r="F521" s="686"/>
      <c r="G521" s="686"/>
      <c r="H521" s="686"/>
      <c r="I521" s="686"/>
      <c r="J521" s="687"/>
    </row>
    <row r="522" spans="1:10" ht="12.75">
      <c r="A522" s="1389" t="str">
        <f>IF(Adatlap!$L$1="Magyar",Fordítások!C637,Fordítások!B637)</f>
        <v>Képviselő neve, telefonszáma, elektronikus postacíme:</v>
      </c>
      <c r="B522" s="1390"/>
      <c r="C522" s="1390"/>
      <c r="D522" s="1391"/>
      <c r="E522" s="1392" t="str">
        <f>IF(Adatlap!$L$1="Magyar",Fordítások!C638,Fordítások!B638)</f>
        <v>Képviselő aláírása:</v>
      </c>
      <c r="F522" s="1393"/>
      <c r="G522" s="1393"/>
      <c r="H522" s="1393"/>
      <c r="I522" s="1393"/>
      <c r="J522" s="1394"/>
    </row>
    <row r="523" spans="1:10" ht="12.75">
      <c r="A523" s="688"/>
      <c r="B523" s="689"/>
      <c r="C523" s="689"/>
      <c r="D523" s="690"/>
      <c r="E523" s="688"/>
      <c r="F523" s="689"/>
      <c r="G523" s="689"/>
      <c r="H523" s="689"/>
      <c r="I523" s="689"/>
      <c r="J523" s="690"/>
    </row>
    <row r="524" spans="1:10" ht="12.75">
      <c r="A524" s="688"/>
      <c r="B524" s="689"/>
      <c r="C524" s="689"/>
      <c r="D524" s="690"/>
      <c r="E524" s="688"/>
      <c r="F524" s="689"/>
      <c r="G524" s="689"/>
      <c r="H524" s="689"/>
      <c r="I524" s="689"/>
      <c r="J524" s="690"/>
    </row>
    <row r="525" spans="1:10" ht="12.75">
      <c r="A525" s="691"/>
      <c r="B525" s="692"/>
      <c r="C525" s="692"/>
      <c r="D525" s="693"/>
      <c r="E525" s="691"/>
      <c r="F525" s="692"/>
      <c r="G525" s="692"/>
      <c r="H525" s="692"/>
      <c r="I525" s="692"/>
      <c r="J525" s="693"/>
    </row>
  </sheetData>
  <sheetProtection algorithmName="SHA-512" hashValue="3ybFJCn9lnvWdue8N9PcMXOAM2WggbjRDJqbPuW7RwflhLUQ/79HfOSbJNTH4vuQ3sgZbJwZAYrJ7nFvGx+mtA==" saltValue="nypN7pVvOfDCVK8/+RFcRA==" spinCount="100000" sheet="1" objects="1" scenarios="1" selectLockedCells="1"/>
  <mergeCells count="448">
    <mergeCell ref="B453:G453"/>
    <mergeCell ref="C454:J454"/>
    <mergeCell ref="B458:J458"/>
    <mergeCell ref="C456:J457"/>
    <mergeCell ref="B460:J460"/>
    <mergeCell ref="W44:W46"/>
    <mergeCell ref="X44:X46"/>
    <mergeCell ref="W99:W102"/>
    <mergeCell ref="X99:X102"/>
    <mergeCell ref="P374:P377"/>
    <mergeCell ref="Q374:Q377"/>
    <mergeCell ref="R374:R377"/>
    <mergeCell ref="S374:S377"/>
    <mergeCell ref="T374:T377"/>
    <mergeCell ref="O209:O212"/>
    <mergeCell ref="P209:P212"/>
    <mergeCell ref="Q209:Q212"/>
    <mergeCell ref="O264:O267"/>
    <mergeCell ref="P264:P267"/>
    <mergeCell ref="Q264:Q267"/>
    <mergeCell ref="R264:R267"/>
    <mergeCell ref="S264:S267"/>
    <mergeCell ref="T264:T267"/>
    <mergeCell ref="S99:S102"/>
    <mergeCell ref="Y99:Y102"/>
    <mergeCell ref="W154:W157"/>
    <mergeCell ref="X154:X157"/>
    <mergeCell ref="U374:U377"/>
    <mergeCell ref="V374:V377"/>
    <mergeCell ref="U264:U267"/>
    <mergeCell ref="V264:V267"/>
    <mergeCell ref="O429:O432"/>
    <mergeCell ref="P429:P432"/>
    <mergeCell ref="Q429:Q432"/>
    <mergeCell ref="R429:R432"/>
    <mergeCell ref="S429:S432"/>
    <mergeCell ref="T429:T432"/>
    <mergeCell ref="U429:U432"/>
    <mergeCell ref="V429:V432"/>
    <mergeCell ref="O319:O322"/>
    <mergeCell ref="P319:P322"/>
    <mergeCell ref="Q319:Q322"/>
    <mergeCell ref="R319:R322"/>
    <mergeCell ref="S319:S322"/>
    <mergeCell ref="T319:T322"/>
    <mergeCell ref="U319:U322"/>
    <mergeCell ref="V319:V322"/>
    <mergeCell ref="O374:O377"/>
    <mergeCell ref="T99:T102"/>
    <mergeCell ref="U99:U102"/>
    <mergeCell ref="R209:R212"/>
    <mergeCell ref="S209:S212"/>
    <mergeCell ref="T209:T212"/>
    <mergeCell ref="U209:U212"/>
    <mergeCell ref="V209:V212"/>
    <mergeCell ref="R154:R157"/>
    <mergeCell ref="S154:S157"/>
    <mergeCell ref="T154:T157"/>
    <mergeCell ref="U154:U157"/>
    <mergeCell ref="V154:V157"/>
    <mergeCell ref="S44:S47"/>
    <mergeCell ref="T44:T47"/>
    <mergeCell ref="U44:U47"/>
    <mergeCell ref="V44:V47"/>
    <mergeCell ref="V99:V102"/>
    <mergeCell ref="C474:J475"/>
    <mergeCell ref="C492:J493"/>
    <mergeCell ref="C496:J497"/>
    <mergeCell ref="P65:W65"/>
    <mergeCell ref="P67:X67"/>
    <mergeCell ref="Q68:Y68"/>
    <mergeCell ref="E427:J427"/>
    <mergeCell ref="C429:J429"/>
    <mergeCell ref="B431:E432"/>
    <mergeCell ref="F431:G431"/>
    <mergeCell ref="H431:I431"/>
    <mergeCell ref="C410:J410"/>
    <mergeCell ref="C412:J412"/>
    <mergeCell ref="B414:J415"/>
    <mergeCell ref="B417:J417"/>
    <mergeCell ref="B419:J419"/>
    <mergeCell ref="C423:J423"/>
    <mergeCell ref="B424:J424"/>
    <mergeCell ref="R99:R102"/>
    <mergeCell ref="C476:J477"/>
    <mergeCell ref="C480:J480"/>
    <mergeCell ref="C482:J483"/>
    <mergeCell ref="C487:J488"/>
    <mergeCell ref="C489:J489"/>
    <mergeCell ref="A483:B483"/>
    <mergeCell ref="C498:H498"/>
    <mergeCell ref="B498:B499"/>
    <mergeCell ref="R44:R47"/>
    <mergeCell ref="C400:J400"/>
    <mergeCell ref="C402:J402"/>
    <mergeCell ref="B404:J404"/>
    <mergeCell ref="B406:J406"/>
    <mergeCell ref="B408:J408"/>
    <mergeCell ref="A393:B393"/>
    <mergeCell ref="C393:I393"/>
    <mergeCell ref="B395:I395"/>
    <mergeCell ref="B397:J397"/>
    <mergeCell ref="C398:J398"/>
    <mergeCell ref="E372:J372"/>
    <mergeCell ref="C374:J374"/>
    <mergeCell ref="B376:E377"/>
    <mergeCell ref="F376:G376"/>
    <mergeCell ref="H376:I376"/>
    <mergeCell ref="B505:J505"/>
    <mergeCell ref="A515:J515"/>
    <mergeCell ref="A519:D519"/>
    <mergeCell ref="A520:D520"/>
    <mergeCell ref="A521:D521"/>
    <mergeCell ref="A522:D522"/>
    <mergeCell ref="E522:J522"/>
    <mergeCell ref="E518:J518"/>
    <mergeCell ref="C478:J479"/>
    <mergeCell ref="C506:J506"/>
    <mergeCell ref="C484:J484"/>
    <mergeCell ref="B510:I510"/>
    <mergeCell ref="C391:J391"/>
    <mergeCell ref="B386:C386"/>
    <mergeCell ref="D386:I386"/>
    <mergeCell ref="B387:C387"/>
    <mergeCell ref="D387:I387"/>
    <mergeCell ref="B388:C388"/>
    <mergeCell ref="D388:I388"/>
    <mergeCell ref="C345:J345"/>
    <mergeCell ref="C347:J347"/>
    <mergeCell ref="B349:J349"/>
    <mergeCell ref="B351:J351"/>
    <mergeCell ref="B353:J353"/>
    <mergeCell ref="C355:J355"/>
    <mergeCell ref="C357:J357"/>
    <mergeCell ref="B359:J360"/>
    <mergeCell ref="B362:J362"/>
    <mergeCell ref="B364:J364"/>
    <mergeCell ref="C368:J368"/>
    <mergeCell ref="B369:J369"/>
    <mergeCell ref="B389:C389"/>
    <mergeCell ref="D389:I389"/>
    <mergeCell ref="A338:B338"/>
    <mergeCell ref="C338:I338"/>
    <mergeCell ref="B340:I340"/>
    <mergeCell ref="B342:J342"/>
    <mergeCell ref="C343:J343"/>
    <mergeCell ref="C173:I173"/>
    <mergeCell ref="B175:I175"/>
    <mergeCell ref="B177:J177"/>
    <mergeCell ref="C178:J178"/>
    <mergeCell ref="C192:J192"/>
    <mergeCell ref="B216:I216"/>
    <mergeCell ref="B204:J204"/>
    <mergeCell ref="C203:J203"/>
    <mergeCell ref="B333:C333"/>
    <mergeCell ref="D333:I333"/>
    <mergeCell ref="B334:C334"/>
    <mergeCell ref="D334:I334"/>
    <mergeCell ref="C336:J336"/>
    <mergeCell ref="B330:C330"/>
    <mergeCell ref="D330:I330"/>
    <mergeCell ref="B331:C331"/>
    <mergeCell ref="D331:I331"/>
    <mergeCell ref="B332:C332"/>
    <mergeCell ref="D332:I332"/>
    <mergeCell ref="O99:O102"/>
    <mergeCell ref="P99:P102"/>
    <mergeCell ref="Q99:Q102"/>
    <mergeCell ref="O154:O157"/>
    <mergeCell ref="P154:P157"/>
    <mergeCell ref="Q154:Q157"/>
    <mergeCell ref="C190:J190"/>
    <mergeCell ref="B194:J195"/>
    <mergeCell ref="B199:J199"/>
    <mergeCell ref="B197:J197"/>
    <mergeCell ref="C180:J180"/>
    <mergeCell ref="C182:J182"/>
    <mergeCell ref="B184:J184"/>
    <mergeCell ref="B186:J186"/>
    <mergeCell ref="B188:J188"/>
    <mergeCell ref="A173:B173"/>
    <mergeCell ref="B168:C168"/>
    <mergeCell ref="D168:I168"/>
    <mergeCell ref="B169:C169"/>
    <mergeCell ref="D169:I169"/>
    <mergeCell ref="C171:J171"/>
    <mergeCell ref="B165:C165"/>
    <mergeCell ref="D165:I165"/>
    <mergeCell ref="B166:C166"/>
    <mergeCell ref="B444:C444"/>
    <mergeCell ref="D444:I444"/>
    <mergeCell ref="C446:J446"/>
    <mergeCell ref="B441:C441"/>
    <mergeCell ref="D441:I441"/>
    <mergeCell ref="B442:C442"/>
    <mergeCell ref="D442:I442"/>
    <mergeCell ref="B443:C443"/>
    <mergeCell ref="D443:I443"/>
    <mergeCell ref="C435:J435"/>
    <mergeCell ref="B436:I436"/>
    <mergeCell ref="A438:A439"/>
    <mergeCell ref="B438:J438"/>
    <mergeCell ref="B440:C440"/>
    <mergeCell ref="D440:I440"/>
    <mergeCell ref="F432:G432"/>
    <mergeCell ref="H432:I432"/>
    <mergeCell ref="F433:G433"/>
    <mergeCell ref="H433:I433"/>
    <mergeCell ref="B433:E433"/>
    <mergeCell ref="A383:A384"/>
    <mergeCell ref="B383:J383"/>
    <mergeCell ref="B385:C385"/>
    <mergeCell ref="D385:I385"/>
    <mergeCell ref="F377:G377"/>
    <mergeCell ref="H377:I377"/>
    <mergeCell ref="F378:G378"/>
    <mergeCell ref="H378:I378"/>
    <mergeCell ref="B378:E378"/>
    <mergeCell ref="C380:J380"/>
    <mergeCell ref="B381:I381"/>
    <mergeCell ref="B323:E323"/>
    <mergeCell ref="F323:G323"/>
    <mergeCell ref="H323:I323"/>
    <mergeCell ref="C325:J325"/>
    <mergeCell ref="A328:A329"/>
    <mergeCell ref="B328:J328"/>
    <mergeCell ref="B326:I326"/>
    <mergeCell ref="E317:J317"/>
    <mergeCell ref="C319:J319"/>
    <mergeCell ref="B321:E322"/>
    <mergeCell ref="F321:G321"/>
    <mergeCell ref="H321:I321"/>
    <mergeCell ref="F322:G322"/>
    <mergeCell ref="H322:I322"/>
    <mergeCell ref="C300:J300"/>
    <mergeCell ref="B304:J305"/>
    <mergeCell ref="B309:J309"/>
    <mergeCell ref="B314:J314"/>
    <mergeCell ref="C302:J302"/>
    <mergeCell ref="B307:J307"/>
    <mergeCell ref="C313:J313"/>
    <mergeCell ref="C290:J290"/>
    <mergeCell ref="C292:J292"/>
    <mergeCell ref="B294:J294"/>
    <mergeCell ref="B296:J296"/>
    <mergeCell ref="B298:J298"/>
    <mergeCell ref="A283:B283"/>
    <mergeCell ref="B287:J287"/>
    <mergeCell ref="C288:J288"/>
    <mergeCell ref="C283:I283"/>
    <mergeCell ref="B285:I285"/>
    <mergeCell ref="B278:C278"/>
    <mergeCell ref="D278:I278"/>
    <mergeCell ref="B279:C279"/>
    <mergeCell ref="D279:I279"/>
    <mergeCell ref="C281:J281"/>
    <mergeCell ref="B275:C275"/>
    <mergeCell ref="D275:I275"/>
    <mergeCell ref="B276:C276"/>
    <mergeCell ref="D276:I276"/>
    <mergeCell ref="B277:C277"/>
    <mergeCell ref="D277:I277"/>
    <mergeCell ref="B268:E268"/>
    <mergeCell ref="F268:G268"/>
    <mergeCell ref="H268:I268"/>
    <mergeCell ref="C270:J270"/>
    <mergeCell ref="A273:A274"/>
    <mergeCell ref="B273:J273"/>
    <mergeCell ref="B271:I271"/>
    <mergeCell ref="E262:J262"/>
    <mergeCell ref="C264:J264"/>
    <mergeCell ref="B266:E267"/>
    <mergeCell ref="F266:G266"/>
    <mergeCell ref="H266:I266"/>
    <mergeCell ref="F267:G267"/>
    <mergeCell ref="H267:I267"/>
    <mergeCell ref="C245:J245"/>
    <mergeCell ref="B249:J250"/>
    <mergeCell ref="B254:J254"/>
    <mergeCell ref="B259:J259"/>
    <mergeCell ref="C247:J247"/>
    <mergeCell ref="B252:J252"/>
    <mergeCell ref="C258:J258"/>
    <mergeCell ref="C235:J235"/>
    <mergeCell ref="C237:J237"/>
    <mergeCell ref="B239:J239"/>
    <mergeCell ref="B241:J241"/>
    <mergeCell ref="B243:J243"/>
    <mergeCell ref="A228:B228"/>
    <mergeCell ref="B232:J232"/>
    <mergeCell ref="C233:J233"/>
    <mergeCell ref="C228:I228"/>
    <mergeCell ref="B230:I230"/>
    <mergeCell ref="B223:C223"/>
    <mergeCell ref="D223:I223"/>
    <mergeCell ref="B224:C224"/>
    <mergeCell ref="D224:I224"/>
    <mergeCell ref="C226:J226"/>
    <mergeCell ref="B220:C220"/>
    <mergeCell ref="D220:I220"/>
    <mergeCell ref="B221:C221"/>
    <mergeCell ref="D221:I221"/>
    <mergeCell ref="B222:C222"/>
    <mergeCell ref="D222:I222"/>
    <mergeCell ref="B213:E213"/>
    <mergeCell ref="F213:G213"/>
    <mergeCell ref="H213:I213"/>
    <mergeCell ref="C215:J215"/>
    <mergeCell ref="A218:A219"/>
    <mergeCell ref="B218:J218"/>
    <mergeCell ref="E207:J207"/>
    <mergeCell ref="C209:J209"/>
    <mergeCell ref="B211:E212"/>
    <mergeCell ref="F211:G211"/>
    <mergeCell ref="H211:I211"/>
    <mergeCell ref="F212:G212"/>
    <mergeCell ref="H212:I212"/>
    <mergeCell ref="D166:I166"/>
    <mergeCell ref="B167:C167"/>
    <mergeCell ref="D167:I167"/>
    <mergeCell ref="B158:E158"/>
    <mergeCell ref="F158:G158"/>
    <mergeCell ref="H158:I158"/>
    <mergeCell ref="C160:J160"/>
    <mergeCell ref="A163:A164"/>
    <mergeCell ref="B163:J163"/>
    <mergeCell ref="B161:J161"/>
    <mergeCell ref="B149:J149"/>
    <mergeCell ref="E152:J152"/>
    <mergeCell ref="C154:J154"/>
    <mergeCell ref="B156:E157"/>
    <mergeCell ref="F156:G156"/>
    <mergeCell ref="H156:I156"/>
    <mergeCell ref="F157:G157"/>
    <mergeCell ref="H157:I157"/>
    <mergeCell ref="B133:J133"/>
    <mergeCell ref="C135:J135"/>
    <mergeCell ref="B139:J140"/>
    <mergeCell ref="B144:J144"/>
    <mergeCell ref="B142:J142"/>
    <mergeCell ref="C137:J137"/>
    <mergeCell ref="C147:J147"/>
    <mergeCell ref="C148:J148"/>
    <mergeCell ref="C123:J123"/>
    <mergeCell ref="C125:J125"/>
    <mergeCell ref="C127:J127"/>
    <mergeCell ref="B129:J129"/>
    <mergeCell ref="B131:J131"/>
    <mergeCell ref="A118:B118"/>
    <mergeCell ref="C118:J118"/>
    <mergeCell ref="B120:J120"/>
    <mergeCell ref="B122:J122"/>
    <mergeCell ref="B113:C113"/>
    <mergeCell ref="D113:I113"/>
    <mergeCell ref="B114:C114"/>
    <mergeCell ref="D114:I114"/>
    <mergeCell ref="C116:J116"/>
    <mergeCell ref="B110:C110"/>
    <mergeCell ref="D110:I110"/>
    <mergeCell ref="B111:C111"/>
    <mergeCell ref="D111:I111"/>
    <mergeCell ref="B112:C112"/>
    <mergeCell ref="D112:I112"/>
    <mergeCell ref="B103:E103"/>
    <mergeCell ref="F103:G103"/>
    <mergeCell ref="H103:I103"/>
    <mergeCell ref="C105:J105"/>
    <mergeCell ref="B74:J74"/>
    <mergeCell ref="A108:A109"/>
    <mergeCell ref="B108:J108"/>
    <mergeCell ref="B106:I106"/>
    <mergeCell ref="B94:J94"/>
    <mergeCell ref="E97:J97"/>
    <mergeCell ref="C99:J99"/>
    <mergeCell ref="B101:E102"/>
    <mergeCell ref="F101:G101"/>
    <mergeCell ref="H101:I101"/>
    <mergeCell ref="F102:G102"/>
    <mergeCell ref="H102:I102"/>
    <mergeCell ref="B29:J30"/>
    <mergeCell ref="B21:J21"/>
    <mergeCell ref="B23:J23"/>
    <mergeCell ref="C25:J25"/>
    <mergeCell ref="B34:J34"/>
    <mergeCell ref="C1:J1"/>
    <mergeCell ref="B10:J10"/>
    <mergeCell ref="B12:J12"/>
    <mergeCell ref="B19:J19"/>
    <mergeCell ref="C17:J17"/>
    <mergeCell ref="A5:H5"/>
    <mergeCell ref="A8:B8"/>
    <mergeCell ref="C8:J8"/>
    <mergeCell ref="C13:J13"/>
    <mergeCell ref="C15:J15"/>
    <mergeCell ref="A3:B3"/>
    <mergeCell ref="I5:I6"/>
    <mergeCell ref="Q44:Q47"/>
    <mergeCell ref="B53:J53"/>
    <mergeCell ref="E38:J38"/>
    <mergeCell ref="F46:G46"/>
    <mergeCell ref="H46:I46"/>
    <mergeCell ref="F47:G47"/>
    <mergeCell ref="H47:I47"/>
    <mergeCell ref="C44:J44"/>
    <mergeCell ref="F48:G48"/>
    <mergeCell ref="H48:I48"/>
    <mergeCell ref="B46:E47"/>
    <mergeCell ref="B48:E48"/>
    <mergeCell ref="B39:J39"/>
    <mergeCell ref="C50:J50"/>
    <mergeCell ref="E42:J42"/>
    <mergeCell ref="O44:O47"/>
    <mergeCell ref="P44:P47"/>
    <mergeCell ref="B65:I65"/>
    <mergeCell ref="B57:C57"/>
    <mergeCell ref="D57:I57"/>
    <mergeCell ref="B58:C58"/>
    <mergeCell ref="D58:I58"/>
    <mergeCell ref="B59:C59"/>
    <mergeCell ref="D59:I59"/>
    <mergeCell ref="B55:C55"/>
    <mergeCell ref="D55:I55"/>
    <mergeCell ref="B56:C56"/>
    <mergeCell ref="D56:I56"/>
    <mergeCell ref="C448:J448"/>
    <mergeCell ref="A448:B448"/>
    <mergeCell ref="A467:B467"/>
    <mergeCell ref="C501:J501"/>
    <mergeCell ref="A501:B501"/>
    <mergeCell ref="B450:J451"/>
    <mergeCell ref="B464:J464"/>
    <mergeCell ref="B469:J470"/>
    <mergeCell ref="A53:A54"/>
    <mergeCell ref="C61:J61"/>
    <mergeCell ref="A63:B63"/>
    <mergeCell ref="C63:I63"/>
    <mergeCell ref="C93:J93"/>
    <mergeCell ref="B76:J76"/>
    <mergeCell ref="B78:J78"/>
    <mergeCell ref="C80:J80"/>
    <mergeCell ref="B84:J85"/>
    <mergeCell ref="B89:J89"/>
    <mergeCell ref="C82:J82"/>
    <mergeCell ref="B87:J87"/>
    <mergeCell ref="B67:J67"/>
    <mergeCell ref="C68:J68"/>
    <mergeCell ref="C70:J70"/>
    <mergeCell ref="C72:J72"/>
  </mergeCells>
  <conditionalFormatting sqref="A12">
    <cfRule type="expression" priority="1530" dxfId="86">
      <formula>AND($L$12=FALSE,L19=FALSE)</formula>
    </cfRule>
  </conditionalFormatting>
  <conditionalFormatting sqref="B13">
    <cfRule type="expression" priority="1529" dxfId="86">
      <formula>AND(L12=TRUE,$L$13=FALSE)</formula>
    </cfRule>
  </conditionalFormatting>
  <conditionalFormatting sqref="B15">
    <cfRule type="expression" priority="1528" dxfId="86">
      <formula>AND(L12=TRUE,L15=FALSE)</formula>
    </cfRule>
  </conditionalFormatting>
  <conditionalFormatting sqref="B17">
    <cfRule type="expression" priority="1527" dxfId="86">
      <formula>AND(L12=TRUE,L17=FALSE)</formula>
    </cfRule>
  </conditionalFormatting>
  <conditionalFormatting sqref="A19">
    <cfRule type="expression" priority="1526" dxfId="86">
      <formula>AND($L$12=FALSE,L19=FALSE)</formula>
    </cfRule>
  </conditionalFormatting>
  <conditionalFormatting sqref="A23">
    <cfRule type="expression" priority="1525" dxfId="86">
      <formula>AND($L$23=FALSE,L29=FALSE)</formula>
    </cfRule>
  </conditionalFormatting>
  <conditionalFormatting sqref="B25">
    <cfRule type="expression" priority="1524" dxfId="86">
      <formula>AND($L$23=TRUE,$L$25=FALSE)</formula>
    </cfRule>
  </conditionalFormatting>
  <conditionalFormatting sqref="B27">
    <cfRule type="expression" priority="1523" dxfId="86">
      <formula>AND($L$23=TRUE,$L$27=FALSE)</formula>
    </cfRule>
  </conditionalFormatting>
  <conditionalFormatting sqref="A29">
    <cfRule type="expression" priority="1521" dxfId="86">
      <formula>AND($L$23=FALSE,L29=FALSE)</formula>
    </cfRule>
  </conditionalFormatting>
  <conditionalFormatting sqref="A53">
    <cfRule type="expression" priority="1519" dxfId="86">
      <formula>AND($L$53=FALSE,$L$29=TRUE)</formula>
    </cfRule>
  </conditionalFormatting>
  <conditionalFormatting sqref="B37:B38 B49">
    <cfRule type="expression" priority="1517" dxfId="86">
      <formula>AND($L$34=TRUE,$L$37=FALSE,$L$38=FALSE)</formula>
    </cfRule>
  </conditionalFormatting>
  <conditionalFormatting sqref="E38:J38">
    <cfRule type="expression" priority="1515" dxfId="86">
      <formula>$L$38=TRUE</formula>
    </cfRule>
  </conditionalFormatting>
  <conditionalFormatting sqref="B44">
    <cfRule type="expression" priority="1514" dxfId="86">
      <formula>AND($L$39=TRUE,$L$44=FALSE)</formula>
    </cfRule>
  </conditionalFormatting>
  <conditionalFormatting sqref="B50">
    <cfRule type="expression" priority="1513" dxfId="86">
      <formula>AND($L$39=TRUE,$L$50=FALSE)</formula>
    </cfRule>
  </conditionalFormatting>
  <conditionalFormatting sqref="B41:B42">
    <cfRule type="expression" priority="1511" dxfId="86">
      <formula>AND($L$39=TRUE,$L$41=FALSE,$L$42=FALSE)</formula>
    </cfRule>
  </conditionalFormatting>
  <conditionalFormatting sqref="E42:J42">
    <cfRule type="expression" priority="1510" dxfId="86">
      <formula>$L$42=TRUE</formula>
    </cfRule>
  </conditionalFormatting>
  <conditionalFormatting sqref="A35">
    <cfRule type="expression" priority="1677" dxfId="86">
      <formula>AND($L$34=FALSE,#REF!=FALSE,$L$29=TRUE)</formula>
    </cfRule>
  </conditionalFormatting>
  <conditionalFormatting sqref="B61">
    <cfRule type="expression" priority="1509" dxfId="86">
      <formula>AND(L53=TRUE,$L$61=FALSE)</formula>
    </cfRule>
  </conditionalFormatting>
  <conditionalFormatting sqref="D59:I59">
    <cfRule type="expression" priority="1508" dxfId="86">
      <formula>ISBLANK($D$59)=TRUE</formula>
    </cfRule>
  </conditionalFormatting>
  <conditionalFormatting sqref="A67">
    <cfRule type="expression" priority="1506" dxfId="86">
      <formula>AND($L$67=FALSE,L74=FALSE)</formula>
    </cfRule>
  </conditionalFormatting>
  <conditionalFormatting sqref="A74">
    <cfRule type="expression" priority="1502" dxfId="86">
      <formula>AND($L$67=FALSE,L74=FALSE)</formula>
    </cfRule>
  </conditionalFormatting>
  <conditionalFormatting sqref="A78">
    <cfRule type="expression" priority="1501" dxfId="86">
      <formula>AND(L78=FALSE,L84=FALSE)</formula>
    </cfRule>
  </conditionalFormatting>
  <conditionalFormatting sqref="B80">
    <cfRule type="expression" priority="1500" dxfId="86">
      <formula>AND($L$78=TRUE,$L$80=FALSE)</formula>
    </cfRule>
  </conditionalFormatting>
  <conditionalFormatting sqref="B82">
    <cfRule type="expression" priority="1499" dxfId="86">
      <formula>AND($L$78=TRUE,$L$82=FALSE)</formula>
    </cfRule>
  </conditionalFormatting>
  <conditionalFormatting sqref="A84">
    <cfRule type="expression" priority="1497" dxfId="86">
      <formula>AND(L78=FALSE,L84=FALSE)</formula>
    </cfRule>
  </conditionalFormatting>
  <conditionalFormatting sqref="A108">
    <cfRule type="expression" priority="1495" dxfId="86">
      <formula>"ÉS($L$84=IGAZ;L108=HAMIS)"</formula>
    </cfRule>
  </conditionalFormatting>
  <conditionalFormatting sqref="B92:B93">
    <cfRule type="expression" priority="1494" dxfId="86">
      <formula>AND($L$89=TRUE,L92=FALSE,L93=FALSE)</formula>
    </cfRule>
  </conditionalFormatting>
  <conditionalFormatting sqref="B99">
    <cfRule type="expression" priority="1492" dxfId="86">
      <formula>AND($L$94=TRUE,$L$99=FALSE)</formula>
    </cfRule>
  </conditionalFormatting>
  <conditionalFormatting sqref="B105">
    <cfRule type="expression" priority="1491" dxfId="86">
      <formula>AND($L$94=TRUE,L105=FALSE)</formula>
    </cfRule>
  </conditionalFormatting>
  <conditionalFormatting sqref="B96:B97">
    <cfRule type="expression" priority="1490" dxfId="86">
      <formula>AND($L$94=TRUE,$L$96=FALSE,$L$97=FALSE)</formula>
    </cfRule>
  </conditionalFormatting>
  <conditionalFormatting sqref="E97:J97">
    <cfRule type="expression" priority="1489" dxfId="86">
      <formula>$L$38=TRUE</formula>
    </cfRule>
  </conditionalFormatting>
  <conditionalFormatting sqref="A90">
    <cfRule type="expression" priority="1507" dxfId="86">
      <formula>AND($L$34=FALSE,#REF!=FALSE,$L$29=TRUE)</formula>
    </cfRule>
  </conditionalFormatting>
  <conditionalFormatting sqref="B116">
    <cfRule type="expression" priority="1488" dxfId="86">
      <formula>AND(L116=FALSE,L108=TRUE)</formula>
    </cfRule>
  </conditionalFormatting>
  <conditionalFormatting sqref="D114:I114">
    <cfRule type="expression" priority="1487" dxfId="86">
      <formula>ISBLANK($D$59)=TRUE</formula>
    </cfRule>
  </conditionalFormatting>
  <conditionalFormatting sqref="A122">
    <cfRule type="expression" priority="1485" dxfId="86">
      <formula>AND($L$122=FALSE,L129=FALSE)</formula>
    </cfRule>
  </conditionalFormatting>
  <conditionalFormatting sqref="A129">
    <cfRule type="expression" priority="1481" dxfId="86">
      <formula>AND($L$122=FALSE,L129=FALSE)</formula>
    </cfRule>
  </conditionalFormatting>
  <conditionalFormatting sqref="A133">
    <cfRule type="expression" priority="1480" dxfId="86">
      <formula>AND($L$133=FALSE,L139=FALSE)</formula>
    </cfRule>
  </conditionalFormatting>
  <conditionalFormatting sqref="B135">
    <cfRule type="expression" priority="1479" dxfId="86">
      <formula>AND($L$133=TRUE,$L$135=FALSE)</formula>
    </cfRule>
  </conditionalFormatting>
  <conditionalFormatting sqref="B137">
    <cfRule type="expression" priority="1478" dxfId="86">
      <formula>AND($L$133=TRUE,$L$137=FALSE)</formula>
    </cfRule>
  </conditionalFormatting>
  <conditionalFormatting sqref="A139">
    <cfRule type="expression" priority="1476" dxfId="86">
      <formula>AND($L$133=FALSE,L139=FALSE)</formula>
    </cfRule>
  </conditionalFormatting>
  <conditionalFormatting sqref="A163">
    <cfRule type="expression" priority="1474" dxfId="86">
      <formula>AND($L$163=FALSE,$L$139=TRUE)</formula>
    </cfRule>
  </conditionalFormatting>
  <conditionalFormatting sqref="B147:B148">
    <cfRule type="expression" priority="1473" dxfId="86">
      <formula>AND($L$144=TRUE,$L$148=FALSE,$L$147=FALSE)</formula>
    </cfRule>
  </conditionalFormatting>
  <conditionalFormatting sqref="B154">
    <cfRule type="expression" priority="1471" dxfId="86">
      <formula>AND($L$149=TRUE,$L$154=FALSE)</formula>
    </cfRule>
  </conditionalFormatting>
  <conditionalFormatting sqref="B160">
    <cfRule type="expression" priority="1470" dxfId="86">
      <formula>AND($L$149=TRUE,$L$160=FALSE)</formula>
    </cfRule>
  </conditionalFormatting>
  <conditionalFormatting sqref="B151:B152">
    <cfRule type="expression" priority="1469" dxfId="86">
      <formula>AND($L$149=TRUE,$L$151=FALSE,$L$152=FALSE)</formula>
    </cfRule>
  </conditionalFormatting>
  <conditionalFormatting sqref="E152:J152">
    <cfRule type="expression" priority="1468" dxfId="86">
      <formula>$L$38=TRUE</formula>
    </cfRule>
  </conditionalFormatting>
  <conditionalFormatting sqref="A145">
    <cfRule type="expression" priority="1486" dxfId="86">
      <formula>AND($L$34=FALSE,#REF!=FALSE,$L$29=TRUE)</formula>
    </cfRule>
  </conditionalFormatting>
  <conditionalFormatting sqref="B171">
    <cfRule type="expression" priority="1467" dxfId="86">
      <formula>AND($L$163=TRUE,$L$171=FALSE)</formula>
    </cfRule>
  </conditionalFormatting>
  <conditionalFormatting sqref="D169:I169">
    <cfRule type="expression" priority="1466" dxfId="86">
      <formula>ISBLANK($D$59)=TRUE</formula>
    </cfRule>
  </conditionalFormatting>
  <conditionalFormatting sqref="B68">
    <cfRule type="expression" priority="1684" dxfId="86">
      <formula>AND($L$67=TRUE,$L$68=FALSE)</formula>
    </cfRule>
  </conditionalFormatting>
  <conditionalFormatting sqref="A177">
    <cfRule type="expression" priority="1358" dxfId="86">
      <formula>AND($L$177=FALSE,L184=FALSE)</formula>
    </cfRule>
  </conditionalFormatting>
  <conditionalFormatting sqref="A184">
    <cfRule type="expression" priority="1357" dxfId="86">
      <formula>AND($L$177=FALSE,L184=FALSE)</formula>
    </cfRule>
  </conditionalFormatting>
  <conditionalFormatting sqref="A188">
    <cfRule type="expression" priority="1356" dxfId="86">
      <formula>AND($L$188=FALSE,L194=FALSE)</formula>
    </cfRule>
  </conditionalFormatting>
  <conditionalFormatting sqref="B190">
    <cfRule type="expression" priority="1355" dxfId="86">
      <formula>AND($L$188=TRUE,L190=FALSE)</formula>
    </cfRule>
  </conditionalFormatting>
  <conditionalFormatting sqref="B192">
    <cfRule type="expression" priority="1354" dxfId="86">
      <formula>AND($L$188=TRUE,L192=FALSE)</formula>
    </cfRule>
  </conditionalFormatting>
  <conditionalFormatting sqref="A194">
    <cfRule type="expression" priority="1352" dxfId="86">
      <formula>AND($L$188=FALSE,L194=FALSE)</formula>
    </cfRule>
  </conditionalFormatting>
  <conditionalFormatting sqref="A218">
    <cfRule type="expression" priority="1350" dxfId="86">
      <formula>AND($L$218=FALSE,$L$194=TRUE)</formula>
    </cfRule>
  </conditionalFormatting>
  <conditionalFormatting sqref="B202:B203">
    <cfRule type="expression" priority="1349" dxfId="86">
      <formula>AND(L199=TRUE,L202=FALSE,L203=FALSE)</formula>
    </cfRule>
  </conditionalFormatting>
  <conditionalFormatting sqref="B209">
    <cfRule type="expression" priority="1348" dxfId="86">
      <formula>AND(L204=TRUE,L209=FALSE)</formula>
    </cfRule>
  </conditionalFormatting>
  <conditionalFormatting sqref="B215">
    <cfRule type="expression" priority="1347" dxfId="86">
      <formula>AND($L$204=TRUE,$L$215=FALSE)</formula>
    </cfRule>
  </conditionalFormatting>
  <conditionalFormatting sqref="B206:B207">
    <cfRule type="expression" priority="1346" dxfId="86">
      <formula>AND($L$204=TRUE,$L$206=FALSE,$L$207=FALSE)</formula>
    </cfRule>
  </conditionalFormatting>
  <conditionalFormatting sqref="E207:J207">
    <cfRule type="expression" priority="1345" dxfId="86">
      <formula>$L$38=TRUE</formula>
    </cfRule>
  </conditionalFormatting>
  <conditionalFormatting sqref="A200">
    <cfRule type="expression" priority="1359" dxfId="86">
      <formula>AND($L$34=FALSE,#REF!=FALSE,$L$29=TRUE)</formula>
    </cfRule>
  </conditionalFormatting>
  <conditionalFormatting sqref="B226">
    <cfRule type="expression" priority="1344" dxfId="86">
      <formula>AND($L$218=TRUE,$L$226=FALSE)</formula>
    </cfRule>
  </conditionalFormatting>
  <conditionalFormatting sqref="D224:I224">
    <cfRule type="expression" priority="1343" dxfId="86">
      <formula>ISBLANK($D$59)=TRUE</formula>
    </cfRule>
  </conditionalFormatting>
  <conditionalFormatting sqref="B178">
    <cfRule type="expression" priority="1360" dxfId="86">
      <formula>AND($L$177=TRUE,$L$178=FALSE)</formula>
    </cfRule>
  </conditionalFormatting>
  <conditionalFormatting sqref="A232">
    <cfRule type="expression" priority="1340" dxfId="86">
      <formula>AND($L$232=FALSE,L239=FALSE)</formula>
    </cfRule>
  </conditionalFormatting>
  <conditionalFormatting sqref="A239">
    <cfRule type="expression" priority="1339" dxfId="86">
      <formula>AND($L$232=FALSE,L239=FALSE)</formula>
    </cfRule>
  </conditionalFormatting>
  <conditionalFormatting sqref="A243">
    <cfRule type="expression" priority="1338" dxfId="86">
      <formula>AND($L$243=FALSE,L249=FALSE)</formula>
    </cfRule>
  </conditionalFormatting>
  <conditionalFormatting sqref="B245">
    <cfRule type="expression" priority="1337" dxfId="86">
      <formula>AND($L$243=TRUE,L245=FALSE)</formula>
    </cfRule>
  </conditionalFormatting>
  <conditionalFormatting sqref="B247">
    <cfRule type="expression" priority="1336" dxfId="86">
      <formula>AND($L$243=TRUE,$L$247=FALSE)</formula>
    </cfRule>
  </conditionalFormatting>
  <conditionalFormatting sqref="A249">
    <cfRule type="expression" priority="1334" dxfId="86">
      <formula>AND($L$243=FALSE,L249=FALSE)</formula>
    </cfRule>
  </conditionalFormatting>
  <conditionalFormatting sqref="A273">
    <cfRule type="expression" priority="1332" dxfId="86">
      <formula>AND($L$273=FALSE,$L$249=TRUE)</formula>
    </cfRule>
  </conditionalFormatting>
  <conditionalFormatting sqref="B257:B258">
    <cfRule type="expression" priority="1331" dxfId="86">
      <formula>AND(L254=TRUE,L257=FALSE,L258=FALSE)</formula>
    </cfRule>
  </conditionalFormatting>
  <conditionalFormatting sqref="B264">
    <cfRule type="expression" priority="1330" dxfId="86">
      <formula>AND($L$259=TRUE,$L$264=FALSE)</formula>
    </cfRule>
  </conditionalFormatting>
  <conditionalFormatting sqref="B270">
    <cfRule type="expression" priority="1329" dxfId="86">
      <formula>AND($L$259=TRUE,$L$270=FALSE)</formula>
    </cfRule>
  </conditionalFormatting>
  <conditionalFormatting sqref="B261:B262">
    <cfRule type="expression" priority="1328" dxfId="86">
      <formula>AND($L$259=TRUE,$L$261=FALSE,$L$262=FALSE)</formula>
    </cfRule>
  </conditionalFormatting>
  <conditionalFormatting sqref="E262:J262">
    <cfRule type="expression" priority="1327" dxfId="86">
      <formula>$L$38=TRUE</formula>
    </cfRule>
  </conditionalFormatting>
  <conditionalFormatting sqref="A255">
    <cfRule type="expression" priority="1341" dxfId="86">
      <formula>AND($L$34=FALSE,#REF!=FALSE,$L$29=TRUE)</formula>
    </cfRule>
  </conditionalFormatting>
  <conditionalFormatting sqref="B281">
    <cfRule type="expression" priority="1326" dxfId="86">
      <formula>AND($L$273=TRUE,$L$281=FALSE)</formula>
    </cfRule>
  </conditionalFormatting>
  <conditionalFormatting sqref="D279:I279">
    <cfRule type="expression" priority="1325" dxfId="86">
      <formula>ISBLANK($D$59)=TRUE</formula>
    </cfRule>
  </conditionalFormatting>
  <conditionalFormatting sqref="B233">
    <cfRule type="expression" priority="1342" dxfId="86">
      <formula>AND($L$232=TRUE,$L$233=FALSE)</formula>
    </cfRule>
  </conditionalFormatting>
  <conditionalFormatting sqref="A287">
    <cfRule type="expression" priority="1322" dxfId="86">
      <formula>AND($L$287=FALSE,L294=FALSE)</formula>
    </cfRule>
  </conditionalFormatting>
  <conditionalFormatting sqref="A294">
    <cfRule type="expression" priority="1321" dxfId="86">
      <formula>AND($L$287=FALSE,L294=FALSE)</formula>
    </cfRule>
  </conditionalFormatting>
  <conditionalFormatting sqref="A298">
    <cfRule type="expression" priority="1320" dxfId="86">
      <formula>AND($L$298=FALSE,L304=FALSE)</formula>
    </cfRule>
  </conditionalFormatting>
  <conditionalFormatting sqref="B300">
    <cfRule type="expression" priority="1319" dxfId="86">
      <formula>AND($L$298=TRUE,L300=FALSE)</formula>
    </cfRule>
  </conditionalFormatting>
  <conditionalFormatting sqref="B302">
    <cfRule type="expression" priority="1318" dxfId="86">
      <formula>AND($L$298=TRUE,L302=FALSE)</formula>
    </cfRule>
  </conditionalFormatting>
  <conditionalFormatting sqref="A304">
    <cfRule type="expression" priority="1316" dxfId="86">
      <formula>AND($L$298=FALSE,L304=FALSE)</formula>
    </cfRule>
  </conditionalFormatting>
  <conditionalFormatting sqref="A328">
    <cfRule type="expression" priority="1314" dxfId="86">
      <formula>AND($L$328=FALSE,$L$304=TRUE)</formula>
    </cfRule>
  </conditionalFormatting>
  <conditionalFormatting sqref="B312:B313">
    <cfRule type="expression" priority="1313" dxfId="86">
      <formula>AND($L$309=TRUE,L312=FALSE,L313=FALSE)</formula>
    </cfRule>
  </conditionalFormatting>
  <conditionalFormatting sqref="B319">
    <cfRule type="expression" priority="1312" dxfId="86">
      <formula>AND($L$314=TRUE,$L$319=FALSE)</formula>
    </cfRule>
  </conditionalFormatting>
  <conditionalFormatting sqref="B325">
    <cfRule type="expression" priority="1311" dxfId="86">
      <formula>AND($L$314=TRUE,$L$325=FALSE)</formula>
    </cfRule>
  </conditionalFormatting>
  <conditionalFormatting sqref="B316:B317">
    <cfRule type="expression" priority="1310" dxfId="86">
      <formula>AND($L$314=TRUE,$L$316=FALSE,$L$317=FALSE)</formula>
    </cfRule>
  </conditionalFormatting>
  <conditionalFormatting sqref="E317:J317">
    <cfRule type="expression" priority="1309" dxfId="86">
      <formula>$L$38=TRUE</formula>
    </cfRule>
  </conditionalFormatting>
  <conditionalFormatting sqref="A310">
    <cfRule type="expression" priority="1323" dxfId="86">
      <formula>AND($L$34=FALSE,#REF!=FALSE,$L$29=TRUE)</formula>
    </cfRule>
  </conditionalFormatting>
  <conditionalFormatting sqref="B336">
    <cfRule type="expression" priority="1308" dxfId="86">
      <formula>AND($L$328=TRUE,$L$336=FALSE)</formula>
    </cfRule>
  </conditionalFormatting>
  <conditionalFormatting sqref="D334:I334">
    <cfRule type="expression" priority="1307" dxfId="86">
      <formula>ISBLANK($D$59)=TRUE</formula>
    </cfRule>
  </conditionalFormatting>
  <conditionalFormatting sqref="B288">
    <cfRule type="expression" priority="1324" dxfId="86">
      <formula>AND($L$287=TRUE,L288=FALSE)</formula>
    </cfRule>
  </conditionalFormatting>
  <conditionalFormatting sqref="A342">
    <cfRule type="expression" priority="1304" dxfId="86">
      <formula>AND($L$342=FALSE,L349=FALSE)</formula>
    </cfRule>
  </conditionalFormatting>
  <conditionalFormatting sqref="A349">
    <cfRule type="expression" priority="1303" dxfId="86">
      <formula>AND($L$342=FALSE,L349=FALSE)</formula>
    </cfRule>
  </conditionalFormatting>
  <conditionalFormatting sqref="A353">
    <cfRule type="expression" priority="1302" dxfId="86">
      <formula>AND($L$353=FALSE,L359=FALSE)</formula>
    </cfRule>
  </conditionalFormatting>
  <conditionalFormatting sqref="B355">
    <cfRule type="expression" priority="1301" dxfId="86">
      <formula>AND($L$353=TRUE,$L$355=FALSE)</formula>
    </cfRule>
  </conditionalFormatting>
  <conditionalFormatting sqref="B357">
    <cfRule type="expression" priority="1300" dxfId="86">
      <formula>AND($L$353=TRUE,L357=FALSE)</formula>
    </cfRule>
  </conditionalFormatting>
  <conditionalFormatting sqref="A359">
    <cfRule type="expression" priority="1298" dxfId="86">
      <formula>AND($L$353=FALSE,L359=FALSE)</formula>
    </cfRule>
  </conditionalFormatting>
  <conditionalFormatting sqref="A383">
    <cfRule type="expression" priority="1296" dxfId="86">
      <formula>AND($L$383=FALSE,$L$359=TRUE)</formula>
    </cfRule>
  </conditionalFormatting>
  <conditionalFormatting sqref="B367:B368">
    <cfRule type="expression" priority="1295" dxfId="86">
      <formula>AND($L$364=TRUE,L367=FALSE,L368=FALSE)</formula>
    </cfRule>
  </conditionalFormatting>
  <conditionalFormatting sqref="B374">
    <cfRule type="expression" priority="1294" dxfId="86">
      <formula>AND($L$369=TRUE,$L$374=FALSE)</formula>
    </cfRule>
  </conditionalFormatting>
  <conditionalFormatting sqref="B380">
    <cfRule type="expression" priority="1293" dxfId="86">
      <formula>AND($L$369=TRUE,$L$380=FALSE)</formula>
    </cfRule>
  </conditionalFormatting>
  <conditionalFormatting sqref="B371:B372">
    <cfRule type="expression" priority="1292" dxfId="86">
      <formula>AND($L$369=TRUE,L371=FALSE,L372=FALSE)</formula>
    </cfRule>
  </conditionalFormatting>
  <conditionalFormatting sqref="E372:J372">
    <cfRule type="expression" priority="1291" dxfId="86">
      <formula>$L$38=TRUE</formula>
    </cfRule>
  </conditionalFormatting>
  <conditionalFormatting sqref="A365">
    <cfRule type="expression" priority="1305" dxfId="86">
      <formula>AND($L$34=FALSE,#REF!=FALSE,$L$29=TRUE)</formula>
    </cfRule>
  </conditionalFormatting>
  <conditionalFormatting sqref="B391">
    <cfRule type="expression" priority="1290" dxfId="86">
      <formula>AND($L$383=TRUE,$L$391=FALSE)</formula>
    </cfRule>
  </conditionalFormatting>
  <conditionalFormatting sqref="D389:I389">
    <cfRule type="expression" priority="1289" dxfId="86">
      <formula>ISBLANK($D$59)=TRUE</formula>
    </cfRule>
  </conditionalFormatting>
  <conditionalFormatting sqref="B343">
    <cfRule type="expression" priority="1306" dxfId="86">
      <formula>AND($L$342=TRUE,L343=FALSE)</formula>
    </cfRule>
  </conditionalFormatting>
  <conditionalFormatting sqref="A397">
    <cfRule type="expression" priority="1286" dxfId="86">
      <formula>AND($L$397=FALSE,L404=FALSE)</formula>
    </cfRule>
  </conditionalFormatting>
  <conditionalFormatting sqref="A404">
    <cfRule type="expression" priority="1285" dxfId="86">
      <formula>AND($L$397=FALSE,L404=FALSE)</formula>
    </cfRule>
  </conditionalFormatting>
  <conditionalFormatting sqref="A408">
    <cfRule type="expression" priority="1284" dxfId="86">
      <formula>AND($L$408=FALSE,L414=FALSE)</formula>
    </cfRule>
  </conditionalFormatting>
  <conditionalFormatting sqref="B410">
    <cfRule type="expression" priority="1283" dxfId="86">
      <formula>AND($L$408=TRUE,L410=FALSE)</formula>
    </cfRule>
  </conditionalFormatting>
  <conditionalFormatting sqref="B412">
    <cfRule type="expression" priority="1282" dxfId="86">
      <formula>AND($L$408=TRUE,L412=FALSE)</formula>
    </cfRule>
  </conditionalFormatting>
  <conditionalFormatting sqref="A414">
    <cfRule type="expression" priority="1280" dxfId="86">
      <formula>AND($L$408=FALSE,L414=FALSE)</formula>
    </cfRule>
  </conditionalFormatting>
  <conditionalFormatting sqref="A438">
    <cfRule type="expression" priority="1278" dxfId="86">
      <formula>AND($L$438=FALSE,$L$414=TRUE)</formula>
    </cfRule>
  </conditionalFormatting>
  <conditionalFormatting sqref="B422:B423">
    <cfRule type="expression" priority="1277" dxfId="86">
      <formula>AND($L$419=TRUE,L422=FALSE,L423=FALSE)</formula>
    </cfRule>
  </conditionalFormatting>
  <conditionalFormatting sqref="B429">
    <cfRule type="expression" priority="1276" dxfId="86">
      <formula>AND($L$424=TRUE,$L$429=FALSE)</formula>
    </cfRule>
  </conditionalFormatting>
  <conditionalFormatting sqref="B435">
    <cfRule type="expression" priority="1275" dxfId="86">
      <formula>AND($L$424=TRUE,$L$435=FALSE)</formula>
    </cfRule>
  </conditionalFormatting>
  <conditionalFormatting sqref="B426:B427">
    <cfRule type="expression" priority="1274" dxfId="86">
      <formula>AND(L424=TRUE,L426=FALSE,L427=FALSE)</formula>
    </cfRule>
  </conditionalFormatting>
  <conditionalFormatting sqref="E427:J427">
    <cfRule type="expression" priority="1273" dxfId="86">
      <formula>$L$38=TRUE</formula>
    </cfRule>
  </conditionalFormatting>
  <conditionalFormatting sqref="A420">
    <cfRule type="expression" priority="1287" dxfId="86">
      <formula>AND($L$34=FALSE,#REF!=FALSE,$L$29=TRUE)</formula>
    </cfRule>
  </conditionalFormatting>
  <conditionalFormatting sqref="B446">
    <cfRule type="expression" priority="1272" dxfId="86">
      <formula>AND($L$438=TRUE,$L$446=FALSE)</formula>
    </cfRule>
  </conditionalFormatting>
  <conditionalFormatting sqref="D444:I444">
    <cfRule type="expression" priority="1271" dxfId="86">
      <formula>ISBLANK($D$59)=TRUE</formula>
    </cfRule>
  </conditionalFormatting>
  <conditionalFormatting sqref="B398">
    <cfRule type="expression" priority="1288" dxfId="86">
      <formula>AND($L$397=TRUE,L398=FALSE)</formula>
    </cfRule>
  </conditionalFormatting>
  <conditionalFormatting sqref="B70">
    <cfRule type="expression" priority="1210" dxfId="86">
      <formula>AND($L$67=TRUE,$L$70=FALSE)</formula>
    </cfRule>
  </conditionalFormatting>
  <conditionalFormatting sqref="B72">
    <cfRule type="expression" priority="1209" dxfId="86">
      <formula>AND($L$67=TRUE,$L$72=FALSE)</formula>
    </cfRule>
  </conditionalFormatting>
  <conditionalFormatting sqref="B123">
    <cfRule type="expression" priority="1208" dxfId="86">
      <formula>AND($L$122=TRUE,L123=FALSE)</formula>
    </cfRule>
  </conditionalFormatting>
  <conditionalFormatting sqref="B125">
    <cfRule type="expression" priority="1207" dxfId="86">
      <formula>AND($L$122=TRUE,$L$125=FALSE)</formula>
    </cfRule>
  </conditionalFormatting>
  <conditionalFormatting sqref="B127">
    <cfRule type="expression" priority="1206" dxfId="86">
      <formula>AND($L$122=TRUE,$L$127=FALSE)</formula>
    </cfRule>
  </conditionalFormatting>
  <conditionalFormatting sqref="B180">
    <cfRule type="expression" priority="1205" dxfId="86">
      <formula>AND($L$177=TRUE,$L$180=FALSE)</formula>
    </cfRule>
  </conditionalFormatting>
  <conditionalFormatting sqref="B182">
    <cfRule type="expression" priority="1204" dxfId="86">
      <formula>AND($L$177=TRUE,$L$182=FALSE)</formula>
    </cfRule>
  </conditionalFormatting>
  <conditionalFormatting sqref="B235">
    <cfRule type="expression" priority="1203" dxfId="86">
      <formula>AND($L$232=TRUE,$L$235=FALSE)</formula>
    </cfRule>
  </conditionalFormatting>
  <conditionalFormatting sqref="B237">
    <cfRule type="expression" priority="1202" dxfId="86">
      <formula>AND($L$232=TRUE,$L$237=FALSE)</formula>
    </cfRule>
  </conditionalFormatting>
  <conditionalFormatting sqref="B290">
    <cfRule type="expression" priority="1201" dxfId="86">
      <formula>AND($L$287=TRUE,$L$290=FALSE)</formula>
    </cfRule>
  </conditionalFormatting>
  <conditionalFormatting sqref="B292">
    <cfRule type="expression" priority="1200" dxfId="86">
      <formula>AND($L$287=TRUE,$L$292=FALSE)</formula>
    </cfRule>
  </conditionalFormatting>
  <conditionalFormatting sqref="B345">
    <cfRule type="expression" priority="1199" dxfId="86">
      <formula>AND($L$342=TRUE,$L$345=FALSE)</formula>
    </cfRule>
  </conditionalFormatting>
  <conditionalFormatting sqref="B347">
    <cfRule type="expression" priority="1198" dxfId="86">
      <formula>AND($L$342=TRUE,$L$347=FALSE)</formula>
    </cfRule>
  </conditionalFormatting>
  <conditionalFormatting sqref="B400">
    <cfRule type="expression" priority="1197" dxfId="86">
      <formula>AND($L$397=TRUE,$L$400=FALSE)</formula>
    </cfRule>
  </conditionalFormatting>
  <conditionalFormatting sqref="B402">
    <cfRule type="expression" priority="1196" dxfId="86">
      <formula>AND($L$397=TRUE,$L$402=FALSE)</formula>
    </cfRule>
  </conditionalFormatting>
  <conditionalFormatting sqref="B478">
    <cfRule type="expression" priority="1194" dxfId="0">
      <formula>L478=FALSE</formula>
    </cfRule>
  </conditionalFormatting>
  <conditionalFormatting sqref="B476">
    <cfRule type="expression" priority="1192" dxfId="0">
      <formula>$L$476=FALSE</formula>
    </cfRule>
  </conditionalFormatting>
  <conditionalFormatting sqref="B474">
    <cfRule type="expression" priority="1191" dxfId="0">
      <formula>$L$474=FALSE</formula>
    </cfRule>
  </conditionalFormatting>
  <conditionalFormatting sqref="A469">
    <cfRule type="expression" priority="1190" dxfId="0">
      <formula>$L$469=FALSE</formula>
    </cfRule>
  </conditionalFormatting>
  <conditionalFormatting sqref="B492">
    <cfRule type="expression" priority="1189" dxfId="0">
      <formula>$L$492=FALSE</formula>
    </cfRule>
  </conditionalFormatting>
  <conditionalFormatting sqref="B496">
    <cfRule type="expression" priority="1188" dxfId="0">
      <formula>$L$496=FALSE</formula>
    </cfRule>
  </conditionalFormatting>
  <conditionalFormatting sqref="A503">
    <cfRule type="expression" priority="1186" dxfId="0">
      <formula>L503=FALSE</formula>
    </cfRule>
  </conditionalFormatting>
  <conditionalFormatting sqref="A505">
    <cfRule type="expression" priority="1184" dxfId="0">
      <formula>L505=FALSE</formula>
    </cfRule>
  </conditionalFormatting>
  <conditionalFormatting sqref="A512">
    <cfRule type="expression" priority="1183" dxfId="0">
      <formula>L512=FALSE</formula>
    </cfRule>
  </conditionalFormatting>
  <conditionalFormatting sqref="I5:I6">
    <cfRule type="expression" priority="1182" dxfId="76">
      <formula>OR($L$5=2,$L$5=3,$L$5=4,$L$5=5,$L$5=6,$L$5=7,$L$5=8,$L$5=9)</formula>
    </cfRule>
  </conditionalFormatting>
  <conditionalFormatting sqref="B487 B489">
    <cfRule type="expression" priority="1195" dxfId="0">
      <formula>AND(L487=FALSE,L489=FALSE)</formula>
    </cfRule>
  </conditionalFormatting>
  <conditionalFormatting sqref="B480">
    <cfRule type="expression" priority="1181" dxfId="0">
      <formula>$L$480=FALSE</formula>
    </cfRule>
  </conditionalFormatting>
  <conditionalFormatting sqref="B482">
    <cfRule type="expression" priority="1180" dxfId="0">
      <formula>$L$482=FALSE</formula>
    </cfRule>
  </conditionalFormatting>
  <conditionalFormatting sqref="B498">
    <cfRule type="expression" priority="1179" dxfId="0">
      <formula>L498=FALSE</formula>
    </cfRule>
  </conditionalFormatting>
  <conditionalFormatting sqref="I498">
    <cfRule type="expression" priority="1178" dxfId="0">
      <formula>ISBLANK($I$498)=TRUE</formula>
    </cfRule>
  </conditionalFormatting>
  <conditionalFormatting sqref="A460">
    <cfRule type="expression" priority="593" dxfId="0">
      <formula>$L$460=FALSE</formula>
    </cfRule>
  </conditionalFormatting>
  <conditionalFormatting sqref="A462">
    <cfRule type="expression" priority="592" dxfId="0">
      <formula>$L$462=FALSE</formula>
    </cfRule>
  </conditionalFormatting>
  <conditionalFormatting sqref="A464">
    <cfRule type="expression" priority="591" dxfId="0">
      <formula>$L$464=FALSE</formula>
    </cfRule>
  </conditionalFormatting>
  <conditionalFormatting sqref="A450">
    <cfRule type="expression" priority="590" dxfId="0">
      <formula>$L$450=FALSE</formula>
    </cfRule>
  </conditionalFormatting>
  <conditionalFormatting sqref="B484">
    <cfRule type="expression" priority="589" dxfId="0">
      <formula>$L$484=FALSE</formula>
    </cfRule>
  </conditionalFormatting>
  <conditionalFormatting sqref="A34">
    <cfRule type="expression" priority="16" dxfId="0">
      <formula>(R34)=1</formula>
    </cfRule>
  </conditionalFormatting>
  <conditionalFormatting sqref="A39">
    <cfRule type="expression" priority="15" dxfId="0">
      <formula>(R34)=1</formula>
    </cfRule>
  </conditionalFormatting>
  <conditionalFormatting sqref="A89">
    <cfRule type="expression" priority="14" dxfId="0">
      <formula>(R89)=1</formula>
    </cfRule>
  </conditionalFormatting>
  <conditionalFormatting sqref="A94">
    <cfRule type="expression" priority="13" dxfId="0">
      <formula>(R89)=1</formula>
    </cfRule>
  </conditionalFormatting>
  <conditionalFormatting sqref="A144">
    <cfRule type="expression" priority="12" dxfId="0">
      <formula>(R144)=1</formula>
    </cfRule>
  </conditionalFormatting>
  <conditionalFormatting sqref="A149">
    <cfRule type="expression" priority="11" dxfId="0">
      <formula>(R144)=1</formula>
    </cfRule>
  </conditionalFormatting>
  <conditionalFormatting sqref="A199">
    <cfRule type="expression" priority="10" dxfId="0">
      <formula>(R199)=1</formula>
    </cfRule>
  </conditionalFormatting>
  <conditionalFormatting sqref="A204">
    <cfRule type="expression" priority="9" dxfId="0">
      <formula>(R199)=1</formula>
    </cfRule>
  </conditionalFormatting>
  <conditionalFormatting sqref="A254">
    <cfRule type="expression" priority="8" dxfId="0">
      <formula>(R254)=1</formula>
    </cfRule>
  </conditionalFormatting>
  <conditionalFormatting sqref="A259">
    <cfRule type="expression" priority="7" dxfId="0">
      <formula>(R254)=1</formula>
    </cfRule>
  </conditionalFormatting>
  <conditionalFormatting sqref="A309">
    <cfRule type="expression" priority="6" dxfId="0">
      <formula>(R309)=1</formula>
    </cfRule>
  </conditionalFormatting>
  <conditionalFormatting sqref="A314">
    <cfRule type="expression" priority="5" dxfId="0">
      <formula>(R309)=1</formula>
    </cfRule>
  </conditionalFormatting>
  <conditionalFormatting sqref="A364">
    <cfRule type="expression" priority="4" dxfId="0">
      <formula>(R364)=1</formula>
    </cfRule>
  </conditionalFormatting>
  <conditionalFormatting sqref="A369">
    <cfRule type="expression" priority="3" dxfId="0">
      <formula>(R364)=1</formula>
    </cfRule>
  </conditionalFormatting>
  <conditionalFormatting sqref="A419">
    <cfRule type="expression" priority="2" dxfId="0">
      <formula>(R419)=1</formula>
    </cfRule>
  </conditionalFormatting>
  <conditionalFormatting sqref="A424">
    <cfRule type="expression" priority="1" dxfId="0">
      <formula>(R419)=1</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88" r:id="rId3"/>
  <drawing r:id="rId2"/>
  <legacyDrawing r:id="rId1"/>
  <mc:AlternateContent xmlns:mc="http://schemas.openxmlformats.org/markup-compatibility/2006">
    <mc:Choice Requires="x14">
      <controls>
        <mc:AlternateContent>
          <mc:Choice Requires="x14">
            <control xmlns:r="http://schemas.openxmlformats.org/officeDocument/2006/relationships" shapeId="33798" r:id="rId7" name="Check Box 6">
              <controlPr defaultSize="0" autoFill="0" autoLine="0" autoPict="0" macro="[0]!Nyilatkozatok_4_crit_5b_1" altText=" Checkbox 6">
                <anchor moveWithCells="1">
                  <from>
                    <xdr:col>0</xdr:col>
                    <xdr:colOff>133350</xdr:colOff>
                    <xdr:row>22</xdr:row>
                    <xdr:rowOff>0</xdr:rowOff>
                  </from>
                  <to>
                    <xdr:col>0</xdr:col>
                    <xdr:colOff>438150</xdr:colOff>
                    <xdr:row>32</xdr:row>
                    <xdr:rowOff>57150</xdr:rowOff>
                  </to>
                </anchor>
              </controlPr>
            </control>
          </mc:Choice>
        </mc:AlternateContent>
        <mc:AlternateContent>
          <mc:Choice Requires="x14">
            <control xmlns:r="http://schemas.openxmlformats.org/officeDocument/2006/relationships" shapeId="33801" r:id="rId10" name="Check Box 9">
              <controlPr defaultSize="0" autoFill="0" autoLine="0" autoPict="0" macro="[0]!Nyilatkozatok_4_crit_5c_THA_2">
                <anchor moveWithCells="1">
                  <from>
                    <xdr:col>0</xdr:col>
                    <xdr:colOff>133350</xdr:colOff>
                    <xdr:row>38</xdr:row>
                    <xdr:rowOff>0</xdr:rowOff>
                  </from>
                  <to>
                    <xdr:col>0</xdr:col>
                    <xdr:colOff>438150</xdr:colOff>
                    <xdr:row>38</xdr:row>
                    <xdr:rowOff>222250</xdr:rowOff>
                  </to>
                </anchor>
              </controlPr>
            </control>
          </mc:Choice>
        </mc:AlternateContent>
        <mc:AlternateContent>
          <mc:Choice Requires="x14">
            <control xmlns:r="http://schemas.openxmlformats.org/officeDocument/2006/relationships" shapeId="33803" r:id="rId11" name="Check Box 11">
              <controlPr defaultSize="0" autoFill="0" autoLine="0" autoPict="0" macro="[0]!Nyilatkozatok_4_crit_5c_THA_1">
                <anchor moveWithCells="1">
                  <from>
                    <xdr:col>0</xdr:col>
                    <xdr:colOff>133350</xdr:colOff>
                    <xdr:row>33</xdr:row>
                    <xdr:rowOff>0</xdr:rowOff>
                  </from>
                  <to>
                    <xdr:col>0</xdr:col>
                    <xdr:colOff>438150</xdr:colOff>
                    <xdr:row>33</xdr:row>
                    <xdr:rowOff>222250</xdr:rowOff>
                  </to>
                </anchor>
              </controlPr>
            </control>
          </mc:Choice>
        </mc:AlternateContent>
        <mc:AlternateContent>
          <mc:Choice Requires="x14">
            <control xmlns:r="http://schemas.openxmlformats.org/officeDocument/2006/relationships" shapeId="33808" r:id="rId15" name="Check Box 16">
              <controlPr defaultSize="0" autoFill="0" autoLine="0" autoPict="0" macro="[0]!Nyilatkozatok_4_crit_5c_THA_1">
                <anchor moveWithCells="1">
                  <from>
                    <xdr:col>1</xdr:col>
                    <xdr:colOff>133350</xdr:colOff>
                    <xdr:row>42</xdr:row>
                    <xdr:rowOff>133350</xdr:rowOff>
                  </from>
                  <to>
                    <xdr:col>1</xdr:col>
                    <xdr:colOff>438150</xdr:colOff>
                    <xdr:row>43</xdr:row>
                    <xdr:rowOff>190500</xdr:rowOff>
                  </to>
                </anchor>
              </controlPr>
            </control>
          </mc:Choice>
        </mc:AlternateContent>
        <mc:AlternateContent>
          <mc:Choice Requires="x14">
            <control xmlns:r="http://schemas.openxmlformats.org/officeDocument/2006/relationships" shapeId="33810" r:id="rId16" name="Drop Down 18">
              <controlPr defaultSize="0" autoLine="0" autoPict="0" macro="[0]!Csomagolási_változatok">
                <anchor moveWithCells="1">
                  <from>
                    <xdr:col>8</xdr:col>
                    <xdr:colOff>133350</xdr:colOff>
                    <xdr:row>4</xdr:row>
                    <xdr:rowOff>57150</xdr:rowOff>
                  </from>
                  <to>
                    <xdr:col>8</xdr:col>
                    <xdr:colOff>527050</xdr:colOff>
                    <xdr:row>4</xdr:row>
                    <xdr:rowOff>247650</xdr:rowOff>
                  </to>
                </anchor>
              </controlPr>
            </control>
          </mc:Choice>
        </mc:AlternateContent>
        <mc:AlternateContent>
          <mc:Choice Requires="x14">
            <control xmlns:r="http://schemas.openxmlformats.org/officeDocument/2006/relationships" shapeId="33817" r:id="rId21" name="Check Box 25">
              <controlPr defaultSize="0" autoFill="0" autoLine="0" autoPict="0" macro="[0]!Nyilatkozatok_4_crit_5a_1_2_kiszerelés">
                <anchor moveWithCells="1">
                  <from>
                    <xdr:col>0</xdr:col>
                    <xdr:colOff>133350</xdr:colOff>
                    <xdr:row>66</xdr:row>
                    <xdr:rowOff>0</xdr:rowOff>
                  </from>
                  <to>
                    <xdr:col>0</xdr:col>
                    <xdr:colOff>438150</xdr:colOff>
                    <xdr:row>87</xdr:row>
                    <xdr:rowOff>57150</xdr:rowOff>
                  </to>
                </anchor>
              </controlPr>
            </control>
          </mc:Choice>
        </mc:AlternateContent>
        <mc:AlternateContent>
          <mc:Choice Requires="x14">
            <control xmlns:r="http://schemas.openxmlformats.org/officeDocument/2006/relationships" shapeId="33821" r:id="rId23" name="Check Box 29">
              <controlPr defaultSize="0" autoFill="0" autoLine="0" autoPict="0" macro="[0]!Nyilatkozatok_4_crit_5a_2_2_kiszerelés">
                <anchor moveWithCells="1">
                  <from>
                    <xdr:col>0</xdr:col>
                    <xdr:colOff>133350</xdr:colOff>
                    <xdr:row>73</xdr:row>
                    <xdr:rowOff>0</xdr:rowOff>
                  </from>
                  <to>
                    <xdr:col>0</xdr:col>
                    <xdr:colOff>438150</xdr:colOff>
                    <xdr:row>87</xdr:row>
                    <xdr:rowOff>57150</xdr:rowOff>
                  </to>
                </anchor>
              </controlPr>
            </control>
          </mc:Choice>
        </mc:AlternateContent>
        <mc:AlternateContent>
          <mc:Choice Requires="x14">
            <control xmlns:r="http://schemas.openxmlformats.org/officeDocument/2006/relationships" shapeId="33822" r:id="rId24" name="Check Box 30">
              <controlPr defaultSize="0" autoFill="0" autoLine="0" autoPict="0" macro="[0]!Nyilatkozatok_4_crit_5b_1_2_kiszerelés">
                <anchor moveWithCells="1">
                  <from>
                    <xdr:col>0</xdr:col>
                    <xdr:colOff>133350</xdr:colOff>
                    <xdr:row>77</xdr:row>
                    <xdr:rowOff>0</xdr:rowOff>
                  </from>
                  <to>
                    <xdr:col>0</xdr:col>
                    <xdr:colOff>438150</xdr:colOff>
                    <xdr:row>87</xdr:row>
                    <xdr:rowOff>57150</xdr:rowOff>
                  </to>
                </anchor>
              </controlPr>
            </control>
          </mc:Choice>
        </mc:AlternateContent>
        <mc:AlternateContent>
          <mc:Choice Requires="x14">
            <control xmlns:r="http://schemas.openxmlformats.org/officeDocument/2006/relationships" shapeId="33823" r:id="rId25" name="Check Box 31">
              <controlPr defaultSize="0" autoFill="0" autoLine="0" autoPict="0" macro="[0]!Nyilatkozatok_4_crit_5b_2_2_kiszerelés">
                <anchor moveWithCells="1">
                  <from>
                    <xdr:col>0</xdr:col>
                    <xdr:colOff>133350</xdr:colOff>
                    <xdr:row>83</xdr:row>
                    <xdr:rowOff>0</xdr:rowOff>
                  </from>
                  <to>
                    <xdr:col>0</xdr:col>
                    <xdr:colOff>438150</xdr:colOff>
                    <xdr:row>87</xdr:row>
                    <xdr:rowOff>57150</xdr:rowOff>
                  </to>
                </anchor>
              </controlPr>
            </control>
          </mc:Choice>
        </mc:AlternateContent>
        <mc:AlternateContent>
          <mc:Choice Requires="x14">
            <control xmlns:r="http://schemas.openxmlformats.org/officeDocument/2006/relationships" shapeId="33834" r:id="rId34" name="Check Box 42">
              <controlPr defaultSize="0" autoFill="0" autoLine="0" autoPict="0" macro="[0]!Nyilatkozatok_4_crit_5c_THA_1_2_kiszerelés">
                <anchor moveWithCells="1">
                  <from>
                    <xdr:col>0</xdr:col>
                    <xdr:colOff>133350</xdr:colOff>
                    <xdr:row>88</xdr:row>
                    <xdr:rowOff>0</xdr:rowOff>
                  </from>
                  <to>
                    <xdr:col>0</xdr:col>
                    <xdr:colOff>438150</xdr:colOff>
                    <xdr:row>88</xdr:row>
                    <xdr:rowOff>222250</xdr:rowOff>
                  </to>
                </anchor>
              </controlPr>
            </control>
          </mc:Choice>
        </mc:AlternateContent>
        <mc:AlternateContent>
          <mc:Choice Requires="x14">
            <control xmlns:r="http://schemas.openxmlformats.org/officeDocument/2006/relationships" shapeId="33836" r:id="rId35" name="Check Box 44">
              <controlPr defaultSize="0" autoFill="0" autoLine="0" autoPict="0" macro="[0]!Nyilatkozatok_4_crit_5c_THA_2_2_kiszerelés">
                <anchor moveWithCells="1">
                  <from>
                    <xdr:col>0</xdr:col>
                    <xdr:colOff>133350</xdr:colOff>
                    <xdr:row>93</xdr:row>
                    <xdr:rowOff>0</xdr:rowOff>
                  </from>
                  <to>
                    <xdr:col>0</xdr:col>
                    <xdr:colOff>438150</xdr:colOff>
                    <xdr:row>93</xdr:row>
                    <xdr:rowOff>222250</xdr:rowOff>
                  </to>
                </anchor>
              </controlPr>
            </control>
          </mc:Choice>
        </mc:AlternateContent>
        <mc:AlternateContent>
          <mc:Choice Requires="x14">
            <control xmlns:r="http://schemas.openxmlformats.org/officeDocument/2006/relationships" shapeId="33839" r:id="rId36" name="Check Box 47">
              <controlPr defaultSize="0" autoFill="0" autoLine="0" autoPict="0" macro="[0]!Nyilatkozatok_4_crit_5a_1_3_kiszerelés">
                <anchor moveWithCells="1">
                  <from>
                    <xdr:col>0</xdr:col>
                    <xdr:colOff>133350</xdr:colOff>
                    <xdr:row>120</xdr:row>
                    <xdr:rowOff>146050</xdr:rowOff>
                  </from>
                  <to>
                    <xdr:col>0</xdr:col>
                    <xdr:colOff>438150</xdr:colOff>
                    <xdr:row>142</xdr:row>
                    <xdr:rowOff>57150</xdr:rowOff>
                  </to>
                </anchor>
              </controlPr>
            </control>
          </mc:Choice>
        </mc:AlternateContent>
        <mc:AlternateContent>
          <mc:Choice Requires="x14">
            <control xmlns:r="http://schemas.openxmlformats.org/officeDocument/2006/relationships" shapeId="33843" r:id="rId40" name="Check Box 51">
              <controlPr defaultSize="0" autoFill="0" autoLine="0" autoPict="0" macro="[0]!Nyilatkozatok_4_crit_5a_2_3_kiszerelés">
                <anchor moveWithCells="1">
                  <from>
                    <xdr:col>0</xdr:col>
                    <xdr:colOff>133350</xdr:colOff>
                    <xdr:row>127</xdr:row>
                    <xdr:rowOff>146050</xdr:rowOff>
                  </from>
                  <to>
                    <xdr:col>0</xdr:col>
                    <xdr:colOff>438150</xdr:colOff>
                    <xdr:row>142</xdr:row>
                    <xdr:rowOff>57150</xdr:rowOff>
                  </to>
                </anchor>
              </controlPr>
            </control>
          </mc:Choice>
        </mc:AlternateContent>
        <mc:AlternateContent>
          <mc:Choice Requires="x14">
            <control xmlns:r="http://schemas.openxmlformats.org/officeDocument/2006/relationships" shapeId="33844" r:id="rId41" name="Check Box 52">
              <controlPr defaultSize="0" autoFill="0" autoLine="0" autoPict="0" macro="[0]!Nyilatkozatok_4_crit_5b_1_3_kiszerelés">
                <anchor moveWithCells="1">
                  <from>
                    <xdr:col>0</xdr:col>
                    <xdr:colOff>133350</xdr:colOff>
                    <xdr:row>132</xdr:row>
                    <xdr:rowOff>0</xdr:rowOff>
                  </from>
                  <to>
                    <xdr:col>0</xdr:col>
                    <xdr:colOff>438150</xdr:colOff>
                    <xdr:row>142</xdr:row>
                    <xdr:rowOff>57150</xdr:rowOff>
                  </to>
                </anchor>
              </controlPr>
            </control>
          </mc:Choice>
        </mc:AlternateContent>
        <mc:AlternateContent>
          <mc:Choice Requires="x14">
            <control xmlns:r="http://schemas.openxmlformats.org/officeDocument/2006/relationships" shapeId="33847" r:id="rId44" name="Check Box 55">
              <controlPr defaultSize="0" autoFill="0" autoLine="0" autoPict="0" macro="[0]!Nyilatkozatok_4_crit_5c_THA_2_3_kiszerelés">
                <anchor moveWithCells="1">
                  <from>
                    <xdr:col>0</xdr:col>
                    <xdr:colOff>133350</xdr:colOff>
                    <xdr:row>148</xdr:row>
                    <xdr:rowOff>0</xdr:rowOff>
                  </from>
                  <to>
                    <xdr:col>0</xdr:col>
                    <xdr:colOff>438150</xdr:colOff>
                    <xdr:row>148</xdr:row>
                    <xdr:rowOff>222250</xdr:rowOff>
                  </to>
                </anchor>
              </controlPr>
            </control>
          </mc:Choice>
        </mc:AlternateContent>
        <mc:AlternateContent>
          <mc:Choice Requires="x14">
            <control xmlns:r="http://schemas.openxmlformats.org/officeDocument/2006/relationships" shapeId="33848" r:id="rId45" name="Check Box 56">
              <controlPr defaultSize="0" autoFill="0" autoLine="0" autoPict="0" macro="[0]!Nyilatkozatok_4_crit_5b_2_3_kiszerelés">
                <anchor moveWithCells="1">
                  <from>
                    <xdr:col>0</xdr:col>
                    <xdr:colOff>133350</xdr:colOff>
                    <xdr:row>138</xdr:row>
                    <xdr:rowOff>0</xdr:rowOff>
                  </from>
                  <to>
                    <xdr:col>0</xdr:col>
                    <xdr:colOff>438150</xdr:colOff>
                    <xdr:row>142</xdr:row>
                    <xdr:rowOff>57150</xdr:rowOff>
                  </to>
                </anchor>
              </controlPr>
            </control>
          </mc:Choice>
        </mc:AlternateContent>
        <mc:AlternateContent>
          <mc:Choice Requires="x14">
            <control xmlns:r="http://schemas.openxmlformats.org/officeDocument/2006/relationships" shapeId="33849" r:id="rId46" name="Check Box 57">
              <controlPr defaultSize="0" autoFill="0" autoLine="0" autoPict="0" macro="[0]!Nyilatkozatok_4_crit_5c_THA_1_3_kiszerelés">
                <anchor moveWithCells="1">
                  <from>
                    <xdr:col>0</xdr:col>
                    <xdr:colOff>133350</xdr:colOff>
                    <xdr:row>143</xdr:row>
                    <xdr:rowOff>0</xdr:rowOff>
                  </from>
                  <to>
                    <xdr:col>0</xdr:col>
                    <xdr:colOff>438150</xdr:colOff>
                    <xdr:row>143</xdr:row>
                    <xdr:rowOff>222250</xdr:rowOff>
                  </to>
                </anchor>
              </controlPr>
            </control>
          </mc:Choice>
        </mc:AlternateContent>
        <mc:AlternateContent>
          <mc:Choice Requires="x14">
            <control xmlns:r="http://schemas.openxmlformats.org/officeDocument/2006/relationships" shapeId="33853" r:id="rId50" name="Check Box 61">
              <controlPr defaultSize="0" autoFill="0" autoLine="0" autoPict="0" macro="[0]!Nyilatkozatok_4_crit_5c_THA_1">
                <anchor moveWithCells="1">
                  <from>
                    <xdr:col>1</xdr:col>
                    <xdr:colOff>133350</xdr:colOff>
                    <xdr:row>152</xdr:row>
                    <xdr:rowOff>133350</xdr:rowOff>
                  </from>
                  <to>
                    <xdr:col>1</xdr:col>
                    <xdr:colOff>438150</xdr:colOff>
                    <xdr:row>153</xdr:row>
                    <xdr:rowOff>190500</xdr:rowOff>
                  </to>
                </anchor>
              </controlPr>
            </control>
          </mc:Choice>
        </mc:AlternateContent>
        <mc:AlternateContent>
          <mc:Choice Requires="x14">
            <control xmlns:r="http://schemas.openxmlformats.org/officeDocument/2006/relationships" shapeId="33859" r:id="rId55" name="Check Box 67">
              <controlPr defaultSize="0" autoFill="0" autoLine="0" autoPict="0" macro="[0]!Nyilatkozatok_4_crit_5a_1" altText="Checkbox 67">
                <anchor moveWithCells="1">
                  <from>
                    <xdr:col>0</xdr:col>
                    <xdr:colOff>133350</xdr:colOff>
                    <xdr:row>10</xdr:row>
                    <xdr:rowOff>133350</xdr:rowOff>
                  </from>
                  <to>
                    <xdr:col>0</xdr:col>
                    <xdr:colOff>438150</xdr:colOff>
                    <xdr:row>32</xdr:row>
                    <xdr:rowOff>57150</xdr:rowOff>
                  </to>
                </anchor>
              </controlPr>
            </control>
          </mc:Choice>
        </mc:AlternateContent>
        <mc:AlternateContent>
          <mc:Choice Requires="x14">
            <control xmlns:r="http://schemas.openxmlformats.org/officeDocument/2006/relationships" shapeId="33860" r:id="rId56" name="Check Box 68">
              <controlPr defaultSize="0" autoFill="0" autoLine="0" autoPict="0" macro="[0]!Nyilatkozatok_4_crit_5a_2" altText="Checkbox 68">
                <anchor moveWithCells="1">
                  <from>
                    <xdr:col>0</xdr:col>
                    <xdr:colOff>133350</xdr:colOff>
                    <xdr:row>17</xdr:row>
                    <xdr:rowOff>133350</xdr:rowOff>
                  </from>
                  <to>
                    <xdr:col>0</xdr:col>
                    <xdr:colOff>438150</xdr:colOff>
                    <xdr:row>32</xdr:row>
                    <xdr:rowOff>57150</xdr:rowOff>
                  </to>
                </anchor>
              </controlPr>
            </control>
          </mc:Choice>
        </mc:AlternateContent>
        <mc:AlternateContent>
          <mc:Choice Requires="x14">
            <control xmlns:r="http://schemas.openxmlformats.org/officeDocument/2006/relationships" shapeId="33861" r:id="rId57" name="Check Box 69">
              <controlPr defaultSize="0" autoFill="0" autoLine="0" autoPict="0" macro="[0]!Nyilatkozatok_4_crit_5b_2">
                <anchor moveWithCells="1">
                  <from>
                    <xdr:col>0</xdr:col>
                    <xdr:colOff>133350</xdr:colOff>
                    <xdr:row>27</xdr:row>
                    <xdr:rowOff>88900</xdr:rowOff>
                  </from>
                  <to>
                    <xdr:col>0</xdr:col>
                    <xdr:colOff>438150</xdr:colOff>
                    <xdr:row>32</xdr:row>
                    <xdr:rowOff>57150</xdr:rowOff>
                  </to>
                </anchor>
              </controlPr>
            </control>
          </mc:Choice>
        </mc:AlternateContent>
        <mc:AlternateContent>
          <mc:Choice Requires="x14">
            <control xmlns:r="http://schemas.openxmlformats.org/officeDocument/2006/relationships" shapeId="33864" r:id="rId60" name="Check Box 72">
              <controlPr defaultSize="0" autoFill="0" autoLine="0" autoPict="0" macro="[0]!Nyilatkozatok_4_crit_5a_2_4_kiszerelés" altText="Checkbox 72">
                <anchor moveWithCells="1">
                  <from>
                    <xdr:col>0</xdr:col>
                    <xdr:colOff>133350</xdr:colOff>
                    <xdr:row>182</xdr:row>
                    <xdr:rowOff>152400</xdr:rowOff>
                  </from>
                  <to>
                    <xdr:col>0</xdr:col>
                    <xdr:colOff>438150</xdr:colOff>
                    <xdr:row>197</xdr:row>
                    <xdr:rowOff>50800</xdr:rowOff>
                  </to>
                </anchor>
              </controlPr>
            </control>
          </mc:Choice>
        </mc:AlternateContent>
        <mc:AlternateContent>
          <mc:Choice Requires="x14">
            <control xmlns:r="http://schemas.openxmlformats.org/officeDocument/2006/relationships" shapeId="33867" r:id="rId63" name="Check Box 75">
              <controlPr defaultSize="0" autoFill="0" autoLine="0" autoPict="0" macro="[0]!Nyilatkozatok_4_crit_5a_1_4_kiszerelés">
                <anchor moveWithCells="1">
                  <from>
                    <xdr:col>0</xdr:col>
                    <xdr:colOff>133350</xdr:colOff>
                    <xdr:row>176</xdr:row>
                    <xdr:rowOff>0</xdr:rowOff>
                  </from>
                  <to>
                    <xdr:col>0</xdr:col>
                    <xdr:colOff>438150</xdr:colOff>
                    <xdr:row>197</xdr:row>
                    <xdr:rowOff>57150</xdr:rowOff>
                  </to>
                </anchor>
              </controlPr>
            </control>
          </mc:Choice>
        </mc:AlternateContent>
        <mc:AlternateContent>
          <mc:Choice Requires="x14">
            <control xmlns:r="http://schemas.openxmlformats.org/officeDocument/2006/relationships" shapeId="33870" r:id="rId66" name="Check Box 78">
              <controlPr defaultSize="0" autoFill="0" autoLine="0" autoPict="0" macro="[0]!Nyilatkozatok_4_crit_5b_2_4_kiszerelés">
                <anchor moveWithCells="1">
                  <from>
                    <xdr:col>0</xdr:col>
                    <xdr:colOff>133350</xdr:colOff>
                    <xdr:row>193</xdr:row>
                    <xdr:rowOff>0</xdr:rowOff>
                  </from>
                  <to>
                    <xdr:col>0</xdr:col>
                    <xdr:colOff>438150</xdr:colOff>
                    <xdr:row>197</xdr:row>
                    <xdr:rowOff>57150</xdr:rowOff>
                  </to>
                </anchor>
              </controlPr>
            </control>
          </mc:Choice>
        </mc:AlternateContent>
        <mc:AlternateContent>
          <mc:Choice Requires="x14">
            <control xmlns:r="http://schemas.openxmlformats.org/officeDocument/2006/relationships" shapeId="33871" r:id="rId67" name="Check Box 79">
              <controlPr defaultSize="0" autoFill="0" autoLine="0" autoPict="0" macro="[0]!Nyilatkozatok_4_crit_5c_THA_1_4_kiszerelés">
                <anchor moveWithCells="1">
                  <from>
                    <xdr:col>0</xdr:col>
                    <xdr:colOff>133350</xdr:colOff>
                    <xdr:row>198</xdr:row>
                    <xdr:rowOff>0</xdr:rowOff>
                  </from>
                  <to>
                    <xdr:col>0</xdr:col>
                    <xdr:colOff>438150</xdr:colOff>
                    <xdr:row>198</xdr:row>
                    <xdr:rowOff>222250</xdr:rowOff>
                  </to>
                </anchor>
              </controlPr>
            </control>
          </mc:Choice>
        </mc:AlternateContent>
        <mc:AlternateContent>
          <mc:Choice Requires="x14">
            <control xmlns:r="http://schemas.openxmlformats.org/officeDocument/2006/relationships" shapeId="33875" r:id="rId71" name="Check Box 83">
              <controlPr defaultSize="0" autoFill="0" autoLine="0" autoPict="0" macro="[0]!Nyilatkozatok_4_crit_5b_1_4_kiszerelés">
                <anchor moveWithCells="1">
                  <from>
                    <xdr:col>0</xdr:col>
                    <xdr:colOff>146050</xdr:colOff>
                    <xdr:row>186</xdr:row>
                    <xdr:rowOff>127000</xdr:rowOff>
                  </from>
                  <to>
                    <xdr:col>0</xdr:col>
                    <xdr:colOff>450850</xdr:colOff>
                    <xdr:row>197</xdr:row>
                    <xdr:rowOff>57150</xdr:rowOff>
                  </to>
                </anchor>
              </controlPr>
            </control>
          </mc:Choice>
        </mc:AlternateContent>
        <mc:AlternateContent>
          <mc:Choice Requires="x14">
            <control xmlns:r="http://schemas.openxmlformats.org/officeDocument/2006/relationships" shapeId="33878" r:id="rId74" name="Check Box 86">
              <controlPr defaultSize="0" autoFill="0" autoLine="0" autoPict="0" macro="[0]!Nyilatkozatok_4_crit_5c_THA_2_4_kiszerelés">
                <anchor moveWithCells="1">
                  <from>
                    <xdr:col>0</xdr:col>
                    <xdr:colOff>133350</xdr:colOff>
                    <xdr:row>203</xdr:row>
                    <xdr:rowOff>0</xdr:rowOff>
                  </from>
                  <to>
                    <xdr:col>0</xdr:col>
                    <xdr:colOff>438150</xdr:colOff>
                    <xdr:row>203</xdr:row>
                    <xdr:rowOff>222250</xdr:rowOff>
                  </to>
                </anchor>
              </controlPr>
            </control>
          </mc:Choice>
        </mc:AlternateContent>
        <mc:AlternateContent>
          <mc:Choice Requires="x14">
            <control xmlns:r="http://schemas.openxmlformats.org/officeDocument/2006/relationships" shapeId="33887" r:id="rId83" name="Check Box 95">
              <controlPr defaultSize="0" autoFill="0" autoLine="0" autoPict="0" macro="[0]!Nyilatkozatok_4_crit_5a_2_5_kiszerelés" altText="Checkbox 72">
                <anchor moveWithCells="1">
                  <from>
                    <xdr:col>0</xdr:col>
                    <xdr:colOff>133350</xdr:colOff>
                    <xdr:row>237</xdr:row>
                    <xdr:rowOff>152400</xdr:rowOff>
                  </from>
                  <to>
                    <xdr:col>0</xdr:col>
                    <xdr:colOff>438150</xdr:colOff>
                    <xdr:row>252</xdr:row>
                    <xdr:rowOff>50800</xdr:rowOff>
                  </to>
                </anchor>
              </controlPr>
            </control>
          </mc:Choice>
        </mc:AlternateContent>
        <mc:AlternateContent>
          <mc:Choice Requires="x14">
            <control xmlns:r="http://schemas.openxmlformats.org/officeDocument/2006/relationships" shapeId="33888" r:id="rId84" name="Check Box 96">
              <controlPr defaultSize="0" autoFill="0" autoLine="0" autoPict="0" macro="[0]!Nyilatkozatok_4_crit_5a_1_5_kiszerelés">
                <anchor moveWithCells="1">
                  <from>
                    <xdr:col>0</xdr:col>
                    <xdr:colOff>133350</xdr:colOff>
                    <xdr:row>231</xdr:row>
                    <xdr:rowOff>0</xdr:rowOff>
                  </from>
                  <to>
                    <xdr:col>0</xdr:col>
                    <xdr:colOff>438150</xdr:colOff>
                    <xdr:row>252</xdr:row>
                    <xdr:rowOff>57150</xdr:rowOff>
                  </to>
                </anchor>
              </controlPr>
            </control>
          </mc:Choice>
        </mc:AlternateContent>
        <mc:AlternateContent>
          <mc:Choice Requires="x14">
            <control xmlns:r="http://schemas.openxmlformats.org/officeDocument/2006/relationships" shapeId="33891" r:id="rId87" name="Check Box 99">
              <controlPr defaultSize="0" autoFill="0" autoLine="0" autoPict="0" macro="[0]!Nyilatkozatok_4_crit_5b_2_5_kiszerelés">
                <anchor moveWithCells="1">
                  <from>
                    <xdr:col>0</xdr:col>
                    <xdr:colOff>133350</xdr:colOff>
                    <xdr:row>248</xdr:row>
                    <xdr:rowOff>0</xdr:rowOff>
                  </from>
                  <to>
                    <xdr:col>0</xdr:col>
                    <xdr:colOff>438150</xdr:colOff>
                    <xdr:row>252</xdr:row>
                    <xdr:rowOff>57150</xdr:rowOff>
                  </to>
                </anchor>
              </controlPr>
            </control>
          </mc:Choice>
        </mc:AlternateContent>
        <mc:AlternateContent>
          <mc:Choice Requires="x14">
            <control xmlns:r="http://schemas.openxmlformats.org/officeDocument/2006/relationships" shapeId="33892" r:id="rId88" name="Check Box 100">
              <controlPr defaultSize="0" autoFill="0" autoLine="0" autoPict="0" macro="[0]!Nyilatkozatok_4_crit_5c_THA_1_5_kiszerelés">
                <anchor moveWithCells="1">
                  <from>
                    <xdr:col>0</xdr:col>
                    <xdr:colOff>133350</xdr:colOff>
                    <xdr:row>253</xdr:row>
                    <xdr:rowOff>0</xdr:rowOff>
                  </from>
                  <to>
                    <xdr:col>0</xdr:col>
                    <xdr:colOff>438150</xdr:colOff>
                    <xdr:row>253</xdr:row>
                    <xdr:rowOff>222250</xdr:rowOff>
                  </to>
                </anchor>
              </controlPr>
            </control>
          </mc:Choice>
        </mc:AlternateContent>
        <mc:AlternateContent>
          <mc:Choice Requires="x14">
            <control xmlns:r="http://schemas.openxmlformats.org/officeDocument/2006/relationships" shapeId="33894" r:id="rId90" name="Check Box 102">
              <controlPr defaultSize="0" autoFill="0" autoLine="0" autoPict="0" macro="[0]!Nyilatkozatok_4_crit_5b_1_5_kiszerelés">
                <anchor moveWithCells="1">
                  <from>
                    <xdr:col>0</xdr:col>
                    <xdr:colOff>146050</xdr:colOff>
                    <xdr:row>241</xdr:row>
                    <xdr:rowOff>127000</xdr:rowOff>
                  </from>
                  <to>
                    <xdr:col>0</xdr:col>
                    <xdr:colOff>450850</xdr:colOff>
                    <xdr:row>252</xdr:row>
                    <xdr:rowOff>57150</xdr:rowOff>
                  </to>
                </anchor>
              </controlPr>
            </control>
          </mc:Choice>
        </mc:AlternateContent>
        <mc:AlternateContent>
          <mc:Choice Requires="x14">
            <control xmlns:r="http://schemas.openxmlformats.org/officeDocument/2006/relationships" shapeId="33897" r:id="rId93" name="Check Box 105">
              <controlPr defaultSize="0" autoFill="0" autoLine="0" autoPict="0" macro="[0]!Nyilatkozatok_4_crit_5c_THA_2_5_kiszerelés">
                <anchor moveWithCells="1">
                  <from>
                    <xdr:col>0</xdr:col>
                    <xdr:colOff>133350</xdr:colOff>
                    <xdr:row>258</xdr:row>
                    <xdr:rowOff>0</xdr:rowOff>
                  </from>
                  <to>
                    <xdr:col>0</xdr:col>
                    <xdr:colOff>438150</xdr:colOff>
                    <xdr:row>258</xdr:row>
                    <xdr:rowOff>222250</xdr:rowOff>
                  </to>
                </anchor>
              </controlPr>
            </control>
          </mc:Choice>
        </mc:AlternateContent>
        <mc:AlternateContent>
          <mc:Choice Requires="x14">
            <control xmlns:r="http://schemas.openxmlformats.org/officeDocument/2006/relationships" shapeId="33900" r:id="rId96" name="Check Box 108">
              <controlPr defaultSize="0" autoFill="0" autoLine="0" autoPict="0" macro="[0]!Nyilatkozatok_4_crit_5a_2_6_kiszerelés" altText="Checkbox 72">
                <anchor moveWithCells="1">
                  <from>
                    <xdr:col>0</xdr:col>
                    <xdr:colOff>133350</xdr:colOff>
                    <xdr:row>292</xdr:row>
                    <xdr:rowOff>152400</xdr:rowOff>
                  </from>
                  <to>
                    <xdr:col>0</xdr:col>
                    <xdr:colOff>438150</xdr:colOff>
                    <xdr:row>307</xdr:row>
                    <xdr:rowOff>50800</xdr:rowOff>
                  </to>
                </anchor>
              </controlPr>
            </control>
          </mc:Choice>
        </mc:AlternateContent>
        <mc:AlternateContent>
          <mc:Choice Requires="x14">
            <control xmlns:r="http://schemas.openxmlformats.org/officeDocument/2006/relationships" shapeId="33901" r:id="rId97" name="Check Box 109">
              <controlPr defaultSize="0" autoFill="0" autoLine="0" autoPict="0" macro="[0]!Nyilatkozatok_4_crit_5a_1_6_kiszerelés">
                <anchor moveWithCells="1">
                  <from>
                    <xdr:col>0</xdr:col>
                    <xdr:colOff>133350</xdr:colOff>
                    <xdr:row>286</xdr:row>
                    <xdr:rowOff>0</xdr:rowOff>
                  </from>
                  <to>
                    <xdr:col>0</xdr:col>
                    <xdr:colOff>438150</xdr:colOff>
                    <xdr:row>307</xdr:row>
                    <xdr:rowOff>57150</xdr:rowOff>
                  </to>
                </anchor>
              </controlPr>
            </control>
          </mc:Choice>
        </mc:AlternateContent>
        <mc:AlternateContent>
          <mc:Choice Requires="x14">
            <control xmlns:r="http://schemas.openxmlformats.org/officeDocument/2006/relationships" shapeId="33904" r:id="rId100" name="Check Box 112">
              <controlPr defaultSize="0" autoFill="0" autoLine="0" autoPict="0" macro="[0]!Nyilatkozatok_4_crit_5b_2_6_kiszerelés">
                <anchor moveWithCells="1">
                  <from>
                    <xdr:col>0</xdr:col>
                    <xdr:colOff>133350</xdr:colOff>
                    <xdr:row>303</xdr:row>
                    <xdr:rowOff>0</xdr:rowOff>
                  </from>
                  <to>
                    <xdr:col>0</xdr:col>
                    <xdr:colOff>438150</xdr:colOff>
                    <xdr:row>307</xdr:row>
                    <xdr:rowOff>57150</xdr:rowOff>
                  </to>
                </anchor>
              </controlPr>
            </control>
          </mc:Choice>
        </mc:AlternateContent>
        <mc:AlternateContent>
          <mc:Choice Requires="x14">
            <control xmlns:r="http://schemas.openxmlformats.org/officeDocument/2006/relationships" shapeId="33905" r:id="rId101" name="Check Box 113">
              <controlPr defaultSize="0" autoFill="0" autoLine="0" autoPict="0" macro="[0]!Nyilatkozatok_4_crit_5c_THA_1_6_kiszerelés">
                <anchor moveWithCells="1">
                  <from>
                    <xdr:col>0</xdr:col>
                    <xdr:colOff>133350</xdr:colOff>
                    <xdr:row>308</xdr:row>
                    <xdr:rowOff>0</xdr:rowOff>
                  </from>
                  <to>
                    <xdr:col>0</xdr:col>
                    <xdr:colOff>438150</xdr:colOff>
                    <xdr:row>308</xdr:row>
                    <xdr:rowOff>222250</xdr:rowOff>
                  </to>
                </anchor>
              </controlPr>
            </control>
          </mc:Choice>
        </mc:AlternateContent>
        <mc:AlternateContent>
          <mc:Choice Requires="x14">
            <control xmlns:r="http://schemas.openxmlformats.org/officeDocument/2006/relationships" shapeId="33907" r:id="rId103" name="Check Box 115">
              <controlPr defaultSize="0" autoFill="0" autoLine="0" autoPict="0" macro="[0]!Nyilatkozatok_4_crit_5b_1_6_kiszerelés">
                <anchor moveWithCells="1">
                  <from>
                    <xdr:col>0</xdr:col>
                    <xdr:colOff>146050</xdr:colOff>
                    <xdr:row>296</xdr:row>
                    <xdr:rowOff>152400</xdr:rowOff>
                  </from>
                  <to>
                    <xdr:col>0</xdr:col>
                    <xdr:colOff>450850</xdr:colOff>
                    <xdr:row>307</xdr:row>
                    <xdr:rowOff>50800</xdr:rowOff>
                  </to>
                </anchor>
              </controlPr>
            </control>
          </mc:Choice>
        </mc:AlternateContent>
        <mc:AlternateContent>
          <mc:Choice Requires="x14">
            <control xmlns:r="http://schemas.openxmlformats.org/officeDocument/2006/relationships" shapeId="33910" r:id="rId106" name="Check Box 118">
              <controlPr defaultSize="0" autoFill="0" autoLine="0" autoPict="0" macro="[0]!Nyilatkozatok_4_crit_5c_THA_2_6_kiszerelés">
                <anchor moveWithCells="1">
                  <from>
                    <xdr:col>0</xdr:col>
                    <xdr:colOff>133350</xdr:colOff>
                    <xdr:row>313</xdr:row>
                    <xdr:rowOff>0</xdr:rowOff>
                  </from>
                  <to>
                    <xdr:col>0</xdr:col>
                    <xdr:colOff>438150</xdr:colOff>
                    <xdr:row>313</xdr:row>
                    <xdr:rowOff>222250</xdr:rowOff>
                  </to>
                </anchor>
              </controlPr>
            </control>
          </mc:Choice>
        </mc:AlternateContent>
        <mc:AlternateContent>
          <mc:Choice Requires="x14">
            <control xmlns:r="http://schemas.openxmlformats.org/officeDocument/2006/relationships" shapeId="33913" r:id="rId109" name="Check Box 121">
              <controlPr defaultSize="0" autoFill="0" autoLine="0" autoPict="0" macro="[0]!Nyilatkozatok_4_crit_5a_2_7_kiszerelés" altText="Checkbox 72">
                <anchor moveWithCells="1">
                  <from>
                    <xdr:col>0</xdr:col>
                    <xdr:colOff>133350</xdr:colOff>
                    <xdr:row>347</xdr:row>
                    <xdr:rowOff>152400</xdr:rowOff>
                  </from>
                  <to>
                    <xdr:col>0</xdr:col>
                    <xdr:colOff>438150</xdr:colOff>
                    <xdr:row>362</xdr:row>
                    <xdr:rowOff>50800</xdr:rowOff>
                  </to>
                </anchor>
              </controlPr>
            </control>
          </mc:Choice>
        </mc:AlternateContent>
        <mc:AlternateContent>
          <mc:Choice Requires="x14">
            <control xmlns:r="http://schemas.openxmlformats.org/officeDocument/2006/relationships" shapeId="33914" r:id="rId110" name="Check Box 122">
              <controlPr defaultSize="0" autoFill="0" autoLine="0" autoPict="0" macro="[0]!Nyilatkozatok_4_crit_5a_1_7_kiszerelés">
                <anchor moveWithCells="1">
                  <from>
                    <xdr:col>0</xdr:col>
                    <xdr:colOff>133350</xdr:colOff>
                    <xdr:row>341</xdr:row>
                    <xdr:rowOff>0</xdr:rowOff>
                  </from>
                  <to>
                    <xdr:col>0</xdr:col>
                    <xdr:colOff>438150</xdr:colOff>
                    <xdr:row>362</xdr:row>
                    <xdr:rowOff>57150</xdr:rowOff>
                  </to>
                </anchor>
              </controlPr>
            </control>
          </mc:Choice>
        </mc:AlternateContent>
        <mc:AlternateContent>
          <mc:Choice Requires="x14">
            <control xmlns:r="http://schemas.openxmlformats.org/officeDocument/2006/relationships" shapeId="33917" r:id="rId113" name="Check Box 125">
              <controlPr defaultSize="0" autoFill="0" autoLine="0" autoPict="0" macro="[0]!Nyilatkozatok_4_crit_5b_2_7_kiszerelés">
                <anchor moveWithCells="1">
                  <from>
                    <xdr:col>0</xdr:col>
                    <xdr:colOff>133350</xdr:colOff>
                    <xdr:row>358</xdr:row>
                    <xdr:rowOff>0</xdr:rowOff>
                  </from>
                  <to>
                    <xdr:col>0</xdr:col>
                    <xdr:colOff>438150</xdr:colOff>
                    <xdr:row>362</xdr:row>
                    <xdr:rowOff>57150</xdr:rowOff>
                  </to>
                </anchor>
              </controlPr>
            </control>
          </mc:Choice>
        </mc:AlternateContent>
        <mc:AlternateContent>
          <mc:Choice Requires="x14">
            <control xmlns:r="http://schemas.openxmlformats.org/officeDocument/2006/relationships" shapeId="33918" r:id="rId114" name="Check Box 126">
              <controlPr defaultSize="0" autoFill="0" autoLine="0" autoPict="0" macro="[0]!Nyilatkozatok_4_crit_5c_THA_1_7_kiszerelés">
                <anchor moveWithCells="1">
                  <from>
                    <xdr:col>0</xdr:col>
                    <xdr:colOff>133350</xdr:colOff>
                    <xdr:row>363</xdr:row>
                    <xdr:rowOff>0</xdr:rowOff>
                  </from>
                  <to>
                    <xdr:col>0</xdr:col>
                    <xdr:colOff>438150</xdr:colOff>
                    <xdr:row>363</xdr:row>
                    <xdr:rowOff>222250</xdr:rowOff>
                  </to>
                </anchor>
              </controlPr>
            </control>
          </mc:Choice>
        </mc:AlternateContent>
        <mc:AlternateContent>
          <mc:Choice Requires="x14">
            <control xmlns:r="http://schemas.openxmlformats.org/officeDocument/2006/relationships" shapeId="33920" r:id="rId116" name="Check Box 128">
              <controlPr defaultSize="0" autoFill="0" autoLine="0" autoPict="0" macro="[0]!Nyilatkozatok_4_crit_5b_1_7_kiszerelés">
                <anchor moveWithCells="1">
                  <from>
                    <xdr:col>0</xdr:col>
                    <xdr:colOff>146050</xdr:colOff>
                    <xdr:row>351</xdr:row>
                    <xdr:rowOff>127000</xdr:rowOff>
                  </from>
                  <to>
                    <xdr:col>0</xdr:col>
                    <xdr:colOff>450850</xdr:colOff>
                    <xdr:row>362</xdr:row>
                    <xdr:rowOff>57150</xdr:rowOff>
                  </to>
                </anchor>
              </controlPr>
            </control>
          </mc:Choice>
        </mc:AlternateContent>
        <mc:AlternateContent>
          <mc:Choice Requires="x14">
            <control xmlns:r="http://schemas.openxmlformats.org/officeDocument/2006/relationships" shapeId="33923" r:id="rId119" name="Check Box 131">
              <controlPr defaultSize="0" autoFill="0" autoLine="0" autoPict="0" macro="[0]!Nyilatkozatok_4_crit_5c_THA_2_7_kiszerelés">
                <anchor moveWithCells="1">
                  <from>
                    <xdr:col>0</xdr:col>
                    <xdr:colOff>133350</xdr:colOff>
                    <xdr:row>368</xdr:row>
                    <xdr:rowOff>0</xdr:rowOff>
                  </from>
                  <to>
                    <xdr:col>0</xdr:col>
                    <xdr:colOff>438150</xdr:colOff>
                    <xdr:row>368</xdr:row>
                    <xdr:rowOff>222250</xdr:rowOff>
                  </to>
                </anchor>
              </controlPr>
            </control>
          </mc:Choice>
        </mc:AlternateContent>
        <mc:AlternateContent>
          <mc:Choice Requires="x14">
            <control xmlns:r="http://schemas.openxmlformats.org/officeDocument/2006/relationships" shapeId="33926" r:id="rId122" name="Check Box 134">
              <controlPr defaultSize="0" autoFill="0" autoLine="0" autoPict="0" macro="[0]!Nyilatkozatok_4_crit_5a_2_8_kiszerelés" altText="Checkbox 72">
                <anchor moveWithCells="1">
                  <from>
                    <xdr:col>0</xdr:col>
                    <xdr:colOff>133350</xdr:colOff>
                    <xdr:row>403</xdr:row>
                    <xdr:rowOff>0</xdr:rowOff>
                  </from>
                  <to>
                    <xdr:col>0</xdr:col>
                    <xdr:colOff>438150</xdr:colOff>
                    <xdr:row>417</xdr:row>
                    <xdr:rowOff>57150</xdr:rowOff>
                  </to>
                </anchor>
              </controlPr>
            </control>
          </mc:Choice>
        </mc:AlternateContent>
        <mc:AlternateContent>
          <mc:Choice Requires="x14">
            <control xmlns:r="http://schemas.openxmlformats.org/officeDocument/2006/relationships" shapeId="33927" r:id="rId123" name="Check Box 135">
              <controlPr defaultSize="0" autoFill="0" autoLine="0" autoPict="0" macro="[0]!Nyilatkozatok_4_crit_5a_1_8_kiszerelés">
                <anchor moveWithCells="1">
                  <from>
                    <xdr:col>0</xdr:col>
                    <xdr:colOff>133350</xdr:colOff>
                    <xdr:row>396</xdr:row>
                    <xdr:rowOff>0</xdr:rowOff>
                  </from>
                  <to>
                    <xdr:col>0</xdr:col>
                    <xdr:colOff>438150</xdr:colOff>
                    <xdr:row>417</xdr:row>
                    <xdr:rowOff>57150</xdr:rowOff>
                  </to>
                </anchor>
              </controlPr>
            </control>
          </mc:Choice>
        </mc:AlternateContent>
        <mc:AlternateContent>
          <mc:Choice Requires="x14">
            <control xmlns:r="http://schemas.openxmlformats.org/officeDocument/2006/relationships" shapeId="33930" r:id="rId126" name="Check Box 138">
              <controlPr defaultSize="0" autoFill="0" autoLine="0" autoPict="0" macro="[0]!Nyilatkozatok_4_crit_5b_2_8_kiszerelés">
                <anchor moveWithCells="1">
                  <from>
                    <xdr:col>0</xdr:col>
                    <xdr:colOff>133350</xdr:colOff>
                    <xdr:row>413</xdr:row>
                    <xdr:rowOff>0</xdr:rowOff>
                  </from>
                  <to>
                    <xdr:col>0</xdr:col>
                    <xdr:colOff>438150</xdr:colOff>
                    <xdr:row>417</xdr:row>
                    <xdr:rowOff>57150</xdr:rowOff>
                  </to>
                </anchor>
              </controlPr>
            </control>
          </mc:Choice>
        </mc:AlternateContent>
        <mc:AlternateContent>
          <mc:Choice Requires="x14">
            <control xmlns:r="http://schemas.openxmlformats.org/officeDocument/2006/relationships" shapeId="33931" r:id="rId127" name="Check Box 139">
              <controlPr defaultSize="0" autoFill="0" autoLine="0" autoPict="0" macro="[0]!Nyilatkozatok_4_crit_5c_THA_1_8_kiszerelés">
                <anchor moveWithCells="1">
                  <from>
                    <xdr:col>0</xdr:col>
                    <xdr:colOff>133350</xdr:colOff>
                    <xdr:row>418</xdr:row>
                    <xdr:rowOff>0</xdr:rowOff>
                  </from>
                  <to>
                    <xdr:col>0</xdr:col>
                    <xdr:colOff>438150</xdr:colOff>
                    <xdr:row>418</xdr:row>
                    <xdr:rowOff>222250</xdr:rowOff>
                  </to>
                </anchor>
              </controlPr>
            </control>
          </mc:Choice>
        </mc:AlternateContent>
        <mc:AlternateContent>
          <mc:Choice Requires="x14">
            <control xmlns:r="http://schemas.openxmlformats.org/officeDocument/2006/relationships" shapeId="33933" r:id="rId129" name="Check Box 141">
              <controlPr defaultSize="0" autoFill="0" autoLine="0" autoPict="0" macro="[0]!Nyilatkozatok_4_crit_5b_1_8_kiszerelés">
                <anchor moveWithCells="1">
                  <from>
                    <xdr:col>0</xdr:col>
                    <xdr:colOff>146050</xdr:colOff>
                    <xdr:row>406</xdr:row>
                    <xdr:rowOff>127000</xdr:rowOff>
                  </from>
                  <to>
                    <xdr:col>0</xdr:col>
                    <xdr:colOff>450850</xdr:colOff>
                    <xdr:row>417</xdr:row>
                    <xdr:rowOff>57150</xdr:rowOff>
                  </to>
                </anchor>
              </controlPr>
            </control>
          </mc:Choice>
        </mc:AlternateContent>
        <mc:AlternateContent>
          <mc:Choice Requires="x14">
            <control xmlns:r="http://schemas.openxmlformats.org/officeDocument/2006/relationships" shapeId="33936" r:id="rId132" name="Check Box 144">
              <controlPr defaultSize="0" autoFill="0" autoLine="0" autoPict="0" macro="[0]!Nyilatkozatok_4_crit_5c_THA_2_8_kiszerelés">
                <anchor moveWithCells="1">
                  <from>
                    <xdr:col>0</xdr:col>
                    <xdr:colOff>133350</xdr:colOff>
                    <xdr:row>423</xdr:row>
                    <xdr:rowOff>0</xdr:rowOff>
                  </from>
                  <to>
                    <xdr:col>0</xdr:col>
                    <xdr:colOff>438150</xdr:colOff>
                    <xdr:row>423</xdr:row>
                    <xdr:rowOff>222250</xdr:rowOff>
                  </to>
                </anchor>
              </controlPr>
            </control>
          </mc:Choice>
        </mc:AlternateContent>
        <mc:AlternateContent>
          <mc:Choice Requires="x14">
            <control xmlns:r="http://schemas.openxmlformats.org/officeDocument/2006/relationships" shapeId="33978" r:id="rId172" name="Button 186">
              <controlPr defaultSize="0" print="0" autoFill="0" autoPict="0" macro="[0]!Nyomtatás">
                <anchor moveWithCells="1" sizeWithCells="1">
                  <from>
                    <xdr:col>2</xdr:col>
                    <xdr:colOff>260350</xdr:colOff>
                    <xdr:row>529</xdr:row>
                    <xdr:rowOff>12700</xdr:rowOff>
                  </from>
                  <to>
                    <xdr:col>4</xdr:col>
                    <xdr:colOff>552450</xdr:colOff>
                    <xdr:row>531</xdr:row>
                    <xdr:rowOff>31750</xdr:rowOff>
                  </to>
                </anchor>
              </controlPr>
            </control>
          </mc:Choice>
        </mc:AlternateContent>
        <mc:AlternateContent>
          <mc:Choice Requires="x14">
            <control xmlns:r="http://schemas.openxmlformats.org/officeDocument/2006/relationships" shapeId="33979" r:id="rId173" name="Check Box 187">
              <controlPr defaultSize="0" autoFill="0" autoLine="0" autoPict="0" macro="[0]!RTU_1">
                <anchor moveWithCells="1">
                  <from>
                    <xdr:col>1</xdr:col>
                    <xdr:colOff>133350</xdr:colOff>
                    <xdr:row>485</xdr:row>
                    <xdr:rowOff>336550</xdr:rowOff>
                  </from>
                  <to>
                    <xdr:col>1</xdr:col>
                    <xdr:colOff>438150</xdr:colOff>
                    <xdr:row>489</xdr:row>
                    <xdr:rowOff>222250</xdr:rowOff>
                  </to>
                </anchor>
              </controlPr>
            </control>
          </mc:Choice>
        </mc:AlternateContent>
        <mc:AlternateContent>
          <mc:Choice Requires="x14">
            <control xmlns:r="http://schemas.openxmlformats.org/officeDocument/2006/relationships" shapeId="33980" r:id="rId174" name="Check Box 188">
              <controlPr defaultSize="0" autoFill="0" autoLine="0" autoPict="0" macro="[0]!RTU_1">
                <anchor moveWithCells="1">
                  <from>
                    <xdr:col>1</xdr:col>
                    <xdr:colOff>133350</xdr:colOff>
                    <xdr:row>488</xdr:row>
                    <xdr:rowOff>0</xdr:rowOff>
                  </from>
                  <to>
                    <xdr:col>1</xdr:col>
                    <xdr:colOff>438150</xdr:colOff>
                    <xdr:row>489</xdr:row>
                    <xdr:rowOff>222250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Z461"/>
  <sheetViews>
    <sheetView workbookViewId="0" topLeftCell="A230">
      <selection activeCell="A8" sqref="A8"/>
    </sheetView>
  </sheetViews>
  <sheetFormatPr defaultColWidth="11.421875" defaultRowHeight="12.75"/>
  <cols>
    <col min="1" max="1" width="12.7109375" style="301" customWidth="1"/>
    <col min="2" max="2" width="22.421875" style="301" bestFit="1" customWidth="1"/>
    <col min="3" max="3" width="74.28125" style="301" customWidth="1"/>
    <col min="4" max="9" width="9.00390625" style="302" customWidth="1"/>
    <col min="10" max="12" width="7.421875" style="302" customWidth="1"/>
    <col min="13" max="14" width="9.140625" style="291" customWidth="1"/>
    <col min="15" max="15" width="11.421875" style="180" customWidth="1"/>
  </cols>
  <sheetData>
    <row r="1" spans="1:26" ht="12.75">
      <c r="A1" s="300"/>
      <c r="P1" s="7"/>
      <c r="Q1" s="7"/>
      <c r="R1" s="7"/>
      <c r="S1" s="7"/>
      <c r="T1" s="7"/>
      <c r="U1" s="7"/>
      <c r="V1" s="7"/>
      <c r="W1" s="7"/>
      <c r="X1" s="7"/>
      <c r="Y1" s="7"/>
      <c r="Z1" s="7"/>
    </row>
    <row r="2" spans="1:26" ht="15.5">
      <c r="A2" s="303"/>
      <c r="B2" s="303"/>
      <c r="P2" s="7"/>
      <c r="Q2" s="7"/>
      <c r="R2" s="7"/>
      <c r="S2" s="7"/>
      <c r="T2" s="7"/>
      <c r="U2" s="7"/>
      <c r="V2" s="7"/>
      <c r="W2" s="7"/>
      <c r="X2" s="7"/>
      <c r="Y2" s="7"/>
      <c r="Z2" s="7"/>
    </row>
    <row r="3" spans="1:26" ht="23">
      <c r="A3" s="304" t="s">
        <v>639</v>
      </c>
      <c r="B3" s="304"/>
      <c r="P3" s="7"/>
      <c r="Q3" s="7"/>
      <c r="R3" s="7"/>
      <c r="S3" s="7"/>
      <c r="T3" s="7"/>
      <c r="U3" s="7"/>
      <c r="V3" s="7"/>
      <c r="W3" s="7"/>
      <c r="X3" s="7"/>
      <c r="Y3" s="7"/>
      <c r="Z3" s="7"/>
    </row>
    <row r="4" spans="1:26" ht="23.5" thickBot="1">
      <c r="A4" s="305"/>
      <c r="B4" s="305"/>
      <c r="K4" s="302" t="s">
        <v>640</v>
      </c>
      <c r="P4" s="7"/>
      <c r="Q4" s="7"/>
      <c r="R4" s="7"/>
      <c r="S4" s="7"/>
      <c r="T4" s="7"/>
      <c r="U4" s="7"/>
      <c r="V4" s="7"/>
      <c r="W4" s="7"/>
      <c r="X4" s="7"/>
      <c r="Y4" s="7"/>
      <c r="Z4" s="7"/>
    </row>
    <row r="5" spans="3:26" ht="16" thickBot="1">
      <c r="C5" s="306"/>
      <c r="D5" s="1402" t="s">
        <v>14</v>
      </c>
      <c r="E5" s="1403"/>
      <c r="F5" s="1404"/>
      <c r="G5" s="1402" t="s">
        <v>15</v>
      </c>
      <c r="H5" s="1403"/>
      <c r="I5" s="1404"/>
      <c r="J5" s="1402" t="s">
        <v>16</v>
      </c>
      <c r="K5" s="1403"/>
      <c r="L5" s="1404"/>
      <c r="P5" s="7"/>
      <c r="Q5" s="7"/>
      <c r="R5" s="7"/>
      <c r="S5" s="7"/>
      <c r="T5" s="7"/>
      <c r="U5" s="7"/>
      <c r="V5" s="7"/>
      <c r="W5" s="7"/>
      <c r="X5" s="7"/>
      <c r="Y5" s="7"/>
      <c r="Z5" s="7"/>
    </row>
    <row r="6" spans="1:26" ht="80" thickBot="1">
      <c r="A6" s="307" t="s">
        <v>17</v>
      </c>
      <c r="B6" s="307"/>
      <c r="C6" s="308" t="s">
        <v>18</v>
      </c>
      <c r="D6" s="309" t="s">
        <v>227</v>
      </c>
      <c r="E6" s="310" t="s">
        <v>228</v>
      </c>
      <c r="F6" s="311" t="s">
        <v>229</v>
      </c>
      <c r="G6" s="312" t="s">
        <v>19</v>
      </c>
      <c r="H6" s="310" t="s">
        <v>230</v>
      </c>
      <c r="I6" s="311" t="s">
        <v>231</v>
      </c>
      <c r="J6" s="312" t="s">
        <v>20</v>
      </c>
      <c r="K6" s="310" t="s">
        <v>21</v>
      </c>
      <c r="L6" s="311" t="s">
        <v>22</v>
      </c>
      <c r="M6" s="292"/>
      <c r="N6" s="292"/>
      <c r="O6" s="181"/>
      <c r="P6" s="7"/>
      <c r="Q6" s="7"/>
      <c r="R6" s="7"/>
      <c r="S6" s="7"/>
      <c r="T6" s="7"/>
      <c r="U6" s="7"/>
      <c r="V6" s="7"/>
      <c r="W6" s="7"/>
      <c r="X6" s="7"/>
      <c r="Y6" s="7"/>
      <c r="Z6" s="7"/>
    </row>
    <row r="7" spans="1:26" ht="13" thickBot="1">
      <c r="A7" s="313" t="str">
        <f>IF(Adatlap!L1="Magyar",Fordítások!C372,Fordítások!B372)</f>
        <v>nem szerepel</v>
      </c>
      <c r="B7" s="314"/>
      <c r="C7" s="315" t="str">
        <f>IF(Adatlap!L1="Magyar","nem szerepel","not included")</f>
        <v>nem szerepel</v>
      </c>
      <c r="D7" s="316"/>
      <c r="E7" s="316"/>
      <c r="F7" s="316"/>
      <c r="G7" s="316"/>
      <c r="H7" s="316"/>
      <c r="I7" s="316"/>
      <c r="J7" s="316"/>
      <c r="K7" s="316"/>
      <c r="L7" s="317"/>
      <c r="M7" s="292"/>
      <c r="N7" s="292"/>
      <c r="O7" s="181"/>
      <c r="P7" s="7"/>
      <c r="Q7" s="7"/>
      <c r="R7" s="7"/>
      <c r="S7" s="7"/>
      <c r="T7" s="7"/>
      <c r="U7" s="7"/>
      <c r="V7" s="7"/>
      <c r="W7" s="7"/>
      <c r="X7" s="7"/>
      <c r="Y7" s="7"/>
      <c r="Z7" s="7"/>
    </row>
    <row r="8" spans="1:26" ht="12.75">
      <c r="A8" s="318">
        <v>2001</v>
      </c>
      <c r="B8" s="319" t="s">
        <v>23</v>
      </c>
      <c r="C8" s="320" t="s">
        <v>232</v>
      </c>
      <c r="D8" s="321">
        <v>4.1</v>
      </c>
      <c r="E8" s="321">
        <v>1000</v>
      </c>
      <c r="F8" s="322">
        <f aca="true" t="shared" si="0" ref="F8:F38">D8/E8</f>
        <v>0.0040999999999999995</v>
      </c>
      <c r="G8" s="323">
        <v>0.69</v>
      </c>
      <c r="H8" s="321">
        <v>10</v>
      </c>
      <c r="I8" s="324">
        <f aca="true" t="shared" si="1" ref="I8:I9">G8/H8</f>
        <v>0.06899999999999999</v>
      </c>
      <c r="J8" s="325">
        <v>0.05</v>
      </c>
      <c r="K8" s="321" t="s">
        <v>24</v>
      </c>
      <c r="L8" s="324" t="s">
        <v>25</v>
      </c>
      <c r="M8" s="293"/>
      <c r="N8" s="293"/>
      <c r="O8" s="182"/>
      <c r="P8" s="7"/>
      <c r="Q8" s="7"/>
      <c r="R8" s="7"/>
      <c r="S8" s="7"/>
      <c r="T8" s="7"/>
      <c r="U8" s="7"/>
      <c r="V8" s="7"/>
      <c r="W8" s="7"/>
      <c r="X8" s="7"/>
      <c r="Y8" s="7"/>
      <c r="Z8" s="7"/>
    </row>
    <row r="9" spans="1:26" ht="12.75">
      <c r="A9" s="326">
        <v>2002</v>
      </c>
      <c r="B9" s="319" t="s">
        <v>23</v>
      </c>
      <c r="C9" s="327" t="s">
        <v>233</v>
      </c>
      <c r="D9" s="328">
        <v>6.7</v>
      </c>
      <c r="E9" s="328">
        <v>5000</v>
      </c>
      <c r="F9" s="329">
        <f t="shared" si="0"/>
        <v>0.00134</v>
      </c>
      <c r="G9" s="330">
        <v>0.5</v>
      </c>
      <c r="H9" s="328">
        <v>10</v>
      </c>
      <c r="I9" s="331">
        <f t="shared" si="1"/>
        <v>0.05</v>
      </c>
      <c r="J9" s="332">
        <v>0.05</v>
      </c>
      <c r="K9" s="328" t="s">
        <v>24</v>
      </c>
      <c r="L9" s="331" t="s">
        <v>25</v>
      </c>
      <c r="M9" s="293"/>
      <c r="N9" s="293"/>
      <c r="O9" s="182"/>
      <c r="P9" s="7"/>
      <c r="Q9" s="7"/>
      <c r="R9" s="7"/>
      <c r="S9" s="7"/>
      <c r="T9" s="7"/>
      <c r="U9" s="7"/>
      <c r="V9" s="7"/>
      <c r="W9" s="7"/>
      <c r="X9" s="7"/>
      <c r="Y9" s="7"/>
      <c r="Z9" s="7"/>
    </row>
    <row r="10" spans="1:26" ht="12.75">
      <c r="A10" s="326">
        <v>2003</v>
      </c>
      <c r="B10" s="319" t="s">
        <v>23</v>
      </c>
      <c r="C10" s="327" t="s">
        <v>234</v>
      </c>
      <c r="D10" s="328">
        <v>40</v>
      </c>
      <c r="E10" s="328">
        <v>1000</v>
      </c>
      <c r="F10" s="329">
        <f t="shared" si="0"/>
        <v>0.04</v>
      </c>
      <c r="G10" s="330">
        <v>1.35</v>
      </c>
      <c r="H10" s="328">
        <v>10</v>
      </c>
      <c r="I10" s="331">
        <f>G10/H10</f>
        <v>0.135</v>
      </c>
      <c r="J10" s="332">
        <v>0.05</v>
      </c>
      <c r="K10" s="328" t="s">
        <v>24</v>
      </c>
      <c r="L10" s="331" t="s">
        <v>27</v>
      </c>
      <c r="M10" s="293"/>
      <c r="N10" s="293"/>
      <c r="O10" s="182"/>
      <c r="P10" s="7"/>
      <c r="Q10" s="7"/>
      <c r="R10" s="7"/>
      <c r="S10" s="7"/>
      <c r="T10" s="7"/>
      <c r="U10" s="7"/>
      <c r="V10" s="7"/>
      <c r="W10" s="7"/>
      <c r="X10" s="7"/>
      <c r="Y10" s="7"/>
      <c r="Z10" s="7"/>
    </row>
    <row r="11" spans="1:26" ht="12.75">
      <c r="A11" s="326">
        <v>2004</v>
      </c>
      <c r="B11" s="319" t="s">
        <v>23</v>
      </c>
      <c r="C11" s="327" t="s">
        <v>641</v>
      </c>
      <c r="D11" s="328">
        <v>8.64</v>
      </c>
      <c r="E11" s="328">
        <v>1000</v>
      </c>
      <c r="F11" s="329">
        <f t="shared" si="0"/>
        <v>0.00864</v>
      </c>
      <c r="G11" s="330">
        <v>0.95</v>
      </c>
      <c r="H11" s="328">
        <v>10</v>
      </c>
      <c r="I11" s="331">
        <f>G11/H11</f>
        <v>0.095</v>
      </c>
      <c r="J11" s="332">
        <v>0.05</v>
      </c>
      <c r="K11" s="328" t="s">
        <v>24</v>
      </c>
      <c r="L11" s="331" t="s">
        <v>26</v>
      </c>
      <c r="M11" s="293"/>
      <c r="N11" s="293"/>
      <c r="O11" s="182"/>
      <c r="P11" s="7"/>
      <c r="Q11" s="7"/>
      <c r="R11" s="7"/>
      <c r="S11" s="7"/>
      <c r="T11" s="7"/>
      <c r="U11" s="7"/>
      <c r="V11" s="7"/>
      <c r="W11" s="7"/>
      <c r="X11" s="7"/>
      <c r="Y11" s="7"/>
      <c r="Z11" s="7"/>
    </row>
    <row r="12" spans="1:26" ht="12.75">
      <c r="A12" s="326">
        <v>2005</v>
      </c>
      <c r="B12" s="319" t="s">
        <v>23</v>
      </c>
      <c r="C12" s="327" t="s">
        <v>642</v>
      </c>
      <c r="D12" s="328">
        <v>2.8</v>
      </c>
      <c r="E12" s="328">
        <v>1000</v>
      </c>
      <c r="F12" s="329">
        <f t="shared" si="0"/>
        <v>0.0028</v>
      </c>
      <c r="G12" s="330">
        <v>0.391</v>
      </c>
      <c r="H12" s="328">
        <v>10</v>
      </c>
      <c r="I12" s="331">
        <f aca="true" t="shared" si="2" ref="I12:I13">G12/H12</f>
        <v>0.0391</v>
      </c>
      <c r="J12" s="332">
        <v>0.05</v>
      </c>
      <c r="K12" s="328" t="s">
        <v>24</v>
      </c>
      <c r="L12" s="331" t="s">
        <v>27</v>
      </c>
      <c r="M12" s="292"/>
      <c r="N12" s="292"/>
      <c r="O12" s="181"/>
      <c r="P12" s="7"/>
      <c r="Q12" s="7"/>
      <c r="R12" s="7"/>
      <c r="S12" s="7"/>
      <c r="T12" s="7"/>
      <c r="U12" s="7"/>
      <c r="V12" s="7"/>
      <c r="W12" s="7"/>
      <c r="X12" s="7"/>
      <c r="Y12" s="7"/>
      <c r="Z12" s="7"/>
    </row>
    <row r="13" spans="1:26" ht="12.75">
      <c r="A13" s="326">
        <v>2006</v>
      </c>
      <c r="B13" s="319" t="s">
        <v>23</v>
      </c>
      <c r="C13" s="327" t="s">
        <v>643</v>
      </c>
      <c r="D13" s="328">
        <v>15</v>
      </c>
      <c r="E13" s="328">
        <v>1000</v>
      </c>
      <c r="F13" s="329">
        <f t="shared" si="0"/>
        <v>0.015</v>
      </c>
      <c r="G13" s="330">
        <v>0.419</v>
      </c>
      <c r="H13" s="328">
        <v>10</v>
      </c>
      <c r="I13" s="331">
        <f t="shared" si="2"/>
        <v>0.0419</v>
      </c>
      <c r="J13" s="332">
        <v>0.05</v>
      </c>
      <c r="K13" s="328" t="s">
        <v>24</v>
      </c>
      <c r="L13" s="331" t="s">
        <v>27</v>
      </c>
      <c r="M13" s="292"/>
      <c r="N13" s="292"/>
      <c r="O13" s="181"/>
      <c r="P13" s="7"/>
      <c r="Q13" s="7"/>
      <c r="R13" s="7"/>
      <c r="S13" s="7"/>
      <c r="T13" s="7"/>
      <c r="U13" s="7"/>
      <c r="V13" s="7"/>
      <c r="W13" s="7"/>
      <c r="X13" s="7"/>
      <c r="Y13" s="7"/>
      <c r="Z13" s="7"/>
    </row>
    <row r="14" spans="1:26" ht="12.75">
      <c r="A14" s="326">
        <v>2007</v>
      </c>
      <c r="B14" s="319" t="s">
        <v>23</v>
      </c>
      <c r="C14" s="327" t="s">
        <v>644</v>
      </c>
      <c r="D14" s="328">
        <v>27</v>
      </c>
      <c r="E14" s="328">
        <v>1000</v>
      </c>
      <c r="F14" s="329">
        <f t="shared" si="0"/>
        <v>0.027</v>
      </c>
      <c r="G14" s="330">
        <v>0.2</v>
      </c>
      <c r="H14" s="328">
        <v>10</v>
      </c>
      <c r="I14" s="331">
        <f>G14/H14</f>
        <v>0.02</v>
      </c>
      <c r="J14" s="332">
        <v>0.05</v>
      </c>
      <c r="K14" s="328" t="s">
        <v>24</v>
      </c>
      <c r="L14" s="331" t="s">
        <v>27</v>
      </c>
      <c r="M14" s="293"/>
      <c r="N14" s="293"/>
      <c r="O14" s="182"/>
      <c r="P14" s="7"/>
      <c r="Q14" s="7"/>
      <c r="R14" s="7"/>
      <c r="S14" s="7"/>
      <c r="T14" s="7"/>
      <c r="U14" s="7"/>
      <c r="V14" s="7"/>
      <c r="W14" s="7"/>
      <c r="X14" s="7"/>
      <c r="Y14" s="7"/>
      <c r="Z14" s="7"/>
    </row>
    <row r="15" spans="1:26" ht="12.75">
      <c r="A15" s="326">
        <v>2008</v>
      </c>
      <c r="B15" s="319" t="s">
        <v>23</v>
      </c>
      <c r="C15" s="327" t="s">
        <v>235</v>
      </c>
      <c r="D15" s="328">
        <v>7.1</v>
      </c>
      <c r="E15" s="328">
        <v>1000</v>
      </c>
      <c r="F15" s="329">
        <f t="shared" si="0"/>
        <v>0.0070999999999999995</v>
      </c>
      <c r="G15" s="330">
        <v>1.9</v>
      </c>
      <c r="H15" s="328">
        <v>50</v>
      </c>
      <c r="I15" s="331">
        <f>G15/H15</f>
        <v>0.038</v>
      </c>
      <c r="J15" s="332">
        <v>0.05</v>
      </c>
      <c r="K15" s="328" t="s">
        <v>24</v>
      </c>
      <c r="L15" s="331" t="s">
        <v>26</v>
      </c>
      <c r="M15" s="293"/>
      <c r="N15" s="293"/>
      <c r="O15" s="182"/>
      <c r="P15" s="7"/>
      <c r="Q15" s="7"/>
      <c r="R15" s="7"/>
      <c r="S15" s="7"/>
      <c r="T15" s="7"/>
      <c r="U15" s="7"/>
      <c r="V15" s="7"/>
      <c r="W15" s="7"/>
      <c r="X15" s="7"/>
      <c r="Y15" s="7"/>
      <c r="Z15" s="7"/>
    </row>
    <row r="16" spans="1:26" ht="12.75">
      <c r="A16" s="326">
        <v>2009</v>
      </c>
      <c r="B16" s="319" t="s">
        <v>23</v>
      </c>
      <c r="C16" s="327" t="s">
        <v>236</v>
      </c>
      <c r="D16" s="328">
        <v>4.6</v>
      </c>
      <c r="E16" s="328">
        <v>1000</v>
      </c>
      <c r="F16" s="329">
        <f t="shared" si="0"/>
        <v>0.0046</v>
      </c>
      <c r="G16" s="330">
        <v>0.14</v>
      </c>
      <c r="H16" s="328">
        <v>10</v>
      </c>
      <c r="I16" s="331">
        <f>G16/H16</f>
        <v>0.014000000000000002</v>
      </c>
      <c r="J16" s="332">
        <v>0.05</v>
      </c>
      <c r="K16" s="328" t="s">
        <v>24</v>
      </c>
      <c r="L16" s="331" t="s">
        <v>27</v>
      </c>
      <c r="M16" s="292"/>
      <c r="N16" s="292"/>
      <c r="O16" s="181"/>
      <c r="P16" s="7"/>
      <c r="Q16" s="7"/>
      <c r="R16" s="7"/>
      <c r="S16" s="7"/>
      <c r="T16" s="7"/>
      <c r="U16" s="7"/>
      <c r="V16" s="7"/>
      <c r="W16" s="7"/>
      <c r="X16" s="7"/>
      <c r="Y16" s="7"/>
      <c r="Z16" s="7"/>
    </row>
    <row r="17" spans="1:26" ht="12.75">
      <c r="A17" s="326">
        <v>2010</v>
      </c>
      <c r="B17" s="319" t="s">
        <v>23</v>
      </c>
      <c r="C17" s="327" t="s">
        <v>645</v>
      </c>
      <c r="D17" s="328">
        <v>0.57</v>
      </c>
      <c r="E17" s="328">
        <v>10000</v>
      </c>
      <c r="F17" s="329">
        <f t="shared" si="0"/>
        <v>5.6999999999999996E-05</v>
      </c>
      <c r="G17" s="330"/>
      <c r="H17" s="328"/>
      <c r="I17" s="331">
        <f aca="true" t="shared" si="3" ref="I17:I23">F17</f>
        <v>5.6999999999999996E-05</v>
      </c>
      <c r="J17" s="332">
        <v>0.05</v>
      </c>
      <c r="K17" s="328" t="s">
        <v>24</v>
      </c>
      <c r="L17" s="331" t="s">
        <v>27</v>
      </c>
      <c r="M17" s="293"/>
      <c r="N17" s="293"/>
      <c r="O17" s="182"/>
      <c r="P17" s="7"/>
      <c r="Q17" s="7"/>
      <c r="R17" s="7"/>
      <c r="S17" s="7"/>
      <c r="T17" s="7"/>
      <c r="U17" s="7"/>
      <c r="V17" s="7"/>
      <c r="W17" s="7"/>
      <c r="X17" s="7"/>
      <c r="Y17" s="7"/>
      <c r="Z17" s="7"/>
    </row>
    <row r="18" spans="1:26" ht="12.75">
      <c r="A18" s="326">
        <v>2011</v>
      </c>
      <c r="B18" s="319" t="s">
        <v>23</v>
      </c>
      <c r="C18" s="327" t="s">
        <v>237</v>
      </c>
      <c r="D18" s="328">
        <v>18</v>
      </c>
      <c r="E18" s="328">
        <v>1000</v>
      </c>
      <c r="F18" s="329">
        <f t="shared" si="0"/>
        <v>0.018</v>
      </c>
      <c r="G18" s="330"/>
      <c r="H18" s="328"/>
      <c r="I18" s="331">
        <f t="shared" si="3"/>
        <v>0.018</v>
      </c>
      <c r="J18" s="332">
        <v>0.05</v>
      </c>
      <c r="K18" s="328" t="s">
        <v>24</v>
      </c>
      <c r="L18" s="331" t="s">
        <v>26</v>
      </c>
      <c r="M18" s="293"/>
      <c r="N18" s="293"/>
      <c r="O18" s="182"/>
      <c r="P18" s="7"/>
      <c r="Q18" s="7"/>
      <c r="R18" s="7"/>
      <c r="S18" s="7"/>
      <c r="T18" s="7"/>
      <c r="U18" s="7"/>
      <c r="V18" s="7"/>
      <c r="W18" s="7"/>
      <c r="X18" s="7"/>
      <c r="Y18" s="7"/>
      <c r="Z18" s="7"/>
    </row>
    <row r="19" spans="1:26" ht="12.75">
      <c r="A19" s="326">
        <v>2012</v>
      </c>
      <c r="B19" s="319" t="s">
        <v>23</v>
      </c>
      <c r="C19" s="327" t="s">
        <v>238</v>
      </c>
      <c r="D19" s="328">
        <v>2</v>
      </c>
      <c r="E19" s="328">
        <v>1000</v>
      </c>
      <c r="F19" s="329">
        <f t="shared" si="0"/>
        <v>0.002</v>
      </c>
      <c r="G19" s="330"/>
      <c r="H19" s="328"/>
      <c r="I19" s="331">
        <f t="shared" si="3"/>
        <v>0.002</v>
      </c>
      <c r="J19" s="332">
        <v>0.05</v>
      </c>
      <c r="K19" s="328" t="s">
        <v>24</v>
      </c>
      <c r="L19" s="331" t="s">
        <v>26</v>
      </c>
      <c r="M19" s="293"/>
      <c r="N19" s="293"/>
      <c r="O19" s="182"/>
      <c r="P19" s="7"/>
      <c r="Q19" s="7"/>
      <c r="R19" s="7"/>
      <c r="S19" s="7"/>
      <c r="T19" s="7"/>
      <c r="U19" s="7"/>
      <c r="V19" s="7"/>
      <c r="W19" s="7"/>
      <c r="X19" s="7"/>
      <c r="Y19" s="7"/>
      <c r="Z19" s="7"/>
    </row>
    <row r="20" spans="1:26" ht="12.75">
      <c r="A20" s="326">
        <v>2013</v>
      </c>
      <c r="B20" s="319" t="s">
        <v>23</v>
      </c>
      <c r="C20" s="327" t="s">
        <v>239</v>
      </c>
      <c r="D20" s="328">
        <v>0.73</v>
      </c>
      <c r="E20" s="328">
        <v>1000</v>
      </c>
      <c r="F20" s="329">
        <f t="shared" si="0"/>
        <v>0.00073</v>
      </c>
      <c r="G20" s="330"/>
      <c r="H20" s="328"/>
      <c r="I20" s="331">
        <f t="shared" si="3"/>
        <v>0.00073</v>
      </c>
      <c r="J20" s="332">
        <v>0.05</v>
      </c>
      <c r="K20" s="328" t="s">
        <v>24</v>
      </c>
      <c r="L20" s="331" t="s">
        <v>26</v>
      </c>
      <c r="M20" s="293"/>
      <c r="N20" s="293"/>
      <c r="O20" s="182"/>
      <c r="P20" s="7"/>
      <c r="Q20" s="7"/>
      <c r="R20" s="7"/>
      <c r="S20" s="7"/>
      <c r="T20" s="7"/>
      <c r="U20" s="7"/>
      <c r="V20" s="7"/>
      <c r="W20" s="7"/>
      <c r="X20" s="7"/>
      <c r="Y20" s="7"/>
      <c r="Z20" s="7"/>
    </row>
    <row r="21" spans="1:26" ht="12.75">
      <c r="A21" s="326">
        <v>2014</v>
      </c>
      <c r="B21" s="319" t="s">
        <v>23</v>
      </c>
      <c r="C21" s="327" t="s">
        <v>240</v>
      </c>
      <c r="D21" s="328">
        <v>100</v>
      </c>
      <c r="E21" s="328">
        <v>1000</v>
      </c>
      <c r="F21" s="329">
        <f t="shared" si="0"/>
        <v>0.1</v>
      </c>
      <c r="G21" s="330"/>
      <c r="H21" s="328"/>
      <c r="I21" s="331">
        <f t="shared" si="3"/>
        <v>0.1</v>
      </c>
      <c r="J21" s="332">
        <v>0.05</v>
      </c>
      <c r="K21" s="328" t="s">
        <v>24</v>
      </c>
      <c r="L21" s="331" t="s">
        <v>26</v>
      </c>
      <c r="M21" s="292"/>
      <c r="N21" s="292"/>
      <c r="O21" s="181"/>
      <c r="P21" s="7"/>
      <c r="Q21" s="7"/>
      <c r="R21" s="7"/>
      <c r="S21" s="7"/>
      <c r="T21" s="7"/>
      <c r="U21" s="7"/>
      <c r="V21" s="7"/>
      <c r="W21" s="7"/>
      <c r="X21" s="7"/>
      <c r="Y21" s="7"/>
      <c r="Z21" s="7"/>
    </row>
    <row r="22" spans="1:26" ht="12.75">
      <c r="A22" s="326">
        <v>2015</v>
      </c>
      <c r="B22" s="319" t="s">
        <v>23</v>
      </c>
      <c r="C22" s="327" t="s">
        <v>241</v>
      </c>
      <c r="D22" s="328">
        <v>6.6</v>
      </c>
      <c r="E22" s="328">
        <v>1000</v>
      </c>
      <c r="F22" s="329">
        <f t="shared" si="0"/>
        <v>0.0066</v>
      </c>
      <c r="G22" s="330"/>
      <c r="H22" s="328"/>
      <c r="I22" s="331">
        <f t="shared" si="3"/>
        <v>0.0066</v>
      </c>
      <c r="J22" s="332">
        <v>0.05</v>
      </c>
      <c r="K22" s="328" t="s">
        <v>24</v>
      </c>
      <c r="L22" s="331" t="s">
        <v>26</v>
      </c>
      <c r="M22" s="292"/>
      <c r="N22" s="292"/>
      <c r="O22" s="181"/>
      <c r="P22" s="7"/>
      <c r="Q22" s="7"/>
      <c r="R22" s="7"/>
      <c r="S22" s="7"/>
      <c r="T22" s="7"/>
      <c r="U22" s="7"/>
      <c r="V22" s="7"/>
      <c r="W22" s="7"/>
      <c r="X22" s="7"/>
      <c r="Y22" s="7"/>
      <c r="Z22" s="7"/>
    </row>
    <row r="23" spans="1:26" ht="12.75">
      <c r="A23" s="326">
        <v>2016</v>
      </c>
      <c r="B23" s="319" t="s">
        <v>23</v>
      </c>
      <c r="C23" s="327" t="s">
        <v>242</v>
      </c>
      <c r="D23" s="328">
        <v>0.88</v>
      </c>
      <c r="E23" s="328">
        <v>1000</v>
      </c>
      <c r="F23" s="329">
        <f t="shared" si="0"/>
        <v>0.00088</v>
      </c>
      <c r="G23" s="330"/>
      <c r="H23" s="328"/>
      <c r="I23" s="331">
        <f t="shared" si="3"/>
        <v>0.00088</v>
      </c>
      <c r="J23" s="332">
        <v>0.05</v>
      </c>
      <c r="K23" s="328" t="s">
        <v>24</v>
      </c>
      <c r="L23" s="331" t="s">
        <v>26</v>
      </c>
      <c r="M23" s="292"/>
      <c r="N23" s="292"/>
      <c r="O23" s="181"/>
      <c r="P23" s="7"/>
      <c r="Q23" s="7"/>
      <c r="R23" s="7"/>
      <c r="S23" s="7"/>
      <c r="T23" s="7"/>
      <c r="U23" s="7"/>
      <c r="V23" s="7"/>
      <c r="W23" s="7"/>
      <c r="X23" s="7"/>
      <c r="Y23" s="7"/>
      <c r="Z23" s="7"/>
    </row>
    <row r="24" spans="1:26" ht="12.75">
      <c r="A24" s="326">
        <v>2017</v>
      </c>
      <c r="B24" s="319" t="s">
        <v>23</v>
      </c>
      <c r="C24" s="327" t="s">
        <v>243</v>
      </c>
      <c r="D24" s="328">
        <v>1.96</v>
      </c>
      <c r="E24" s="328">
        <v>1000</v>
      </c>
      <c r="F24" s="329">
        <f t="shared" si="0"/>
        <v>0.00196</v>
      </c>
      <c r="G24" s="330"/>
      <c r="H24" s="328"/>
      <c r="I24" s="331">
        <f>F24</f>
        <v>0.00196</v>
      </c>
      <c r="J24" s="332">
        <v>0.5</v>
      </c>
      <c r="K24" s="328" t="s">
        <v>28</v>
      </c>
      <c r="L24" s="331" t="s">
        <v>26</v>
      </c>
      <c r="M24" s="292"/>
      <c r="N24" s="292"/>
      <c r="O24" s="181"/>
      <c r="P24" s="7"/>
      <c r="Q24" s="7"/>
      <c r="R24" s="7"/>
      <c r="S24" s="7"/>
      <c r="T24" s="7"/>
      <c r="U24" s="7"/>
      <c r="V24" s="7"/>
      <c r="W24" s="7"/>
      <c r="X24" s="7"/>
      <c r="Y24" s="7"/>
      <c r="Z24" s="7"/>
    </row>
    <row r="25" spans="1:26" ht="12.75">
      <c r="A25" s="333">
        <v>2018</v>
      </c>
      <c r="B25" s="319" t="s">
        <v>23</v>
      </c>
      <c r="C25" s="334" t="s">
        <v>646</v>
      </c>
      <c r="D25" s="328">
        <v>10</v>
      </c>
      <c r="E25" s="328">
        <v>1000</v>
      </c>
      <c r="F25" s="329">
        <v>0.01</v>
      </c>
      <c r="G25" s="330"/>
      <c r="H25" s="328"/>
      <c r="I25" s="331">
        <v>0.01</v>
      </c>
      <c r="J25" s="332">
        <v>0.05</v>
      </c>
      <c r="K25" s="328" t="s">
        <v>24</v>
      </c>
      <c r="L25" s="331" t="s">
        <v>26</v>
      </c>
      <c r="M25" s="292"/>
      <c r="N25" s="292"/>
      <c r="O25" s="181"/>
      <c r="P25" s="7"/>
      <c r="Q25" s="7"/>
      <c r="R25" s="7"/>
      <c r="S25" s="7"/>
      <c r="T25" s="7"/>
      <c r="U25" s="7"/>
      <c r="V25" s="7"/>
      <c r="W25" s="7"/>
      <c r="X25" s="7"/>
      <c r="Y25" s="7"/>
      <c r="Z25" s="7"/>
    </row>
    <row r="26" spans="1:26" ht="12.75">
      <c r="A26" s="333">
        <v>2019</v>
      </c>
      <c r="B26" s="319" t="s">
        <v>23</v>
      </c>
      <c r="C26" s="334" t="s">
        <v>647</v>
      </c>
      <c r="D26" s="328">
        <v>6.1</v>
      </c>
      <c r="E26" s="328">
        <v>1000</v>
      </c>
      <c r="F26" s="329">
        <f aca="true" t="shared" si="4" ref="F26:F29">D26/E26</f>
        <v>0.0060999999999999995</v>
      </c>
      <c r="G26" s="330"/>
      <c r="H26" s="328"/>
      <c r="I26" s="331">
        <f>F26</f>
        <v>0.0060999999999999995</v>
      </c>
      <c r="J26" s="332">
        <v>0.05</v>
      </c>
      <c r="K26" s="328" t="s">
        <v>24</v>
      </c>
      <c r="L26" s="331" t="s">
        <v>26</v>
      </c>
      <c r="M26" s="292"/>
      <c r="N26" s="292"/>
      <c r="O26" s="181"/>
      <c r="P26" s="7"/>
      <c r="Q26" s="7"/>
      <c r="R26" s="7"/>
      <c r="S26" s="7"/>
      <c r="T26" s="7"/>
      <c r="U26" s="7"/>
      <c r="V26" s="7"/>
      <c r="W26" s="7"/>
      <c r="X26" s="7"/>
      <c r="Y26" s="7"/>
      <c r="Z26" s="7"/>
    </row>
    <row r="27" spans="1:26" ht="23">
      <c r="A27" s="335">
        <v>2020</v>
      </c>
      <c r="B27" s="319" t="s">
        <v>23</v>
      </c>
      <c r="C27" s="336" t="s">
        <v>648</v>
      </c>
      <c r="D27" s="328">
        <v>10</v>
      </c>
      <c r="E27" s="328">
        <v>1000</v>
      </c>
      <c r="F27" s="329">
        <f t="shared" si="4"/>
        <v>0.01</v>
      </c>
      <c r="G27" s="330"/>
      <c r="H27" s="328"/>
      <c r="I27" s="331">
        <f>F27</f>
        <v>0.01</v>
      </c>
      <c r="J27" s="332">
        <v>0.05</v>
      </c>
      <c r="K27" s="328" t="s">
        <v>24</v>
      </c>
      <c r="L27" s="331" t="s">
        <v>26</v>
      </c>
      <c r="M27" s="292"/>
      <c r="N27" s="292"/>
      <c r="O27" s="181"/>
      <c r="P27" s="7"/>
      <c r="Q27" s="7"/>
      <c r="R27" s="7"/>
      <c r="S27" s="7"/>
      <c r="T27" s="7"/>
      <c r="U27" s="7"/>
      <c r="V27" s="7"/>
      <c r="W27" s="7"/>
      <c r="X27" s="7"/>
      <c r="Y27" s="7"/>
      <c r="Z27" s="7"/>
    </row>
    <row r="28" spans="1:26" ht="12.75">
      <c r="A28" s="326">
        <v>2021</v>
      </c>
      <c r="B28" s="319" t="s">
        <v>23</v>
      </c>
      <c r="C28" s="327" t="s">
        <v>244</v>
      </c>
      <c r="D28" s="328">
        <v>9</v>
      </c>
      <c r="E28" s="328">
        <v>10000</v>
      </c>
      <c r="F28" s="329">
        <f t="shared" si="4"/>
        <v>0.0009</v>
      </c>
      <c r="G28" s="330">
        <v>0.25</v>
      </c>
      <c r="H28" s="328">
        <v>50</v>
      </c>
      <c r="I28" s="331">
        <f>G28/H28</f>
        <v>0.005</v>
      </c>
      <c r="J28" s="332">
        <v>0.05</v>
      </c>
      <c r="K28" s="328" t="s">
        <v>24</v>
      </c>
      <c r="L28" s="331" t="s">
        <v>25</v>
      </c>
      <c r="M28" s="293"/>
      <c r="N28" s="293"/>
      <c r="O28" s="182"/>
      <c r="P28" s="7"/>
      <c r="Q28" s="7"/>
      <c r="R28" s="7"/>
      <c r="S28" s="7"/>
      <c r="T28" s="7"/>
      <c r="U28" s="7"/>
      <c r="V28" s="7"/>
      <c r="W28" s="7"/>
      <c r="X28" s="7"/>
      <c r="Y28" s="7"/>
      <c r="Z28" s="7"/>
    </row>
    <row r="29" spans="1:26" ht="12.75">
      <c r="A29" s="326">
        <v>2022</v>
      </c>
      <c r="B29" s="319" t="s">
        <v>23</v>
      </c>
      <c r="C29" s="327" t="s">
        <v>245</v>
      </c>
      <c r="D29" s="328">
        <v>0.8065</v>
      </c>
      <c r="E29" s="328">
        <v>1000</v>
      </c>
      <c r="F29" s="329">
        <f t="shared" si="4"/>
        <v>0.0008065</v>
      </c>
      <c r="G29" s="330">
        <v>0.23</v>
      </c>
      <c r="H29" s="328">
        <v>50</v>
      </c>
      <c r="I29" s="331">
        <f>G29/H29</f>
        <v>0.0046</v>
      </c>
      <c r="J29" s="332">
        <v>0.05</v>
      </c>
      <c r="K29" s="328" t="s">
        <v>24</v>
      </c>
      <c r="L29" s="331" t="s">
        <v>25</v>
      </c>
      <c r="M29" s="293"/>
      <c r="N29" s="293"/>
      <c r="O29" s="182"/>
      <c r="P29" s="7"/>
      <c r="Q29" s="7"/>
      <c r="R29" s="7"/>
      <c r="S29" s="7"/>
      <c r="T29" s="7"/>
      <c r="U29" s="7"/>
      <c r="V29" s="7"/>
      <c r="W29" s="7"/>
      <c r="X29" s="7"/>
      <c r="Y29" s="7"/>
      <c r="Z29" s="7"/>
    </row>
    <row r="30" spans="1:26" ht="12.75">
      <c r="A30" s="326">
        <v>2023</v>
      </c>
      <c r="B30" s="319" t="s">
        <v>23</v>
      </c>
      <c r="C30" s="327" t="s">
        <v>246</v>
      </c>
      <c r="D30" s="328">
        <v>3.3</v>
      </c>
      <c r="E30" s="328">
        <v>10000</v>
      </c>
      <c r="F30" s="329">
        <f>D30/E30</f>
        <v>0.00033</v>
      </c>
      <c r="G30" s="330">
        <v>1.2</v>
      </c>
      <c r="H30" s="328">
        <v>50</v>
      </c>
      <c r="I30" s="331">
        <f>G30/H30</f>
        <v>0.024</v>
      </c>
      <c r="J30" s="332">
        <v>0.05</v>
      </c>
      <c r="K30" s="328" t="s">
        <v>24</v>
      </c>
      <c r="L30" s="331" t="s">
        <v>25</v>
      </c>
      <c r="M30" s="292"/>
      <c r="N30" s="292"/>
      <c r="O30" s="181"/>
      <c r="P30" s="7"/>
      <c r="Q30" s="7"/>
      <c r="R30" s="7"/>
      <c r="S30" s="7"/>
      <c r="T30" s="7"/>
      <c r="U30" s="7"/>
      <c r="V30" s="7"/>
      <c r="W30" s="7"/>
      <c r="X30" s="7"/>
      <c r="Y30" s="7"/>
      <c r="Z30" s="7"/>
    </row>
    <row r="31" spans="1:26" ht="12.75">
      <c r="A31" s="326">
        <v>2024</v>
      </c>
      <c r="B31" s="319" t="s">
        <v>23</v>
      </c>
      <c r="C31" s="327" t="s">
        <v>247</v>
      </c>
      <c r="D31" s="328">
        <v>0.5</v>
      </c>
      <c r="E31" s="328">
        <v>5000</v>
      </c>
      <c r="F31" s="329">
        <f t="shared" si="0"/>
        <v>0.0001</v>
      </c>
      <c r="G31" s="330"/>
      <c r="H31" s="328"/>
      <c r="I31" s="331">
        <f>F31</f>
        <v>0.0001</v>
      </c>
      <c r="J31" s="332">
        <v>0.05</v>
      </c>
      <c r="K31" s="328" t="s">
        <v>24</v>
      </c>
      <c r="L31" s="331" t="s">
        <v>25</v>
      </c>
      <c r="M31" s="293"/>
      <c r="N31" s="293"/>
      <c r="O31" s="182"/>
      <c r="P31" s="7"/>
      <c r="Q31" s="7"/>
      <c r="R31" s="7"/>
      <c r="S31" s="7"/>
      <c r="T31" s="7"/>
      <c r="U31" s="7"/>
      <c r="V31" s="7"/>
      <c r="W31" s="7"/>
      <c r="X31" s="7"/>
      <c r="Y31" s="7"/>
      <c r="Z31" s="7"/>
    </row>
    <row r="32" spans="1:26" ht="12.75">
      <c r="A32" s="333">
        <v>2025</v>
      </c>
      <c r="B32" s="319" t="s">
        <v>23</v>
      </c>
      <c r="C32" s="327" t="s">
        <v>649</v>
      </c>
      <c r="D32" s="328">
        <v>22</v>
      </c>
      <c r="E32" s="328">
        <v>1000</v>
      </c>
      <c r="F32" s="329">
        <f t="shared" si="0"/>
        <v>0.022</v>
      </c>
      <c r="G32" s="330">
        <v>10</v>
      </c>
      <c r="H32" s="328">
        <v>100</v>
      </c>
      <c r="I32" s="331">
        <f aca="true" t="shared" si="5" ref="I32">G32/H32</f>
        <v>0.1</v>
      </c>
      <c r="J32" s="332">
        <v>0.05</v>
      </c>
      <c r="K32" s="328" t="s">
        <v>24</v>
      </c>
      <c r="L32" s="331" t="s">
        <v>27</v>
      </c>
      <c r="M32" s="292"/>
      <c r="N32" s="292"/>
      <c r="O32" s="181"/>
      <c r="P32" s="7"/>
      <c r="Q32" s="7"/>
      <c r="R32" s="7"/>
      <c r="S32" s="7"/>
      <c r="T32" s="7"/>
      <c r="U32" s="7"/>
      <c r="V32" s="7"/>
      <c r="W32" s="7"/>
      <c r="X32" s="7"/>
      <c r="Y32" s="7"/>
      <c r="Z32" s="7"/>
    </row>
    <row r="33" spans="1:26" ht="12.75">
      <c r="A33" s="326">
        <v>2026</v>
      </c>
      <c r="B33" s="319" t="s">
        <v>23</v>
      </c>
      <c r="C33" s="327" t="s">
        <v>29</v>
      </c>
      <c r="D33" s="328">
        <v>56</v>
      </c>
      <c r="E33" s="328">
        <v>10000</v>
      </c>
      <c r="F33" s="329">
        <f t="shared" si="0"/>
        <v>0.0056</v>
      </c>
      <c r="G33" s="330"/>
      <c r="H33" s="328"/>
      <c r="I33" s="331">
        <f>F33</f>
        <v>0.0056</v>
      </c>
      <c r="J33" s="332">
        <v>0.05</v>
      </c>
      <c r="K33" s="328" t="s">
        <v>24</v>
      </c>
      <c r="L33" s="331" t="s">
        <v>27</v>
      </c>
      <c r="M33" s="293"/>
      <c r="N33" s="293"/>
      <c r="O33" s="182"/>
      <c r="P33" s="7"/>
      <c r="Q33" s="7"/>
      <c r="R33" s="7"/>
      <c r="S33" s="7"/>
      <c r="T33" s="7"/>
      <c r="U33" s="7"/>
      <c r="V33" s="7"/>
      <c r="W33" s="7"/>
      <c r="X33" s="7"/>
      <c r="Y33" s="7"/>
      <c r="Z33" s="7"/>
    </row>
    <row r="34" spans="1:26" ht="12.75">
      <c r="A34" s="326">
        <v>2027</v>
      </c>
      <c r="B34" s="319" t="s">
        <v>23</v>
      </c>
      <c r="C34" s="327" t="s">
        <v>248</v>
      </c>
      <c r="D34" s="328">
        <v>100</v>
      </c>
      <c r="E34" s="328">
        <v>10000</v>
      </c>
      <c r="F34" s="329">
        <f t="shared" si="0"/>
        <v>0.01</v>
      </c>
      <c r="G34" s="330"/>
      <c r="H34" s="328"/>
      <c r="I34" s="331">
        <f>F34</f>
        <v>0.01</v>
      </c>
      <c r="J34" s="332">
        <v>0.05</v>
      </c>
      <c r="K34" s="328" t="s">
        <v>24</v>
      </c>
      <c r="L34" s="331" t="s">
        <v>26</v>
      </c>
      <c r="M34" s="293"/>
      <c r="N34" s="293"/>
      <c r="O34" s="182"/>
      <c r="P34" s="7"/>
      <c r="Q34" s="7"/>
      <c r="R34" s="7"/>
      <c r="S34" s="7"/>
      <c r="T34" s="7"/>
      <c r="U34" s="7"/>
      <c r="V34" s="7"/>
      <c r="W34" s="7"/>
      <c r="X34" s="7"/>
      <c r="Y34" s="7"/>
      <c r="Z34" s="7"/>
    </row>
    <row r="35" spans="1:26" ht="12.75">
      <c r="A35" s="326">
        <v>2028</v>
      </c>
      <c r="B35" s="319" t="s">
        <v>23</v>
      </c>
      <c r="C35" s="327" t="s">
        <v>650</v>
      </c>
      <c r="D35" s="328">
        <v>8.8</v>
      </c>
      <c r="E35" s="328">
        <v>1000</v>
      </c>
      <c r="F35" s="329">
        <f t="shared" si="0"/>
        <v>0.0088</v>
      </c>
      <c r="G35" s="330">
        <v>5</v>
      </c>
      <c r="H35" s="328">
        <v>100</v>
      </c>
      <c r="I35" s="331">
        <f>G35/H35</f>
        <v>0.05</v>
      </c>
      <c r="J35" s="332">
        <v>0.05</v>
      </c>
      <c r="K35" s="328" t="s">
        <v>24</v>
      </c>
      <c r="L35" s="331" t="s">
        <v>26</v>
      </c>
      <c r="M35" s="293"/>
      <c r="N35" s="293"/>
      <c r="O35" s="182"/>
      <c r="P35" s="7"/>
      <c r="Q35" s="7"/>
      <c r="R35" s="7"/>
      <c r="S35" s="7"/>
      <c r="T35" s="7"/>
      <c r="U35" s="7"/>
      <c r="V35" s="7"/>
      <c r="W35" s="7"/>
      <c r="X35" s="7"/>
      <c r="Y35" s="7"/>
      <c r="Z35" s="7"/>
    </row>
    <row r="36" spans="1:26" ht="12.75">
      <c r="A36" s="326">
        <v>2029</v>
      </c>
      <c r="B36" s="319" t="s">
        <v>23</v>
      </c>
      <c r="C36" s="327" t="s">
        <v>249</v>
      </c>
      <c r="D36" s="328">
        <v>38</v>
      </c>
      <c r="E36" s="328">
        <v>1000</v>
      </c>
      <c r="F36" s="329">
        <f t="shared" si="0"/>
        <v>0.038</v>
      </c>
      <c r="G36" s="330"/>
      <c r="H36" s="328"/>
      <c r="I36" s="331">
        <f aca="true" t="shared" si="6" ref="I36:I38">F36</f>
        <v>0.038</v>
      </c>
      <c r="J36" s="332">
        <v>0.05</v>
      </c>
      <c r="K36" s="328" t="s">
        <v>24</v>
      </c>
      <c r="L36" s="331" t="s">
        <v>25</v>
      </c>
      <c r="M36" s="293"/>
      <c r="N36" s="293"/>
      <c r="O36" s="182"/>
      <c r="P36" s="7"/>
      <c r="Q36" s="7"/>
      <c r="R36" s="7"/>
      <c r="S36" s="7"/>
      <c r="T36" s="7"/>
      <c r="U36" s="7"/>
      <c r="V36" s="7"/>
      <c r="W36" s="7"/>
      <c r="X36" s="7"/>
      <c r="Y36" s="7"/>
      <c r="Z36" s="7"/>
    </row>
    <row r="37" spans="1:26" ht="12.75">
      <c r="A37" s="318">
        <v>2030</v>
      </c>
      <c r="B37" s="319" t="s">
        <v>23</v>
      </c>
      <c r="C37" s="320" t="s">
        <v>651</v>
      </c>
      <c r="D37" s="325">
        <v>0.1</v>
      </c>
      <c r="E37" s="321">
        <v>1000</v>
      </c>
      <c r="F37" s="322">
        <f t="shared" si="0"/>
        <v>0.0001</v>
      </c>
      <c r="G37" s="323">
        <v>0.32</v>
      </c>
      <c r="H37" s="321">
        <v>100</v>
      </c>
      <c r="I37" s="324">
        <f>G37/H37</f>
        <v>0.0032</v>
      </c>
      <c r="J37" s="325">
        <v>0.5</v>
      </c>
      <c r="K37" s="321" t="s">
        <v>28</v>
      </c>
      <c r="L37" s="324" t="s">
        <v>26</v>
      </c>
      <c r="M37" s="293"/>
      <c r="N37" s="293"/>
      <c r="O37" s="182"/>
      <c r="P37" s="7"/>
      <c r="Q37" s="7"/>
      <c r="R37" s="7"/>
      <c r="S37" s="7"/>
      <c r="T37" s="7"/>
      <c r="U37" s="7"/>
      <c r="V37" s="7"/>
      <c r="W37" s="7"/>
      <c r="X37" s="7"/>
      <c r="Y37" s="7"/>
      <c r="Z37" s="7"/>
    </row>
    <row r="38" spans="1:26" ht="12.75">
      <c r="A38" s="326">
        <v>2031</v>
      </c>
      <c r="B38" s="319" t="s">
        <v>23</v>
      </c>
      <c r="C38" s="327" t="s">
        <v>250</v>
      </c>
      <c r="D38" s="332">
        <v>238</v>
      </c>
      <c r="E38" s="328">
        <v>1000</v>
      </c>
      <c r="F38" s="329">
        <f t="shared" si="0"/>
        <v>0.238</v>
      </c>
      <c r="G38" s="330"/>
      <c r="H38" s="328"/>
      <c r="I38" s="331">
        <f t="shared" si="6"/>
        <v>0.238</v>
      </c>
      <c r="J38" s="332">
        <v>0.05</v>
      </c>
      <c r="K38" s="328" t="s">
        <v>24</v>
      </c>
      <c r="L38" s="331" t="s">
        <v>27</v>
      </c>
      <c r="M38" s="293"/>
      <c r="N38" s="293"/>
      <c r="O38" s="182"/>
      <c r="P38" s="7"/>
      <c r="Q38" s="7"/>
      <c r="R38" s="7"/>
      <c r="S38" s="7"/>
      <c r="T38" s="7"/>
      <c r="U38" s="7"/>
      <c r="V38" s="7"/>
      <c r="W38" s="7"/>
      <c r="X38" s="7"/>
      <c r="Y38" s="7"/>
      <c r="Z38" s="7"/>
    </row>
    <row r="39" spans="1:26" ht="13" thickBot="1">
      <c r="A39" s="337">
        <v>2032</v>
      </c>
      <c r="B39" s="338" t="s">
        <v>23</v>
      </c>
      <c r="C39" s="339" t="s">
        <v>251</v>
      </c>
      <c r="D39" s="340">
        <v>25.1</v>
      </c>
      <c r="E39" s="341">
        <v>1000</v>
      </c>
      <c r="F39" s="342">
        <f>D39/E39</f>
        <v>0.0251</v>
      </c>
      <c r="G39" s="343">
        <v>12.5</v>
      </c>
      <c r="H39" s="341">
        <v>50</v>
      </c>
      <c r="I39" s="344">
        <f>G39/H39</f>
        <v>0.25</v>
      </c>
      <c r="J39" s="340">
        <v>0.05</v>
      </c>
      <c r="K39" s="341" t="s">
        <v>24</v>
      </c>
      <c r="L39" s="344" t="s">
        <v>27</v>
      </c>
      <c r="M39" s="293"/>
      <c r="N39" s="293"/>
      <c r="O39" s="182"/>
      <c r="P39" s="7"/>
      <c r="Q39" s="7"/>
      <c r="R39" s="7"/>
      <c r="S39" s="7"/>
      <c r="T39" s="7"/>
      <c r="U39" s="7"/>
      <c r="V39" s="7"/>
      <c r="W39" s="7"/>
      <c r="X39" s="7"/>
      <c r="Y39" s="7"/>
      <c r="Z39" s="7"/>
    </row>
    <row r="40" spans="1:26" ht="12.75">
      <c r="A40" s="345">
        <v>2107</v>
      </c>
      <c r="B40" s="318" t="s">
        <v>930</v>
      </c>
      <c r="C40" s="346" t="s">
        <v>654</v>
      </c>
      <c r="D40" s="330">
        <v>37.3</v>
      </c>
      <c r="E40" s="328">
        <v>5000</v>
      </c>
      <c r="F40" s="331">
        <f aca="true" t="shared" si="7" ref="F40:F64">D40/E40</f>
        <v>0.00746</v>
      </c>
      <c r="G40" s="330">
        <v>1.5</v>
      </c>
      <c r="H40" s="328">
        <v>10</v>
      </c>
      <c r="I40" s="331">
        <f>G40/H40</f>
        <v>0.15</v>
      </c>
      <c r="J40" s="330">
        <v>0.05</v>
      </c>
      <c r="K40" s="328" t="s">
        <v>24</v>
      </c>
      <c r="L40" s="331" t="s">
        <v>26</v>
      </c>
      <c r="M40" s="292"/>
      <c r="N40" s="292"/>
      <c r="O40" s="181"/>
      <c r="P40" s="7"/>
      <c r="Q40" s="7"/>
      <c r="R40" s="7"/>
      <c r="S40" s="7"/>
      <c r="T40" s="7"/>
      <c r="U40" s="7"/>
      <c r="V40" s="7"/>
      <c r="W40" s="7"/>
      <c r="X40" s="7"/>
      <c r="Y40" s="7"/>
      <c r="Z40" s="7"/>
    </row>
    <row r="41" spans="1:26" ht="12.75">
      <c r="A41" s="345">
        <v>2108</v>
      </c>
      <c r="B41" s="318" t="s">
        <v>930</v>
      </c>
      <c r="C41" s="346" t="s">
        <v>655</v>
      </c>
      <c r="D41" s="330">
        <v>5</v>
      </c>
      <c r="E41" s="328">
        <v>1000</v>
      </c>
      <c r="F41" s="331">
        <f t="shared" si="7"/>
        <v>0.005</v>
      </c>
      <c r="G41" s="330">
        <v>1.5</v>
      </c>
      <c r="H41" s="328">
        <v>10</v>
      </c>
      <c r="I41" s="331">
        <v>0.15</v>
      </c>
      <c r="J41" s="330">
        <v>0.05</v>
      </c>
      <c r="K41" s="328" t="s">
        <v>24</v>
      </c>
      <c r="L41" s="331" t="s">
        <v>27</v>
      </c>
      <c r="M41" s="292"/>
      <c r="N41" s="292"/>
      <c r="O41" s="181"/>
      <c r="P41" s="7"/>
      <c r="Q41" s="7"/>
      <c r="R41" s="7"/>
      <c r="S41" s="7"/>
      <c r="T41" s="7"/>
      <c r="U41" s="7"/>
      <c r="V41" s="7"/>
      <c r="W41" s="7"/>
      <c r="X41" s="7"/>
      <c r="Y41" s="7"/>
      <c r="Z41" s="7"/>
    </row>
    <row r="42" spans="1:26" ht="12.75">
      <c r="A42" s="345">
        <v>2112</v>
      </c>
      <c r="B42" s="318" t="s">
        <v>930</v>
      </c>
      <c r="C42" s="346" t="s">
        <v>659</v>
      </c>
      <c r="D42" s="330">
        <v>0.23</v>
      </c>
      <c r="E42" s="328">
        <v>1000</v>
      </c>
      <c r="F42" s="331">
        <f t="shared" si="7"/>
        <v>0.00023</v>
      </c>
      <c r="G42" s="330">
        <v>0.18</v>
      </c>
      <c r="H42" s="328">
        <v>100</v>
      </c>
      <c r="I42" s="331">
        <f aca="true" t="shared" si="8" ref="I42:I47">G42/H42</f>
        <v>0.0018</v>
      </c>
      <c r="J42" s="330">
        <v>0.05</v>
      </c>
      <c r="K42" s="328" t="s">
        <v>24</v>
      </c>
      <c r="L42" s="331" t="s">
        <v>26</v>
      </c>
      <c r="M42" s="292"/>
      <c r="N42" s="292"/>
      <c r="O42" s="181"/>
      <c r="P42" s="7"/>
      <c r="Q42" s="7"/>
      <c r="R42" s="7"/>
      <c r="S42" s="7"/>
      <c r="T42" s="7"/>
      <c r="U42" s="7"/>
      <c r="V42" s="7"/>
      <c r="W42" s="7"/>
      <c r="X42" s="7"/>
      <c r="Y42" s="7"/>
      <c r="Z42" s="7"/>
    </row>
    <row r="43" spans="1:26" ht="12.75">
      <c r="A43" s="345">
        <v>2113</v>
      </c>
      <c r="B43" s="318" t="s">
        <v>930</v>
      </c>
      <c r="C43" s="346" t="s">
        <v>660</v>
      </c>
      <c r="D43" s="330">
        <v>1</v>
      </c>
      <c r="E43" s="328">
        <v>1000</v>
      </c>
      <c r="F43" s="331">
        <f t="shared" si="7"/>
        <v>0.001</v>
      </c>
      <c r="G43" s="330">
        <v>0.74</v>
      </c>
      <c r="H43" s="328">
        <v>10</v>
      </c>
      <c r="I43" s="331">
        <f t="shared" si="8"/>
        <v>0.074</v>
      </c>
      <c r="J43" s="330">
        <v>0.05</v>
      </c>
      <c r="K43" s="328" t="s">
        <v>24</v>
      </c>
      <c r="L43" s="331" t="s">
        <v>26</v>
      </c>
      <c r="M43" s="292"/>
      <c r="N43" s="292"/>
      <c r="O43" s="181"/>
      <c r="P43" s="7"/>
      <c r="Q43" s="7"/>
      <c r="R43" s="7"/>
      <c r="S43" s="7"/>
      <c r="T43" s="7"/>
      <c r="U43" s="7"/>
      <c r="V43" s="7"/>
      <c r="W43" s="7"/>
      <c r="X43" s="7"/>
      <c r="Y43" s="7"/>
      <c r="Z43" s="7"/>
    </row>
    <row r="44" spans="1:26" ht="12.75">
      <c r="A44" s="345">
        <v>2114</v>
      </c>
      <c r="B44" s="318" t="s">
        <v>930</v>
      </c>
      <c r="C44" s="346" t="s">
        <v>661</v>
      </c>
      <c r="D44" s="330">
        <v>1</v>
      </c>
      <c r="E44" s="328">
        <v>1000</v>
      </c>
      <c r="F44" s="331">
        <f t="shared" si="7"/>
        <v>0.001</v>
      </c>
      <c r="G44" s="330">
        <v>0.6</v>
      </c>
      <c r="H44" s="328">
        <v>10</v>
      </c>
      <c r="I44" s="331">
        <f t="shared" si="8"/>
        <v>0.06</v>
      </c>
      <c r="J44" s="330">
        <v>0.05</v>
      </c>
      <c r="K44" s="328" t="s">
        <v>24</v>
      </c>
      <c r="L44" s="331" t="s">
        <v>26</v>
      </c>
      <c r="M44" s="292"/>
      <c r="N44" s="292"/>
      <c r="O44" s="181"/>
      <c r="P44" s="7"/>
      <c r="Q44" s="7"/>
      <c r="R44" s="7"/>
      <c r="S44" s="7"/>
      <c r="T44" s="7"/>
      <c r="U44" s="7"/>
      <c r="V44" s="7"/>
      <c r="W44" s="7"/>
      <c r="X44" s="7"/>
      <c r="Y44" s="7"/>
      <c r="Z44" s="7"/>
    </row>
    <row r="45" spans="1:26" ht="12.75">
      <c r="A45" s="345">
        <v>2115</v>
      </c>
      <c r="B45" s="318" t="s">
        <v>930</v>
      </c>
      <c r="C45" s="346" t="s">
        <v>662</v>
      </c>
      <c r="D45" s="330">
        <v>1</v>
      </c>
      <c r="E45" s="328">
        <v>1000</v>
      </c>
      <c r="F45" s="331">
        <f t="shared" si="7"/>
        <v>0.001</v>
      </c>
      <c r="G45" s="330">
        <v>2.5</v>
      </c>
      <c r="H45" s="328">
        <v>10</v>
      </c>
      <c r="I45" s="331">
        <f t="shared" si="8"/>
        <v>0.25</v>
      </c>
      <c r="J45" s="330">
        <v>0.05</v>
      </c>
      <c r="K45" s="328" t="s">
        <v>24</v>
      </c>
      <c r="L45" s="331" t="s">
        <v>26</v>
      </c>
      <c r="M45" s="292"/>
      <c r="N45" s="292"/>
      <c r="O45" s="181"/>
      <c r="P45" s="7"/>
      <c r="Q45" s="7"/>
      <c r="R45" s="7"/>
      <c r="S45" s="7"/>
      <c r="T45" s="7"/>
      <c r="U45" s="7"/>
      <c r="V45" s="7"/>
      <c r="W45" s="7"/>
      <c r="X45" s="7"/>
      <c r="Y45" s="7"/>
      <c r="Z45" s="7"/>
    </row>
    <row r="46" spans="1:26" ht="12.75">
      <c r="A46" s="345">
        <v>2130</v>
      </c>
      <c r="B46" s="318" t="s">
        <v>930</v>
      </c>
      <c r="C46" s="346" t="s">
        <v>252</v>
      </c>
      <c r="D46" s="330">
        <v>0.78</v>
      </c>
      <c r="E46" s="328">
        <v>1000</v>
      </c>
      <c r="F46" s="331">
        <f t="shared" si="7"/>
        <v>0.00078</v>
      </c>
      <c r="G46" s="330">
        <v>0.36</v>
      </c>
      <c r="H46" s="328">
        <v>100</v>
      </c>
      <c r="I46" s="331">
        <f t="shared" si="8"/>
        <v>0.0036</v>
      </c>
      <c r="J46" s="330">
        <v>0.05</v>
      </c>
      <c r="K46" s="328" t="s">
        <v>24</v>
      </c>
      <c r="L46" s="347" t="s">
        <v>26</v>
      </c>
      <c r="M46" s="293"/>
      <c r="N46" s="293"/>
      <c r="O46" s="182"/>
      <c r="P46" s="7"/>
      <c r="Q46" s="7"/>
      <c r="R46" s="7"/>
      <c r="S46" s="7"/>
      <c r="T46" s="7"/>
      <c r="U46" s="7"/>
      <c r="V46" s="7"/>
      <c r="W46" s="7"/>
      <c r="X46" s="7"/>
      <c r="Y46" s="7"/>
      <c r="Z46" s="7"/>
    </row>
    <row r="47" spans="1:26" ht="12.75">
      <c r="A47" s="345">
        <v>2131</v>
      </c>
      <c r="B47" s="318" t="s">
        <v>930</v>
      </c>
      <c r="C47" s="346" t="s">
        <v>676</v>
      </c>
      <c r="D47" s="330">
        <v>3.2</v>
      </c>
      <c r="E47" s="328">
        <v>5000</v>
      </c>
      <c r="F47" s="331">
        <f t="shared" si="7"/>
        <v>0.00064</v>
      </c>
      <c r="G47" s="330">
        <v>1</v>
      </c>
      <c r="H47" s="328">
        <v>100</v>
      </c>
      <c r="I47" s="331">
        <f t="shared" si="8"/>
        <v>0.01</v>
      </c>
      <c r="J47" s="330">
        <v>0.05</v>
      </c>
      <c r="K47" s="328" t="s">
        <v>24</v>
      </c>
      <c r="L47" s="331" t="s">
        <v>26</v>
      </c>
      <c r="M47" s="292"/>
      <c r="N47" s="292"/>
      <c r="O47" s="181"/>
      <c r="P47" s="7"/>
      <c r="Q47" s="7"/>
      <c r="R47" s="7"/>
      <c r="S47" s="7"/>
      <c r="T47" s="7"/>
      <c r="U47" s="7"/>
      <c r="V47" s="7"/>
      <c r="W47" s="7"/>
      <c r="X47" s="7"/>
      <c r="Y47" s="7"/>
      <c r="Z47" s="7"/>
    </row>
    <row r="48" spans="1:26" ht="12.75">
      <c r="A48" s="345">
        <v>2132</v>
      </c>
      <c r="B48" s="318" t="s">
        <v>930</v>
      </c>
      <c r="C48" s="346" t="s">
        <v>253</v>
      </c>
      <c r="D48" s="330">
        <v>10</v>
      </c>
      <c r="E48" s="328">
        <v>1000</v>
      </c>
      <c r="F48" s="331">
        <f t="shared" si="7"/>
        <v>0.01</v>
      </c>
      <c r="G48" s="330"/>
      <c r="H48" s="328"/>
      <c r="I48" s="331">
        <f>F48</f>
        <v>0.01</v>
      </c>
      <c r="J48" s="330">
        <v>0.05</v>
      </c>
      <c r="K48" s="328" t="s">
        <v>24</v>
      </c>
      <c r="L48" s="331" t="s">
        <v>27</v>
      </c>
      <c r="P48" s="7"/>
      <c r="Q48" s="7"/>
      <c r="R48" s="7"/>
      <c r="S48" s="7"/>
      <c r="T48" s="7"/>
      <c r="U48" s="7"/>
      <c r="V48" s="7"/>
      <c r="W48" s="7"/>
      <c r="X48" s="7"/>
      <c r="Y48" s="7"/>
      <c r="Z48" s="7"/>
    </row>
    <row r="49" spans="1:26" ht="12.75">
      <c r="A49" s="345">
        <v>2133</v>
      </c>
      <c r="B49" s="318" t="s">
        <v>930</v>
      </c>
      <c r="C49" s="346" t="s">
        <v>254</v>
      </c>
      <c r="D49" s="330">
        <v>10</v>
      </c>
      <c r="E49" s="328">
        <v>1000</v>
      </c>
      <c r="F49" s="331">
        <f t="shared" si="7"/>
        <v>0.01</v>
      </c>
      <c r="G49" s="330">
        <v>6.25</v>
      </c>
      <c r="H49" s="328">
        <v>50</v>
      </c>
      <c r="I49" s="331">
        <v>0.125</v>
      </c>
      <c r="J49" s="330">
        <v>0.05</v>
      </c>
      <c r="K49" s="328" t="s">
        <v>24</v>
      </c>
      <c r="L49" s="331" t="s">
        <v>27</v>
      </c>
      <c r="P49" s="7"/>
      <c r="Q49" s="7"/>
      <c r="R49" s="7"/>
      <c r="S49" s="7"/>
      <c r="T49" s="7"/>
      <c r="U49" s="7"/>
      <c r="V49" s="7"/>
      <c r="W49" s="7"/>
      <c r="X49" s="7"/>
      <c r="Y49" s="7"/>
      <c r="Z49" s="7"/>
    </row>
    <row r="50" spans="1:26" ht="12.75">
      <c r="A50" s="348">
        <v>2134</v>
      </c>
      <c r="B50" s="318" t="s">
        <v>930</v>
      </c>
      <c r="C50" s="346" t="s">
        <v>677</v>
      </c>
      <c r="D50" s="330">
        <v>28</v>
      </c>
      <c r="E50" s="328">
        <v>1000</v>
      </c>
      <c r="F50" s="331">
        <f t="shared" si="7"/>
        <v>0.028</v>
      </c>
      <c r="G50" s="330">
        <v>1.75</v>
      </c>
      <c r="H50" s="328">
        <v>10</v>
      </c>
      <c r="I50" s="331">
        <f aca="true" t="shared" si="9" ref="I50:I51">G50/H50</f>
        <v>0.175</v>
      </c>
      <c r="J50" s="330">
        <v>0.05</v>
      </c>
      <c r="K50" s="328" t="s">
        <v>24</v>
      </c>
      <c r="L50" s="331" t="s">
        <v>27</v>
      </c>
      <c r="P50" s="7"/>
      <c r="Q50" s="7"/>
      <c r="R50" s="7"/>
      <c r="S50" s="7"/>
      <c r="T50" s="7"/>
      <c r="U50" s="7"/>
      <c r="V50" s="7"/>
      <c r="W50" s="7"/>
      <c r="X50" s="7"/>
      <c r="Y50" s="7"/>
      <c r="Z50" s="7"/>
    </row>
    <row r="51" spans="1:26" ht="12.75">
      <c r="A51" s="345">
        <v>2135</v>
      </c>
      <c r="B51" s="318" t="s">
        <v>930</v>
      </c>
      <c r="C51" s="346" t="s">
        <v>255</v>
      </c>
      <c r="D51" s="330">
        <v>480</v>
      </c>
      <c r="E51" s="328">
        <v>1000</v>
      </c>
      <c r="F51" s="331">
        <f t="shared" si="7"/>
        <v>0.48</v>
      </c>
      <c r="G51" s="330">
        <v>100</v>
      </c>
      <c r="H51" s="328">
        <v>100</v>
      </c>
      <c r="I51" s="331">
        <f t="shared" si="9"/>
        <v>1</v>
      </c>
      <c r="J51" s="330">
        <v>0.05</v>
      </c>
      <c r="K51" s="328" t="s">
        <v>24</v>
      </c>
      <c r="L51" s="331" t="s">
        <v>25</v>
      </c>
      <c r="M51" s="293"/>
      <c r="N51" s="293"/>
      <c r="O51" s="182"/>
      <c r="P51" s="7"/>
      <c r="Q51" s="7"/>
      <c r="R51" s="7"/>
      <c r="S51" s="7"/>
      <c r="T51" s="7"/>
      <c r="U51" s="7"/>
      <c r="V51" s="7"/>
      <c r="W51" s="7"/>
      <c r="X51" s="7"/>
      <c r="Y51" s="7"/>
      <c r="Z51" s="7"/>
    </row>
    <row r="52" spans="1:26" ht="12.75">
      <c r="A52" s="345">
        <v>2136</v>
      </c>
      <c r="B52" s="318" t="s">
        <v>930</v>
      </c>
      <c r="C52" s="346" t="s">
        <v>678</v>
      </c>
      <c r="D52" s="330">
        <v>8.7</v>
      </c>
      <c r="E52" s="328">
        <v>1000</v>
      </c>
      <c r="F52" s="331">
        <f t="shared" si="7"/>
        <v>0.0087</v>
      </c>
      <c r="G52" s="330">
        <v>1.75</v>
      </c>
      <c r="H52" s="328">
        <v>10</v>
      </c>
      <c r="I52" s="331">
        <f>G52/H52</f>
        <v>0.175</v>
      </c>
      <c r="J52" s="330">
        <v>0.05</v>
      </c>
      <c r="K52" s="328" t="s">
        <v>24</v>
      </c>
      <c r="L52" s="331" t="s">
        <v>27</v>
      </c>
      <c r="M52" s="292"/>
      <c r="N52" s="292"/>
      <c r="O52" s="181"/>
      <c r="P52" s="7"/>
      <c r="Q52" s="7"/>
      <c r="R52" s="7"/>
      <c r="S52" s="7"/>
      <c r="T52" s="7"/>
      <c r="U52" s="7"/>
      <c r="V52" s="7"/>
      <c r="W52" s="7"/>
      <c r="X52" s="7"/>
      <c r="Y52" s="7"/>
      <c r="Z52" s="7"/>
    </row>
    <row r="53" spans="1:26" ht="12.75">
      <c r="A53" s="345">
        <v>2137</v>
      </c>
      <c r="B53" s="318" t="s">
        <v>930</v>
      </c>
      <c r="C53" s="346" t="s">
        <v>679</v>
      </c>
      <c r="D53" s="330"/>
      <c r="E53" s="328"/>
      <c r="F53" s="331">
        <f>I53</f>
        <v>0.175</v>
      </c>
      <c r="G53" s="330">
        <v>1.75</v>
      </c>
      <c r="H53" s="328">
        <v>10</v>
      </c>
      <c r="I53" s="331">
        <f>G53/H53</f>
        <v>0.175</v>
      </c>
      <c r="J53" s="330">
        <v>0.05</v>
      </c>
      <c r="K53" s="328" t="s">
        <v>24</v>
      </c>
      <c r="L53" s="331" t="s">
        <v>26</v>
      </c>
      <c r="M53" s="292"/>
      <c r="N53" s="292"/>
      <c r="O53" s="181"/>
      <c r="P53" s="7"/>
      <c r="Q53" s="7"/>
      <c r="R53" s="7"/>
      <c r="S53" s="7"/>
      <c r="T53" s="7"/>
      <c r="U53" s="7"/>
      <c r="V53" s="7"/>
      <c r="W53" s="7"/>
      <c r="X53" s="7"/>
      <c r="Y53" s="7"/>
      <c r="Z53" s="7"/>
    </row>
    <row r="54" spans="1:26" ht="12.75">
      <c r="A54" s="345">
        <v>2138</v>
      </c>
      <c r="B54" s="318" t="s">
        <v>930</v>
      </c>
      <c r="C54" s="346" t="s">
        <v>256</v>
      </c>
      <c r="D54" s="330">
        <v>9.5</v>
      </c>
      <c r="E54" s="328">
        <v>1000</v>
      </c>
      <c r="F54" s="331">
        <f aca="true" t="shared" si="10" ref="F54">D54/E54</f>
        <v>0.0095</v>
      </c>
      <c r="G54" s="330">
        <v>0.07</v>
      </c>
      <c r="H54" s="328">
        <v>10</v>
      </c>
      <c r="I54" s="331">
        <f>G54/H54</f>
        <v>0.007000000000000001</v>
      </c>
      <c r="J54" s="330">
        <v>0.05</v>
      </c>
      <c r="K54" s="328" t="s">
        <v>24</v>
      </c>
      <c r="L54" s="331" t="s">
        <v>27</v>
      </c>
      <c r="M54" s="292"/>
      <c r="N54" s="292"/>
      <c r="O54" s="181"/>
      <c r="P54" s="7"/>
      <c r="Q54" s="7"/>
      <c r="R54" s="7"/>
      <c r="S54" s="7"/>
      <c r="T54" s="7"/>
      <c r="U54" s="7"/>
      <c r="V54" s="7"/>
      <c r="W54" s="7"/>
      <c r="X54" s="7"/>
      <c r="Y54" s="7"/>
      <c r="Z54" s="7"/>
    </row>
    <row r="55" spans="1:26" ht="12.75">
      <c r="A55" s="345">
        <v>2139</v>
      </c>
      <c r="B55" s="318" t="s">
        <v>930</v>
      </c>
      <c r="C55" s="346" t="s">
        <v>257</v>
      </c>
      <c r="D55" s="330">
        <v>17</v>
      </c>
      <c r="E55" s="328">
        <v>10000</v>
      </c>
      <c r="F55" s="331">
        <f t="shared" si="7"/>
        <v>0.0017</v>
      </c>
      <c r="G55" s="330"/>
      <c r="H55" s="328"/>
      <c r="I55" s="331">
        <f>F55</f>
        <v>0.0017</v>
      </c>
      <c r="J55" s="330">
        <v>0.05</v>
      </c>
      <c r="K55" s="328" t="s">
        <v>24</v>
      </c>
      <c r="L55" s="331" t="s">
        <v>27</v>
      </c>
      <c r="M55" s="292"/>
      <c r="N55" s="292"/>
      <c r="O55" s="181"/>
      <c r="P55" s="7"/>
      <c r="Q55" s="7"/>
      <c r="R55" s="7"/>
      <c r="S55" s="7"/>
      <c r="T55" s="7"/>
      <c r="U55" s="7"/>
      <c r="V55" s="7"/>
      <c r="W55" s="7"/>
      <c r="X55" s="7"/>
      <c r="Y55" s="7"/>
      <c r="Z55" s="7"/>
    </row>
    <row r="56" spans="1:26" ht="12.75">
      <c r="A56" s="345">
        <v>2140</v>
      </c>
      <c r="B56" s="318" t="s">
        <v>930</v>
      </c>
      <c r="C56" s="346" t="s">
        <v>258</v>
      </c>
      <c r="D56" s="330">
        <v>2</v>
      </c>
      <c r="E56" s="328">
        <v>1000</v>
      </c>
      <c r="F56" s="331">
        <f t="shared" si="7"/>
        <v>0.002</v>
      </c>
      <c r="G56" s="330">
        <v>0.07</v>
      </c>
      <c r="H56" s="328">
        <v>10</v>
      </c>
      <c r="I56" s="331">
        <f>G56/H56</f>
        <v>0.007000000000000001</v>
      </c>
      <c r="J56" s="330">
        <v>0.05</v>
      </c>
      <c r="K56" s="328" t="s">
        <v>24</v>
      </c>
      <c r="L56" s="331" t="s">
        <v>27</v>
      </c>
      <c r="M56" s="292"/>
      <c r="N56" s="292"/>
      <c r="O56" s="181"/>
      <c r="P56" s="7"/>
      <c r="Q56" s="7"/>
      <c r="R56" s="7"/>
      <c r="S56" s="7"/>
      <c r="T56" s="7"/>
      <c r="U56" s="7"/>
      <c r="V56" s="7"/>
      <c r="W56" s="7"/>
      <c r="X56" s="7"/>
      <c r="Y56" s="7"/>
      <c r="Z56" s="7"/>
    </row>
    <row r="57" spans="1:26" ht="12.75">
      <c r="A57" s="345">
        <v>2141</v>
      </c>
      <c r="B57" s="318" t="s">
        <v>930</v>
      </c>
      <c r="C57" s="327" t="s">
        <v>30</v>
      </c>
      <c r="D57" s="332">
        <v>7</v>
      </c>
      <c r="E57" s="328">
        <v>1000</v>
      </c>
      <c r="F57" s="331">
        <f t="shared" si="7"/>
        <v>0.007</v>
      </c>
      <c r="G57" s="330"/>
      <c r="H57" s="328"/>
      <c r="I57" s="331">
        <f>F57</f>
        <v>0.007</v>
      </c>
      <c r="J57" s="330">
        <v>0.05</v>
      </c>
      <c r="K57" s="328" t="s">
        <v>24</v>
      </c>
      <c r="L57" s="331" t="s">
        <v>27</v>
      </c>
      <c r="M57" s="292"/>
      <c r="N57" s="292"/>
      <c r="O57" s="181"/>
      <c r="P57" s="7"/>
      <c r="Q57" s="7"/>
      <c r="R57" s="7"/>
      <c r="S57" s="7"/>
      <c r="T57" s="7"/>
      <c r="U57" s="7"/>
      <c r="V57" s="7"/>
      <c r="W57" s="7"/>
      <c r="X57" s="7"/>
      <c r="Y57" s="7"/>
      <c r="Z57" s="7"/>
    </row>
    <row r="58" spans="1:26" ht="12.75">
      <c r="A58" s="345">
        <v>2142</v>
      </c>
      <c r="B58" s="318" t="s">
        <v>930</v>
      </c>
      <c r="C58" s="327" t="s">
        <v>680</v>
      </c>
      <c r="D58" s="332">
        <v>6.4</v>
      </c>
      <c r="E58" s="328">
        <v>5000</v>
      </c>
      <c r="F58" s="329">
        <f t="shared" si="7"/>
        <v>0.00128</v>
      </c>
      <c r="G58" s="330"/>
      <c r="H58" s="328"/>
      <c r="I58" s="329">
        <f>F58</f>
        <v>0.00128</v>
      </c>
      <c r="J58" s="330">
        <v>0.05</v>
      </c>
      <c r="K58" s="328" t="s">
        <v>24</v>
      </c>
      <c r="L58" s="331" t="s">
        <v>26</v>
      </c>
      <c r="M58" s="292"/>
      <c r="N58" s="292"/>
      <c r="O58" s="181"/>
      <c r="P58" s="7"/>
      <c r="Q58" s="7"/>
      <c r="R58" s="7"/>
      <c r="S58" s="7"/>
      <c r="T58" s="7"/>
      <c r="U58" s="7"/>
      <c r="V58" s="7"/>
      <c r="W58" s="7"/>
      <c r="X58" s="7"/>
      <c r="Y58" s="7"/>
      <c r="Z58" s="7"/>
    </row>
    <row r="59" spans="1:26" ht="12.75">
      <c r="A59" s="345">
        <v>2143</v>
      </c>
      <c r="B59" s="318" t="s">
        <v>930</v>
      </c>
      <c r="C59" s="327" t="s">
        <v>259</v>
      </c>
      <c r="D59" s="332">
        <v>0.1</v>
      </c>
      <c r="E59" s="328">
        <v>5000</v>
      </c>
      <c r="F59" s="329">
        <f t="shared" si="7"/>
        <v>2E-05</v>
      </c>
      <c r="G59" s="330">
        <v>0.0107</v>
      </c>
      <c r="H59" s="328">
        <v>50</v>
      </c>
      <c r="I59" s="329">
        <v>0.000214</v>
      </c>
      <c r="J59" s="330">
        <v>0.05</v>
      </c>
      <c r="K59" s="328" t="s">
        <v>24</v>
      </c>
      <c r="L59" s="331" t="s">
        <v>26</v>
      </c>
      <c r="M59" s="293"/>
      <c r="N59" s="293"/>
      <c r="O59" s="182"/>
      <c r="P59" s="7"/>
      <c r="Q59" s="7"/>
      <c r="R59" s="7"/>
      <c r="S59" s="7"/>
      <c r="T59" s="7"/>
      <c r="U59" s="7"/>
      <c r="V59" s="7"/>
      <c r="W59" s="7"/>
      <c r="X59" s="7"/>
      <c r="Y59" s="7"/>
      <c r="Z59" s="7"/>
    </row>
    <row r="60" spans="1:26" ht="12.75">
      <c r="A60" s="345">
        <v>2144</v>
      </c>
      <c r="B60" s="318" t="s">
        <v>930</v>
      </c>
      <c r="C60" s="327" t="s">
        <v>681</v>
      </c>
      <c r="D60" s="332">
        <v>0.42</v>
      </c>
      <c r="E60" s="328">
        <v>5000</v>
      </c>
      <c r="F60" s="329">
        <f t="shared" si="7"/>
        <v>8.4E-05</v>
      </c>
      <c r="G60" s="330">
        <v>0.0107</v>
      </c>
      <c r="H60" s="328">
        <v>50</v>
      </c>
      <c r="I60" s="329">
        <f>G60/H60</f>
        <v>0.000214</v>
      </c>
      <c r="J60" s="330">
        <v>0.05</v>
      </c>
      <c r="K60" s="328" t="s">
        <v>24</v>
      </c>
      <c r="L60" s="331" t="s">
        <v>26</v>
      </c>
      <c r="M60" s="292"/>
      <c r="N60" s="292"/>
      <c r="O60" s="181"/>
      <c r="P60" s="7"/>
      <c r="Q60" s="7"/>
      <c r="R60" s="7"/>
      <c r="S60" s="7"/>
      <c r="T60" s="7"/>
      <c r="U60" s="7"/>
      <c r="V60" s="7"/>
      <c r="W60" s="7"/>
      <c r="X60" s="7"/>
      <c r="Y60" s="7"/>
      <c r="Z60" s="7"/>
    </row>
    <row r="61" spans="1:26" ht="12.75">
      <c r="A61" s="345">
        <v>2146</v>
      </c>
      <c r="B61" s="318" t="s">
        <v>930</v>
      </c>
      <c r="C61" s="327" t="s">
        <v>260</v>
      </c>
      <c r="D61" s="332">
        <v>3.6</v>
      </c>
      <c r="E61" s="328">
        <v>1000</v>
      </c>
      <c r="F61" s="329">
        <f t="shared" si="7"/>
        <v>0.0036</v>
      </c>
      <c r="G61" s="330"/>
      <c r="H61" s="328"/>
      <c r="I61" s="329">
        <f>F61</f>
        <v>0.0036</v>
      </c>
      <c r="J61" s="330">
        <v>0.5</v>
      </c>
      <c r="K61" s="328" t="s">
        <v>28</v>
      </c>
      <c r="L61" s="331" t="s">
        <v>26</v>
      </c>
      <c r="M61" s="292"/>
      <c r="N61" s="292"/>
      <c r="O61" s="181"/>
      <c r="P61" s="7"/>
      <c r="Q61" s="7"/>
      <c r="R61" s="7"/>
      <c r="S61" s="7"/>
      <c r="T61" s="7"/>
      <c r="U61" s="7"/>
      <c r="V61" s="7"/>
      <c r="W61" s="7"/>
      <c r="X61" s="7"/>
      <c r="Y61" s="7"/>
      <c r="Z61" s="7"/>
    </row>
    <row r="62" spans="1:26" ht="12.75">
      <c r="A62" s="345">
        <v>2147</v>
      </c>
      <c r="B62" s="318" t="s">
        <v>930</v>
      </c>
      <c r="C62" s="327" t="s">
        <v>683</v>
      </c>
      <c r="D62" s="332">
        <f>(0.295+0.41)/2</f>
        <v>0.3525</v>
      </c>
      <c r="E62" s="328">
        <v>10000</v>
      </c>
      <c r="F62" s="329">
        <f t="shared" si="7"/>
        <v>3.5249999999999996E-05</v>
      </c>
      <c r="G62" s="330">
        <v>0.0044</v>
      </c>
      <c r="H62" s="328">
        <v>50</v>
      </c>
      <c r="I62" s="329">
        <f>G62/H62</f>
        <v>8.800000000000001E-05</v>
      </c>
      <c r="J62" s="330">
        <v>0.05</v>
      </c>
      <c r="K62" s="328" t="s">
        <v>24</v>
      </c>
      <c r="L62" s="331" t="s">
        <v>26</v>
      </c>
      <c r="M62" s="292"/>
      <c r="N62" s="292"/>
      <c r="O62" s="181"/>
      <c r="P62" s="7"/>
      <c r="Q62" s="7"/>
      <c r="R62" s="7"/>
      <c r="S62" s="7"/>
      <c r="T62" s="7"/>
      <c r="U62" s="7"/>
      <c r="V62" s="7"/>
      <c r="W62" s="7"/>
      <c r="X62" s="7"/>
      <c r="Y62" s="7"/>
      <c r="Z62" s="7"/>
    </row>
    <row r="63" spans="1:26" ht="12.75">
      <c r="A63" s="345">
        <v>2148</v>
      </c>
      <c r="B63" s="318" t="s">
        <v>930</v>
      </c>
      <c r="C63" s="327" t="s">
        <v>684</v>
      </c>
      <c r="D63" s="332">
        <v>0.01</v>
      </c>
      <c r="E63" s="328">
        <v>1000</v>
      </c>
      <c r="F63" s="329">
        <f t="shared" si="7"/>
        <v>1E-05</v>
      </c>
      <c r="G63" s="330"/>
      <c r="H63" s="328"/>
      <c r="I63" s="329">
        <f>F63</f>
        <v>1E-05</v>
      </c>
      <c r="J63" s="330">
        <v>0.05</v>
      </c>
      <c r="K63" s="328" t="s">
        <v>24</v>
      </c>
      <c r="L63" s="331" t="s">
        <v>26</v>
      </c>
      <c r="M63" s="293"/>
      <c r="N63" s="293"/>
      <c r="O63" s="182"/>
      <c r="P63" s="7"/>
      <c r="Q63" s="7"/>
      <c r="R63" s="7"/>
      <c r="S63" s="7"/>
      <c r="T63" s="7"/>
      <c r="U63" s="7"/>
      <c r="V63" s="7"/>
      <c r="W63" s="7"/>
      <c r="X63" s="7"/>
      <c r="Y63" s="7"/>
      <c r="Z63" s="7"/>
    </row>
    <row r="64" spans="1:26" ht="12.75">
      <c r="A64" s="345">
        <v>2149</v>
      </c>
      <c r="B64" s="318" t="s">
        <v>930</v>
      </c>
      <c r="C64" s="327" t="s">
        <v>685</v>
      </c>
      <c r="D64" s="332">
        <v>1</v>
      </c>
      <c r="E64" s="328">
        <v>10000</v>
      </c>
      <c r="F64" s="329">
        <f t="shared" si="7"/>
        <v>0.0001</v>
      </c>
      <c r="G64" s="330"/>
      <c r="H64" s="328"/>
      <c r="I64" s="329">
        <f>F64</f>
        <v>0.0001</v>
      </c>
      <c r="J64" s="330">
        <v>0.5</v>
      </c>
      <c r="K64" s="328" t="s">
        <v>28</v>
      </c>
      <c r="L64" s="331" t="s">
        <v>26</v>
      </c>
      <c r="M64" s="292"/>
      <c r="N64" s="292"/>
      <c r="O64" s="181"/>
      <c r="P64" s="7"/>
      <c r="Q64" s="7"/>
      <c r="R64" s="7"/>
      <c r="S64" s="7"/>
      <c r="T64" s="7"/>
      <c r="U64" s="7"/>
      <c r="V64" s="7"/>
      <c r="W64" s="7"/>
      <c r="X64" s="7"/>
      <c r="Y64" s="7"/>
      <c r="Z64" s="7"/>
    </row>
    <row r="65" spans="1:26" ht="12.75">
      <c r="A65" s="334">
        <v>2150</v>
      </c>
      <c r="B65" s="318" t="s">
        <v>930</v>
      </c>
      <c r="C65" s="327" t="s">
        <v>261</v>
      </c>
      <c r="D65" s="349">
        <v>100</v>
      </c>
      <c r="E65" s="350">
        <v>1000</v>
      </c>
      <c r="F65" s="351">
        <f>D65/E65</f>
        <v>0.1</v>
      </c>
      <c r="G65" s="330">
        <v>100</v>
      </c>
      <c r="H65" s="328">
        <v>50</v>
      </c>
      <c r="I65" s="351">
        <f>G65/H65</f>
        <v>2</v>
      </c>
      <c r="J65" s="352">
        <v>0.5</v>
      </c>
      <c r="K65" s="353" t="s">
        <v>28</v>
      </c>
      <c r="L65" s="354" t="s">
        <v>26</v>
      </c>
      <c r="M65" s="292"/>
      <c r="N65" s="292"/>
      <c r="O65" s="181"/>
      <c r="P65" s="7"/>
      <c r="Q65" s="7"/>
      <c r="R65" s="7"/>
      <c r="S65" s="7"/>
      <c r="T65" s="7"/>
      <c r="U65" s="7"/>
      <c r="V65" s="7"/>
      <c r="W65" s="7"/>
      <c r="X65" s="7"/>
      <c r="Y65" s="7"/>
      <c r="Z65" s="7"/>
    </row>
    <row r="66" spans="1:26" ht="12.75">
      <c r="A66" s="334">
        <v>2151</v>
      </c>
      <c r="B66" s="318" t="s">
        <v>930</v>
      </c>
      <c r="C66" s="327" t="s">
        <v>262</v>
      </c>
      <c r="D66" s="349">
        <v>100</v>
      </c>
      <c r="E66" s="350">
        <v>1000</v>
      </c>
      <c r="F66" s="351">
        <f>D66/E66</f>
        <v>0.1</v>
      </c>
      <c r="G66" s="330"/>
      <c r="H66" s="328"/>
      <c r="I66" s="351">
        <f>F66</f>
        <v>0.1</v>
      </c>
      <c r="J66" s="352">
        <v>0.5</v>
      </c>
      <c r="K66" s="353" t="s">
        <v>28</v>
      </c>
      <c r="L66" s="354" t="s">
        <v>26</v>
      </c>
      <c r="M66" s="292"/>
      <c r="N66" s="292"/>
      <c r="O66" s="181"/>
      <c r="P66" s="7"/>
      <c r="Q66" s="7"/>
      <c r="R66" s="7"/>
      <c r="S66" s="7"/>
      <c r="T66" s="7"/>
      <c r="U66" s="7"/>
      <c r="V66" s="7"/>
      <c r="W66" s="7"/>
      <c r="X66" s="7"/>
      <c r="Y66" s="7"/>
      <c r="Z66" s="7"/>
    </row>
    <row r="67" spans="1:26" ht="12.75">
      <c r="A67" s="334">
        <v>2152</v>
      </c>
      <c r="B67" s="318" t="s">
        <v>930</v>
      </c>
      <c r="C67" s="327" t="s">
        <v>263</v>
      </c>
      <c r="D67" s="332">
        <v>39</v>
      </c>
      <c r="E67" s="328">
        <v>1000</v>
      </c>
      <c r="F67" s="329">
        <f aca="true" t="shared" si="11" ref="F67:F78">D67/E67</f>
        <v>0.039</v>
      </c>
      <c r="G67" s="330">
        <v>3.2</v>
      </c>
      <c r="H67" s="328">
        <v>50</v>
      </c>
      <c r="I67" s="329">
        <f>+G67/H67</f>
        <v>0.064</v>
      </c>
      <c r="J67" s="330">
        <v>0.05</v>
      </c>
      <c r="K67" s="328" t="s">
        <v>24</v>
      </c>
      <c r="L67" s="331" t="s">
        <v>27</v>
      </c>
      <c r="M67" s="292"/>
      <c r="N67" s="292"/>
      <c r="O67" s="181"/>
      <c r="P67" s="7"/>
      <c r="Q67" s="7"/>
      <c r="R67" s="7"/>
      <c r="S67" s="7"/>
      <c r="T67" s="7"/>
      <c r="U67" s="7"/>
      <c r="V67" s="7"/>
      <c r="W67" s="7"/>
      <c r="X67" s="7"/>
      <c r="Y67" s="7"/>
      <c r="Z67" s="7"/>
    </row>
    <row r="68" spans="1:26" ht="12.75">
      <c r="A68" s="334">
        <v>2153</v>
      </c>
      <c r="B68" s="318" t="s">
        <v>930</v>
      </c>
      <c r="C68" s="327" t="s">
        <v>264</v>
      </c>
      <c r="D68" s="332">
        <v>100</v>
      </c>
      <c r="E68" s="328">
        <v>1000</v>
      </c>
      <c r="F68" s="329">
        <f t="shared" si="11"/>
        <v>0.1</v>
      </c>
      <c r="G68" s="330">
        <v>100</v>
      </c>
      <c r="H68" s="328">
        <v>50</v>
      </c>
      <c r="I68" s="329">
        <f>+G68/H68</f>
        <v>2</v>
      </c>
      <c r="J68" s="330">
        <v>0.05</v>
      </c>
      <c r="K68" s="328" t="s">
        <v>24</v>
      </c>
      <c r="L68" s="331" t="s">
        <v>26</v>
      </c>
      <c r="M68" s="293"/>
      <c r="N68" s="293"/>
      <c r="O68" s="182"/>
      <c r="P68" s="7"/>
      <c r="Q68" s="7"/>
      <c r="R68" s="7"/>
      <c r="S68" s="7"/>
      <c r="T68" s="7"/>
      <c r="U68" s="7"/>
      <c r="V68" s="7"/>
      <c r="W68" s="7"/>
      <c r="X68" s="7"/>
      <c r="Y68" s="7"/>
      <c r="Z68" s="7"/>
    </row>
    <row r="69" spans="1:26" ht="12.75">
      <c r="A69" s="334">
        <v>2154</v>
      </c>
      <c r="B69" s="318" t="s">
        <v>930</v>
      </c>
      <c r="C69" s="327" t="s">
        <v>686</v>
      </c>
      <c r="D69" s="332">
        <v>12.1</v>
      </c>
      <c r="E69" s="328">
        <v>1000</v>
      </c>
      <c r="F69" s="329">
        <f t="shared" si="11"/>
        <v>0.0121</v>
      </c>
      <c r="G69" s="330">
        <v>0.254</v>
      </c>
      <c r="H69" s="328">
        <v>10</v>
      </c>
      <c r="I69" s="329">
        <f>+G69/H69</f>
        <v>0.0254</v>
      </c>
      <c r="J69" s="330">
        <v>0.05</v>
      </c>
      <c r="K69" s="328" t="s">
        <v>24</v>
      </c>
      <c r="L69" s="331" t="s">
        <v>27</v>
      </c>
      <c r="M69" s="293"/>
      <c r="N69" s="293"/>
      <c r="O69" s="182"/>
      <c r="P69" s="7"/>
      <c r="Q69" s="7"/>
      <c r="R69" s="7"/>
      <c r="S69" s="7"/>
      <c r="T69" s="7"/>
      <c r="U69" s="7"/>
      <c r="V69" s="7"/>
      <c r="W69" s="7"/>
      <c r="X69" s="7"/>
      <c r="Y69" s="7"/>
      <c r="Z69" s="7"/>
    </row>
    <row r="70" spans="1:26" ht="12.75">
      <c r="A70" s="355">
        <v>2155</v>
      </c>
      <c r="B70" s="355" t="s">
        <v>930</v>
      </c>
      <c r="C70" s="356" t="s">
        <v>931</v>
      </c>
      <c r="D70" s="357">
        <v>5</v>
      </c>
      <c r="E70" s="358">
        <v>1000</v>
      </c>
      <c r="F70" s="359">
        <f t="shared" si="11"/>
        <v>0.005</v>
      </c>
      <c r="G70" s="360">
        <v>1.5</v>
      </c>
      <c r="H70" s="358">
        <v>10</v>
      </c>
      <c r="I70" s="359">
        <f>G70/H70</f>
        <v>0.15</v>
      </c>
      <c r="J70" s="357">
        <v>0.05</v>
      </c>
      <c r="K70" s="358" t="s">
        <v>24</v>
      </c>
      <c r="L70" s="359" t="s">
        <v>27</v>
      </c>
      <c r="M70" s="293"/>
      <c r="N70" s="293"/>
      <c r="O70" s="182"/>
      <c r="P70" s="7"/>
      <c r="Q70" s="7"/>
      <c r="R70" s="7"/>
      <c r="S70" s="7"/>
      <c r="T70" s="7"/>
      <c r="U70" s="7"/>
      <c r="V70" s="7"/>
      <c r="W70" s="7"/>
      <c r="X70" s="7"/>
      <c r="Y70" s="7"/>
      <c r="Z70" s="7"/>
    </row>
    <row r="71" spans="1:26" ht="12.75">
      <c r="A71" s="355">
        <v>2156</v>
      </c>
      <c r="B71" s="355" t="s">
        <v>930</v>
      </c>
      <c r="C71" s="361" t="s">
        <v>932</v>
      </c>
      <c r="D71" s="362">
        <v>5</v>
      </c>
      <c r="E71" s="363">
        <v>1000</v>
      </c>
      <c r="F71" s="364">
        <f t="shared" si="11"/>
        <v>0.005</v>
      </c>
      <c r="G71" s="360">
        <v>1.5</v>
      </c>
      <c r="H71" s="358">
        <v>10</v>
      </c>
      <c r="I71" s="365">
        <f aca="true" t="shared" si="12" ref="I71:I72">G71/H71</f>
        <v>0.15</v>
      </c>
      <c r="J71" s="357">
        <v>0.05</v>
      </c>
      <c r="K71" s="358" t="s">
        <v>24</v>
      </c>
      <c r="L71" s="359" t="s">
        <v>27</v>
      </c>
      <c r="M71" s="292"/>
      <c r="N71" s="292"/>
      <c r="O71" s="181"/>
      <c r="P71" s="7"/>
      <c r="Q71" s="7"/>
      <c r="R71" s="7"/>
      <c r="S71" s="7"/>
      <c r="T71" s="7"/>
      <c r="U71" s="7"/>
      <c r="V71" s="7"/>
      <c r="W71" s="7"/>
      <c r="X71" s="7"/>
      <c r="Y71" s="7"/>
      <c r="Z71" s="7"/>
    </row>
    <row r="72" spans="1:26" ht="12.75">
      <c r="A72" s="355">
        <v>2157</v>
      </c>
      <c r="B72" s="355" t="s">
        <v>930</v>
      </c>
      <c r="C72" s="361" t="s">
        <v>933</v>
      </c>
      <c r="D72" s="366">
        <v>50</v>
      </c>
      <c r="E72" s="367">
        <v>1000</v>
      </c>
      <c r="F72" s="368">
        <f t="shared" si="11"/>
        <v>0.05</v>
      </c>
      <c r="G72" s="360">
        <v>25</v>
      </c>
      <c r="H72" s="358">
        <v>10</v>
      </c>
      <c r="I72" s="365">
        <f t="shared" si="12"/>
        <v>2.5</v>
      </c>
      <c r="J72" s="362">
        <v>0.05</v>
      </c>
      <c r="K72" s="363" t="s">
        <v>24</v>
      </c>
      <c r="L72" s="364" t="s">
        <v>27</v>
      </c>
      <c r="M72" s="292"/>
      <c r="N72" s="292"/>
      <c r="O72" s="181"/>
      <c r="P72" s="7"/>
      <c r="Q72" s="7"/>
      <c r="R72" s="7"/>
      <c r="S72" s="7"/>
      <c r="T72" s="7"/>
      <c r="U72" s="7"/>
      <c r="V72" s="7"/>
      <c r="W72" s="7"/>
      <c r="X72" s="7"/>
      <c r="Y72" s="7"/>
      <c r="Z72" s="7"/>
    </row>
    <row r="73" spans="1:26" ht="12.75">
      <c r="A73" s="355">
        <v>2158</v>
      </c>
      <c r="B73" s="355" t="s">
        <v>930</v>
      </c>
      <c r="C73" s="356" t="s">
        <v>934</v>
      </c>
      <c r="D73" s="357">
        <v>5</v>
      </c>
      <c r="E73" s="358">
        <v>1000</v>
      </c>
      <c r="F73" s="359">
        <f t="shared" si="11"/>
        <v>0.005</v>
      </c>
      <c r="G73" s="360">
        <v>1.5</v>
      </c>
      <c r="H73" s="358">
        <v>10</v>
      </c>
      <c r="I73" s="365">
        <f>G73/H73</f>
        <v>0.15</v>
      </c>
      <c r="J73" s="357">
        <v>0.05</v>
      </c>
      <c r="K73" s="358" t="s">
        <v>24</v>
      </c>
      <c r="L73" s="359" t="s">
        <v>26</v>
      </c>
      <c r="M73" s="292"/>
      <c r="N73" s="292"/>
      <c r="O73" s="181"/>
      <c r="P73" s="7"/>
      <c r="Q73" s="7"/>
      <c r="R73" s="7"/>
      <c r="S73" s="7"/>
      <c r="T73" s="7"/>
      <c r="U73" s="7"/>
      <c r="V73" s="7"/>
      <c r="W73" s="7"/>
      <c r="X73" s="7"/>
      <c r="Y73" s="7"/>
      <c r="Z73" s="7"/>
    </row>
    <row r="74" spans="1:26" ht="12.75">
      <c r="A74" s="355">
        <v>2159</v>
      </c>
      <c r="B74" s="355" t="s">
        <v>930</v>
      </c>
      <c r="C74" s="356" t="s">
        <v>652</v>
      </c>
      <c r="D74" s="357">
        <v>5</v>
      </c>
      <c r="E74" s="358">
        <v>1000</v>
      </c>
      <c r="F74" s="359">
        <f t="shared" si="11"/>
        <v>0.005</v>
      </c>
      <c r="G74" s="357">
        <v>1.5</v>
      </c>
      <c r="H74" s="358">
        <v>10</v>
      </c>
      <c r="I74" s="359">
        <v>0.15</v>
      </c>
      <c r="J74" s="357">
        <v>0.05</v>
      </c>
      <c r="K74" s="358" t="s">
        <v>24</v>
      </c>
      <c r="L74" s="359" t="s">
        <v>26</v>
      </c>
      <c r="M74" s="293"/>
      <c r="N74" s="293"/>
      <c r="O74" s="182"/>
      <c r="P74" s="7"/>
      <c r="Q74" s="7"/>
      <c r="R74" s="7"/>
      <c r="S74" s="7"/>
      <c r="T74" s="7"/>
      <c r="U74" s="7"/>
      <c r="V74" s="7"/>
      <c r="W74" s="7"/>
      <c r="X74" s="7"/>
      <c r="Y74" s="7"/>
      <c r="Z74" s="7"/>
    </row>
    <row r="75" spans="1:26" ht="12.75">
      <c r="A75" s="355">
        <v>2160</v>
      </c>
      <c r="B75" s="355" t="s">
        <v>930</v>
      </c>
      <c r="C75" s="356" t="s">
        <v>653</v>
      </c>
      <c r="D75" s="362">
        <v>50</v>
      </c>
      <c r="E75" s="363">
        <v>1000</v>
      </c>
      <c r="F75" s="364">
        <f t="shared" si="11"/>
        <v>0.05</v>
      </c>
      <c r="G75" s="357">
        <v>25</v>
      </c>
      <c r="H75" s="358">
        <v>10</v>
      </c>
      <c r="I75" s="359">
        <v>2.5</v>
      </c>
      <c r="J75" s="357">
        <v>0.05</v>
      </c>
      <c r="K75" s="358" t="s">
        <v>24</v>
      </c>
      <c r="L75" s="359" t="s">
        <v>26</v>
      </c>
      <c r="M75" s="293"/>
      <c r="N75" s="293"/>
      <c r="O75" s="182"/>
      <c r="P75" s="7"/>
      <c r="Q75" s="7"/>
      <c r="R75" s="7"/>
      <c r="S75" s="7"/>
      <c r="T75" s="7"/>
      <c r="U75" s="7"/>
      <c r="V75" s="7"/>
      <c r="W75" s="7"/>
      <c r="X75" s="7"/>
      <c r="Y75" s="7"/>
      <c r="Z75" s="7"/>
    </row>
    <row r="76" spans="1:26" ht="12.75">
      <c r="A76" s="355">
        <v>2161</v>
      </c>
      <c r="B76" s="355" t="s">
        <v>930</v>
      </c>
      <c r="C76" s="356" t="s">
        <v>656</v>
      </c>
      <c r="D76" s="357">
        <v>0.43</v>
      </c>
      <c r="E76" s="358">
        <v>1000</v>
      </c>
      <c r="F76" s="359">
        <f t="shared" si="11"/>
        <v>0.00043</v>
      </c>
      <c r="G76" s="357">
        <v>0.29</v>
      </c>
      <c r="H76" s="358">
        <v>10</v>
      </c>
      <c r="I76" s="359">
        <f aca="true" t="shared" si="13" ref="I76:I91">G76/H76</f>
        <v>0.028999999999999998</v>
      </c>
      <c r="J76" s="357">
        <v>0.05</v>
      </c>
      <c r="K76" s="358" t="s">
        <v>24</v>
      </c>
      <c r="L76" s="359" t="s">
        <v>27</v>
      </c>
      <c r="M76" s="293"/>
      <c r="N76" s="293"/>
      <c r="O76" s="182"/>
      <c r="P76" s="7"/>
      <c r="Q76" s="7"/>
      <c r="R76" s="7"/>
      <c r="S76" s="7"/>
      <c r="T76" s="7"/>
      <c r="U76" s="7"/>
      <c r="V76" s="7"/>
      <c r="W76" s="7"/>
      <c r="X76" s="7"/>
      <c r="Y76" s="7"/>
      <c r="Z76" s="7"/>
    </row>
    <row r="77" spans="1:26" ht="12.75">
      <c r="A77" s="355">
        <v>2162</v>
      </c>
      <c r="B77" s="355" t="s">
        <v>930</v>
      </c>
      <c r="C77" s="356" t="s">
        <v>657</v>
      </c>
      <c r="D77" s="357">
        <v>0.43</v>
      </c>
      <c r="E77" s="358">
        <v>1000</v>
      </c>
      <c r="F77" s="359">
        <f t="shared" si="11"/>
        <v>0.00043</v>
      </c>
      <c r="G77" s="357">
        <v>0.37</v>
      </c>
      <c r="H77" s="358">
        <v>10</v>
      </c>
      <c r="I77" s="359">
        <f t="shared" si="13"/>
        <v>0.037</v>
      </c>
      <c r="J77" s="357">
        <v>0.05</v>
      </c>
      <c r="K77" s="358" t="s">
        <v>24</v>
      </c>
      <c r="L77" s="359" t="s">
        <v>27</v>
      </c>
      <c r="M77" s="292"/>
      <c r="N77" s="292"/>
      <c r="O77" s="181"/>
      <c r="P77" s="7"/>
      <c r="Q77" s="7"/>
      <c r="R77" s="7"/>
      <c r="S77" s="7"/>
      <c r="T77" s="7"/>
      <c r="U77" s="7"/>
      <c r="V77" s="7"/>
      <c r="W77" s="7"/>
      <c r="X77" s="7"/>
      <c r="Y77" s="7"/>
      <c r="Z77" s="7"/>
    </row>
    <row r="78" spans="1:26" ht="12.75">
      <c r="A78" s="355">
        <v>2163</v>
      </c>
      <c r="B78" s="355" t="s">
        <v>930</v>
      </c>
      <c r="C78" s="356" t="s">
        <v>658</v>
      </c>
      <c r="D78" s="357">
        <v>0.4</v>
      </c>
      <c r="E78" s="358">
        <v>1000</v>
      </c>
      <c r="F78" s="359">
        <f t="shared" si="11"/>
        <v>0.0004</v>
      </c>
      <c r="G78" s="357">
        <v>0.27</v>
      </c>
      <c r="H78" s="358">
        <v>10</v>
      </c>
      <c r="I78" s="359">
        <f t="shared" si="13"/>
        <v>0.027000000000000003</v>
      </c>
      <c r="J78" s="357">
        <v>0.05</v>
      </c>
      <c r="K78" s="358" t="s">
        <v>24</v>
      </c>
      <c r="L78" s="359" t="s">
        <v>27</v>
      </c>
      <c r="M78" s="292"/>
      <c r="N78" s="292"/>
      <c r="O78" s="181"/>
      <c r="P78" s="7"/>
      <c r="Q78" s="7"/>
      <c r="R78" s="7"/>
      <c r="S78" s="7"/>
      <c r="T78" s="7"/>
      <c r="U78" s="7"/>
      <c r="V78" s="7"/>
      <c r="W78" s="7"/>
      <c r="X78" s="7"/>
      <c r="Y78" s="7"/>
      <c r="Z78" s="7"/>
    </row>
    <row r="79" spans="1:26" ht="12.75">
      <c r="A79" s="355">
        <v>2164</v>
      </c>
      <c r="B79" s="355" t="s">
        <v>930</v>
      </c>
      <c r="C79" s="356" t="s">
        <v>663</v>
      </c>
      <c r="D79" s="357"/>
      <c r="E79" s="358"/>
      <c r="F79" s="359">
        <f>I79</f>
        <v>0.01</v>
      </c>
      <c r="G79" s="357">
        <v>0.1</v>
      </c>
      <c r="H79" s="358">
        <v>10</v>
      </c>
      <c r="I79" s="359">
        <f t="shared" si="13"/>
        <v>0.01</v>
      </c>
      <c r="J79" s="357">
        <v>0.05</v>
      </c>
      <c r="K79" s="358" t="s">
        <v>24</v>
      </c>
      <c r="L79" s="359" t="s">
        <v>27</v>
      </c>
      <c r="M79" s="292"/>
      <c r="N79" s="292"/>
      <c r="O79" s="181"/>
      <c r="P79" s="7"/>
      <c r="Q79" s="7"/>
      <c r="R79" s="7"/>
      <c r="S79" s="7"/>
      <c r="T79" s="7"/>
      <c r="U79" s="7"/>
      <c r="V79" s="7"/>
      <c r="W79" s="7"/>
      <c r="X79" s="7"/>
      <c r="Y79" s="7"/>
      <c r="Z79" s="7"/>
    </row>
    <row r="80" spans="1:26" ht="12.75">
      <c r="A80" s="355">
        <v>2165</v>
      </c>
      <c r="B80" s="355" t="s">
        <v>930</v>
      </c>
      <c r="C80" s="356" t="s">
        <v>935</v>
      </c>
      <c r="D80" s="357">
        <v>0.4</v>
      </c>
      <c r="E80" s="358">
        <v>1000</v>
      </c>
      <c r="F80" s="359">
        <f aca="true" t="shared" si="14" ref="F80:F87">D80/E80</f>
        <v>0.0004</v>
      </c>
      <c r="G80" s="357">
        <v>0.12</v>
      </c>
      <c r="H80" s="358">
        <v>10</v>
      </c>
      <c r="I80" s="359">
        <f t="shared" si="13"/>
        <v>0.012</v>
      </c>
      <c r="J80" s="357">
        <v>0.05</v>
      </c>
      <c r="K80" s="358" t="s">
        <v>24</v>
      </c>
      <c r="L80" s="359" t="s">
        <v>27</v>
      </c>
      <c r="P80" s="7"/>
      <c r="Q80" s="7"/>
      <c r="R80" s="7"/>
      <c r="S80" s="7"/>
      <c r="T80" s="7"/>
      <c r="U80" s="7"/>
      <c r="V80" s="7"/>
      <c r="W80" s="7"/>
      <c r="X80" s="7"/>
      <c r="Y80" s="7"/>
      <c r="Z80" s="7"/>
    </row>
    <row r="81" spans="1:26" ht="12.75">
      <c r="A81" s="369">
        <v>2166</v>
      </c>
      <c r="B81" s="355" t="s">
        <v>930</v>
      </c>
      <c r="C81" s="356" t="s">
        <v>664</v>
      </c>
      <c r="D81" s="357">
        <v>0.7</v>
      </c>
      <c r="E81" s="358">
        <v>1000</v>
      </c>
      <c r="F81" s="359">
        <f t="shared" si="14"/>
        <v>0.0007</v>
      </c>
      <c r="G81" s="357">
        <v>4.86</v>
      </c>
      <c r="H81" s="358">
        <v>10</v>
      </c>
      <c r="I81" s="359">
        <f t="shared" si="13"/>
        <v>0.48600000000000004</v>
      </c>
      <c r="J81" s="357">
        <v>0.05</v>
      </c>
      <c r="K81" s="358" t="s">
        <v>24</v>
      </c>
      <c r="L81" s="359" t="s">
        <v>27</v>
      </c>
      <c r="P81" s="7"/>
      <c r="Q81" s="7"/>
      <c r="R81" s="7"/>
      <c r="S81" s="7"/>
      <c r="T81" s="7"/>
      <c r="U81" s="7"/>
      <c r="V81" s="7"/>
      <c r="W81" s="7"/>
      <c r="X81" s="7"/>
      <c r="Y81" s="7"/>
      <c r="Z81" s="7"/>
    </row>
    <row r="82" spans="1:26" ht="12.75">
      <c r="A82" s="369">
        <v>2167</v>
      </c>
      <c r="B82" s="355" t="s">
        <v>930</v>
      </c>
      <c r="C82" s="356" t="s">
        <v>665</v>
      </c>
      <c r="D82" s="357">
        <v>13</v>
      </c>
      <c r="E82" s="358">
        <v>1000</v>
      </c>
      <c r="F82" s="359">
        <f t="shared" si="14"/>
        <v>0.013</v>
      </c>
      <c r="G82" s="357">
        <v>4.86</v>
      </c>
      <c r="H82" s="358">
        <v>10</v>
      </c>
      <c r="I82" s="359">
        <f t="shared" si="13"/>
        <v>0.48600000000000004</v>
      </c>
      <c r="J82" s="357">
        <v>0.05</v>
      </c>
      <c r="K82" s="358" t="s">
        <v>24</v>
      </c>
      <c r="L82" s="359" t="s">
        <v>334</v>
      </c>
      <c r="P82" s="7"/>
      <c r="Q82" s="7"/>
      <c r="R82" s="7"/>
      <c r="S82" s="7"/>
      <c r="T82" s="7"/>
      <c r="U82" s="7"/>
      <c r="V82" s="7"/>
      <c r="W82" s="7"/>
      <c r="X82" s="7"/>
      <c r="Y82" s="7"/>
      <c r="Z82" s="7"/>
    </row>
    <row r="83" spans="1:26" ht="12.75">
      <c r="A83" s="355">
        <v>2168</v>
      </c>
      <c r="B83" s="355" t="s">
        <v>930</v>
      </c>
      <c r="C83" s="356" t="s">
        <v>666</v>
      </c>
      <c r="D83" s="357">
        <v>130</v>
      </c>
      <c r="E83" s="358">
        <v>1000</v>
      </c>
      <c r="F83" s="359">
        <f t="shared" si="14"/>
        <v>0.13</v>
      </c>
      <c r="G83" s="357">
        <v>56</v>
      </c>
      <c r="H83" s="358">
        <v>10</v>
      </c>
      <c r="I83" s="359">
        <f t="shared" si="13"/>
        <v>5.6</v>
      </c>
      <c r="J83" s="357">
        <v>0.05</v>
      </c>
      <c r="K83" s="358" t="s">
        <v>24</v>
      </c>
      <c r="L83" s="359" t="s">
        <v>26</v>
      </c>
      <c r="P83" s="7"/>
      <c r="Q83" s="7"/>
      <c r="R83" s="7"/>
      <c r="S83" s="7"/>
      <c r="T83" s="7"/>
      <c r="U83" s="7"/>
      <c r="V83" s="7"/>
      <c r="W83" s="7"/>
      <c r="X83" s="7"/>
      <c r="Y83" s="7"/>
      <c r="Z83" s="7"/>
    </row>
    <row r="84" spans="1:26" ht="12.75">
      <c r="A84" s="355">
        <v>2170</v>
      </c>
      <c r="B84" s="355" t="s">
        <v>930</v>
      </c>
      <c r="C84" s="356" t="s">
        <v>667</v>
      </c>
      <c r="D84" s="357">
        <v>0.3</v>
      </c>
      <c r="E84" s="358">
        <v>1000</v>
      </c>
      <c r="F84" s="359">
        <f t="shared" si="14"/>
        <v>0.0003</v>
      </c>
      <c r="G84" s="357">
        <v>0.47</v>
      </c>
      <c r="H84" s="358">
        <v>10</v>
      </c>
      <c r="I84" s="359">
        <f t="shared" si="13"/>
        <v>0.047</v>
      </c>
      <c r="J84" s="357">
        <v>0.05</v>
      </c>
      <c r="K84" s="358" t="s">
        <v>24</v>
      </c>
      <c r="L84" s="359" t="s">
        <v>27</v>
      </c>
      <c r="P84" s="7"/>
      <c r="Q84" s="7"/>
      <c r="R84" s="7"/>
      <c r="S84" s="7"/>
      <c r="T84" s="7"/>
      <c r="U84" s="7"/>
      <c r="V84" s="7"/>
      <c r="W84" s="7"/>
      <c r="X84" s="7"/>
      <c r="Y84" s="7"/>
      <c r="Z84" s="7"/>
    </row>
    <row r="85" spans="1:26" ht="12.75">
      <c r="A85" s="355">
        <v>2171</v>
      </c>
      <c r="B85" s="355" t="s">
        <v>930</v>
      </c>
      <c r="C85" s="356" t="s">
        <v>668</v>
      </c>
      <c r="D85" s="357">
        <v>1</v>
      </c>
      <c r="E85" s="358">
        <v>1000</v>
      </c>
      <c r="F85" s="359">
        <f t="shared" si="14"/>
        <v>0.001</v>
      </c>
      <c r="G85" s="357">
        <v>0.2</v>
      </c>
      <c r="H85" s="358">
        <v>10</v>
      </c>
      <c r="I85" s="359">
        <f t="shared" si="13"/>
        <v>0.02</v>
      </c>
      <c r="J85" s="357">
        <v>0.05</v>
      </c>
      <c r="K85" s="358" t="s">
        <v>24</v>
      </c>
      <c r="L85" s="359" t="s">
        <v>26</v>
      </c>
      <c r="P85" s="7"/>
      <c r="Q85" s="7"/>
      <c r="R85" s="7"/>
      <c r="S85" s="7"/>
      <c r="T85" s="7"/>
      <c r="U85" s="7"/>
      <c r="V85" s="7"/>
      <c r="W85" s="7"/>
      <c r="X85" s="7"/>
      <c r="Y85" s="7"/>
      <c r="Z85" s="7"/>
    </row>
    <row r="86" spans="1:26" ht="12.75">
      <c r="A86" s="355">
        <v>2172</v>
      </c>
      <c r="B86" s="355" t="s">
        <v>930</v>
      </c>
      <c r="C86" s="356" t="s">
        <v>669</v>
      </c>
      <c r="D86" s="357">
        <v>1</v>
      </c>
      <c r="E86" s="358">
        <v>1000</v>
      </c>
      <c r="F86" s="359">
        <f t="shared" si="14"/>
        <v>0.001</v>
      </c>
      <c r="G86" s="357">
        <v>0.39</v>
      </c>
      <c r="H86" s="358">
        <v>10</v>
      </c>
      <c r="I86" s="359">
        <f t="shared" si="13"/>
        <v>0.039</v>
      </c>
      <c r="J86" s="357">
        <v>0.05</v>
      </c>
      <c r="K86" s="358" t="s">
        <v>24</v>
      </c>
      <c r="L86" s="359" t="s">
        <v>27</v>
      </c>
      <c r="P86" s="7"/>
      <c r="Q86" s="7"/>
      <c r="R86" s="7"/>
      <c r="S86" s="7"/>
      <c r="T86" s="7"/>
      <c r="U86" s="7"/>
      <c r="V86" s="7"/>
      <c r="W86" s="7"/>
      <c r="X86" s="7"/>
      <c r="Y86" s="7"/>
      <c r="Z86" s="7"/>
    </row>
    <row r="87" spans="1:26" ht="12.75">
      <c r="A87" s="355">
        <v>2173</v>
      </c>
      <c r="B87" s="355" t="s">
        <v>930</v>
      </c>
      <c r="C87" s="356" t="s">
        <v>670</v>
      </c>
      <c r="D87" s="357">
        <v>1</v>
      </c>
      <c r="E87" s="358">
        <v>1000</v>
      </c>
      <c r="F87" s="359">
        <f t="shared" si="14"/>
        <v>0.001</v>
      </c>
      <c r="G87" s="357">
        <v>1.52</v>
      </c>
      <c r="H87" s="358">
        <v>10</v>
      </c>
      <c r="I87" s="359">
        <f t="shared" si="13"/>
        <v>0.152</v>
      </c>
      <c r="J87" s="357">
        <v>0.05</v>
      </c>
      <c r="K87" s="358" t="s">
        <v>24</v>
      </c>
      <c r="L87" s="359" t="s">
        <v>26</v>
      </c>
      <c r="P87" s="7"/>
      <c r="Q87" s="7"/>
      <c r="R87" s="7"/>
      <c r="S87" s="7"/>
      <c r="T87" s="7"/>
      <c r="U87" s="7"/>
      <c r="V87" s="7"/>
      <c r="W87" s="7"/>
      <c r="X87" s="7"/>
      <c r="Y87" s="7"/>
      <c r="Z87" s="7"/>
    </row>
    <row r="88" spans="1:26" ht="12.75">
      <c r="A88" s="355">
        <v>2174</v>
      </c>
      <c r="B88" s="355" t="s">
        <v>930</v>
      </c>
      <c r="C88" s="356" t="s">
        <v>671</v>
      </c>
      <c r="D88" s="357"/>
      <c r="E88" s="358"/>
      <c r="F88" s="359">
        <f>I88</f>
        <v>0.0054</v>
      </c>
      <c r="G88" s="357">
        <v>0.054</v>
      </c>
      <c r="H88" s="358">
        <v>10</v>
      </c>
      <c r="I88" s="359">
        <f t="shared" si="13"/>
        <v>0.0054</v>
      </c>
      <c r="J88" s="357">
        <v>0.05</v>
      </c>
      <c r="K88" s="358" t="s">
        <v>24</v>
      </c>
      <c r="L88" s="359" t="s">
        <v>26</v>
      </c>
      <c r="P88" s="7"/>
      <c r="Q88" s="7"/>
      <c r="R88" s="7"/>
      <c r="S88" s="7"/>
      <c r="T88" s="7"/>
      <c r="U88" s="7"/>
      <c r="V88" s="7"/>
      <c r="W88" s="7"/>
      <c r="X88" s="7"/>
      <c r="Y88" s="7"/>
      <c r="Z88" s="7"/>
    </row>
    <row r="89" spans="1:26" ht="12.75">
      <c r="A89" s="355">
        <v>2175</v>
      </c>
      <c r="B89" s="355" t="s">
        <v>930</v>
      </c>
      <c r="C89" s="356" t="s">
        <v>672</v>
      </c>
      <c r="D89" s="357">
        <v>3.2</v>
      </c>
      <c r="E89" s="358">
        <v>1000</v>
      </c>
      <c r="F89" s="359">
        <f>D89/E89</f>
        <v>0.0032</v>
      </c>
      <c r="G89" s="357">
        <v>0.082</v>
      </c>
      <c r="H89" s="358">
        <v>10</v>
      </c>
      <c r="I89" s="359">
        <f t="shared" si="13"/>
        <v>0.0082</v>
      </c>
      <c r="J89" s="357">
        <v>0.05</v>
      </c>
      <c r="K89" s="358" t="s">
        <v>24</v>
      </c>
      <c r="L89" s="359" t="s">
        <v>27</v>
      </c>
      <c r="P89" s="7"/>
      <c r="Q89" s="7"/>
      <c r="R89" s="7"/>
      <c r="S89" s="7"/>
      <c r="T89" s="7"/>
      <c r="U89" s="7"/>
      <c r="V89" s="7"/>
      <c r="W89" s="7"/>
      <c r="X89" s="7"/>
      <c r="Y89" s="7"/>
      <c r="Z89" s="7"/>
    </row>
    <row r="90" spans="1:26" ht="12.75">
      <c r="A90" s="355">
        <v>2176</v>
      </c>
      <c r="B90" s="355" t="s">
        <v>930</v>
      </c>
      <c r="C90" s="356" t="s">
        <v>673</v>
      </c>
      <c r="D90" s="357">
        <v>0.72</v>
      </c>
      <c r="E90" s="358">
        <v>1000</v>
      </c>
      <c r="F90" s="359">
        <f>D90/E90</f>
        <v>0.0007199999999999999</v>
      </c>
      <c r="G90" s="357">
        <v>0.11</v>
      </c>
      <c r="H90" s="358">
        <v>10</v>
      </c>
      <c r="I90" s="359">
        <f t="shared" si="13"/>
        <v>0.011</v>
      </c>
      <c r="J90" s="357">
        <v>0.05</v>
      </c>
      <c r="K90" s="358" t="s">
        <v>24</v>
      </c>
      <c r="L90" s="359" t="s">
        <v>27</v>
      </c>
      <c r="P90" s="7"/>
      <c r="Q90" s="7"/>
      <c r="R90" s="7"/>
      <c r="S90" s="7"/>
      <c r="T90" s="7"/>
      <c r="U90" s="7"/>
      <c r="V90" s="7"/>
      <c r="W90" s="7"/>
      <c r="X90" s="7"/>
      <c r="Y90" s="7"/>
      <c r="Z90" s="7"/>
    </row>
    <row r="91" spans="1:26" ht="12.75">
      <c r="A91" s="355">
        <v>2177</v>
      </c>
      <c r="B91" s="355" t="s">
        <v>930</v>
      </c>
      <c r="C91" s="356" t="s">
        <v>674</v>
      </c>
      <c r="D91" s="357">
        <v>4.1</v>
      </c>
      <c r="E91" s="358">
        <v>1000</v>
      </c>
      <c r="F91" s="359">
        <f>D91/E91</f>
        <v>0.0040999999999999995</v>
      </c>
      <c r="G91" s="357">
        <v>28.6</v>
      </c>
      <c r="H91" s="358">
        <v>10</v>
      </c>
      <c r="I91" s="359">
        <f t="shared" si="13"/>
        <v>2.8600000000000003</v>
      </c>
      <c r="J91" s="357">
        <v>0.05</v>
      </c>
      <c r="K91" s="358" t="s">
        <v>24</v>
      </c>
      <c r="L91" s="359" t="s">
        <v>27</v>
      </c>
      <c r="M91" s="294"/>
      <c r="N91" s="294"/>
      <c r="O91" s="183"/>
      <c r="P91" s="7"/>
      <c r="Q91" s="7"/>
      <c r="R91" s="7"/>
      <c r="S91" s="7"/>
      <c r="T91" s="7"/>
      <c r="U91" s="7"/>
      <c r="V91" s="7"/>
      <c r="W91" s="7"/>
      <c r="X91" s="7"/>
      <c r="Y91" s="7"/>
      <c r="Z91" s="7"/>
    </row>
    <row r="92" spans="1:26" ht="12.75">
      <c r="A92" s="355">
        <v>2178</v>
      </c>
      <c r="B92" s="355" t="s">
        <v>930</v>
      </c>
      <c r="C92" s="356" t="s">
        <v>675</v>
      </c>
      <c r="D92" s="357">
        <v>30</v>
      </c>
      <c r="E92" s="358">
        <v>1000</v>
      </c>
      <c r="F92" s="359">
        <f>D92/E92</f>
        <v>0.03</v>
      </c>
      <c r="G92" s="357"/>
      <c r="H92" s="358"/>
      <c r="I92" s="359">
        <f>F92</f>
        <v>0.03</v>
      </c>
      <c r="J92" s="357">
        <v>0.05</v>
      </c>
      <c r="K92" s="358" t="s">
        <v>24</v>
      </c>
      <c r="L92" s="359" t="s">
        <v>27</v>
      </c>
      <c r="M92" s="294"/>
      <c r="N92" s="294"/>
      <c r="O92" s="183"/>
      <c r="P92" s="7"/>
      <c r="Q92" s="7"/>
      <c r="R92" s="7"/>
      <c r="S92" s="7"/>
      <c r="T92" s="7"/>
      <c r="U92" s="7"/>
      <c r="V92" s="7"/>
      <c r="W92" s="7"/>
      <c r="X92" s="7"/>
      <c r="Y92" s="7"/>
      <c r="Z92" s="7"/>
    </row>
    <row r="93" spans="1:26" ht="13" thickBot="1">
      <c r="A93" s="370">
        <v>2179</v>
      </c>
      <c r="B93" s="370" t="s">
        <v>930</v>
      </c>
      <c r="C93" s="371" t="s">
        <v>682</v>
      </c>
      <c r="D93" s="372">
        <v>1.3</v>
      </c>
      <c r="E93" s="373">
        <v>1000</v>
      </c>
      <c r="F93" s="374">
        <v>0.0013</v>
      </c>
      <c r="G93" s="375"/>
      <c r="H93" s="373"/>
      <c r="I93" s="374">
        <f>F93</f>
        <v>0.0013</v>
      </c>
      <c r="J93" s="375">
        <v>0.05</v>
      </c>
      <c r="K93" s="373" t="s">
        <v>24</v>
      </c>
      <c r="L93" s="376" t="s">
        <v>26</v>
      </c>
      <c r="M93" s="294"/>
      <c r="N93" s="294"/>
      <c r="O93" s="183"/>
      <c r="P93" s="7"/>
      <c r="Q93" s="7"/>
      <c r="R93" s="7"/>
      <c r="S93" s="7"/>
      <c r="T93" s="7"/>
      <c r="U93" s="7"/>
      <c r="V93" s="7"/>
      <c r="W93" s="7"/>
      <c r="X93" s="7"/>
      <c r="Y93" s="7"/>
      <c r="Z93" s="7"/>
    </row>
    <row r="94" spans="1:26" ht="12.75">
      <c r="A94" s="377">
        <v>2201</v>
      </c>
      <c r="B94" s="378" t="s">
        <v>31</v>
      </c>
      <c r="C94" s="379" t="s">
        <v>265</v>
      </c>
      <c r="D94" s="380">
        <v>1.7</v>
      </c>
      <c r="E94" s="381">
        <v>1000</v>
      </c>
      <c r="F94" s="382">
        <f>D94/E94</f>
        <v>0.0017</v>
      </c>
      <c r="G94" s="383">
        <v>0.135</v>
      </c>
      <c r="H94" s="384">
        <v>10</v>
      </c>
      <c r="I94" s="385">
        <f>G94/H94</f>
        <v>0.013500000000000002</v>
      </c>
      <c r="J94" s="380">
        <v>0.05</v>
      </c>
      <c r="K94" s="381" t="s">
        <v>24</v>
      </c>
      <c r="L94" s="386" t="s">
        <v>27</v>
      </c>
      <c r="M94" s="294"/>
      <c r="N94" s="294"/>
      <c r="O94" s="183"/>
      <c r="P94" s="7"/>
      <c r="Q94" s="7"/>
      <c r="R94" s="7"/>
      <c r="S94" s="7"/>
      <c r="T94" s="7"/>
      <c r="U94" s="7"/>
      <c r="V94" s="7"/>
      <c r="W94" s="7"/>
      <c r="X94" s="7"/>
      <c r="Y94" s="7"/>
      <c r="Z94" s="7"/>
    </row>
    <row r="95" spans="1:26" ht="12.75">
      <c r="A95" s="334">
        <v>2202</v>
      </c>
      <c r="B95" s="387" t="s">
        <v>31</v>
      </c>
      <c r="C95" s="388" t="s">
        <v>266</v>
      </c>
      <c r="D95" s="389">
        <v>0.925</v>
      </c>
      <c r="E95" s="390">
        <v>1000</v>
      </c>
      <c r="F95" s="391">
        <f aca="true" t="shared" si="15" ref="F95:F100">D95/E95</f>
        <v>0.000925</v>
      </c>
      <c r="G95" s="392">
        <v>0.135</v>
      </c>
      <c r="H95" s="390">
        <v>10</v>
      </c>
      <c r="I95" s="393">
        <f aca="true" t="shared" si="16" ref="I95">G95/H95</f>
        <v>0.013500000000000002</v>
      </c>
      <c r="J95" s="389">
        <v>0.05</v>
      </c>
      <c r="K95" s="390" t="s">
        <v>24</v>
      </c>
      <c r="L95" s="391" t="s">
        <v>27</v>
      </c>
      <c r="M95" s="294"/>
      <c r="N95" s="294"/>
      <c r="O95" s="183"/>
      <c r="P95" s="7"/>
      <c r="Q95" s="7"/>
      <c r="R95" s="7"/>
      <c r="S95" s="7"/>
      <c r="T95" s="7"/>
      <c r="U95" s="7"/>
      <c r="V95" s="7"/>
      <c r="W95" s="7"/>
      <c r="X95" s="7"/>
      <c r="Y95" s="7"/>
      <c r="Z95" s="7"/>
    </row>
    <row r="96" spans="1:26" ht="12.75">
      <c r="A96" s="334">
        <v>2203</v>
      </c>
      <c r="B96" s="387" t="s">
        <v>31</v>
      </c>
      <c r="C96" s="394" t="s">
        <v>267</v>
      </c>
      <c r="D96" s="330">
        <v>0.3</v>
      </c>
      <c r="E96" s="328">
        <v>1000</v>
      </c>
      <c r="F96" s="331">
        <f t="shared" si="15"/>
        <v>0.0003</v>
      </c>
      <c r="G96" s="332"/>
      <c r="H96" s="328"/>
      <c r="I96" s="329">
        <f>F96</f>
        <v>0.0003</v>
      </c>
      <c r="J96" s="330">
        <v>0.05</v>
      </c>
      <c r="K96" s="328" t="s">
        <v>24</v>
      </c>
      <c r="L96" s="331" t="s">
        <v>27</v>
      </c>
      <c r="M96" s="292"/>
      <c r="N96" s="292"/>
      <c r="O96" s="181"/>
      <c r="P96" s="7"/>
      <c r="Q96" s="7"/>
      <c r="R96" s="7"/>
      <c r="S96" s="7"/>
      <c r="T96" s="7"/>
      <c r="U96" s="7"/>
      <c r="V96" s="7"/>
      <c r="W96" s="7"/>
      <c r="X96" s="7"/>
      <c r="Y96" s="7"/>
      <c r="Z96" s="7"/>
    </row>
    <row r="97" spans="1:26" ht="12.75">
      <c r="A97" s="334">
        <v>2204</v>
      </c>
      <c r="B97" s="387" t="s">
        <v>31</v>
      </c>
      <c r="C97" s="395" t="s">
        <v>268</v>
      </c>
      <c r="D97" s="323">
        <v>3.4</v>
      </c>
      <c r="E97" s="321">
        <v>1000</v>
      </c>
      <c r="F97" s="324">
        <f t="shared" si="15"/>
        <v>0.0034</v>
      </c>
      <c r="G97" s="325"/>
      <c r="H97" s="321"/>
      <c r="I97" s="322">
        <f>F97</f>
        <v>0.0034</v>
      </c>
      <c r="J97" s="323">
        <v>0.05</v>
      </c>
      <c r="K97" s="321" t="s">
        <v>24</v>
      </c>
      <c r="L97" s="324" t="s">
        <v>26</v>
      </c>
      <c r="M97" s="293"/>
      <c r="N97" s="293"/>
      <c r="O97" s="182"/>
      <c r="P97" s="7"/>
      <c r="Q97" s="7"/>
      <c r="R97" s="7"/>
      <c r="S97" s="7"/>
      <c r="T97" s="7"/>
      <c r="U97" s="7"/>
      <c r="V97" s="7"/>
      <c r="W97" s="7"/>
      <c r="X97" s="7"/>
      <c r="Y97" s="7"/>
      <c r="Z97" s="7"/>
    </row>
    <row r="98" spans="1:26" ht="12.75">
      <c r="A98" s="334">
        <v>2205</v>
      </c>
      <c r="B98" s="387" t="s">
        <v>31</v>
      </c>
      <c r="C98" s="396" t="s">
        <v>269</v>
      </c>
      <c r="D98" s="330">
        <v>0.68</v>
      </c>
      <c r="E98" s="328">
        <v>5000</v>
      </c>
      <c r="F98" s="331">
        <f t="shared" si="15"/>
        <v>0.000136</v>
      </c>
      <c r="G98" s="332">
        <v>0.3</v>
      </c>
      <c r="H98" s="328">
        <v>10</v>
      </c>
      <c r="I98" s="329">
        <f>G98/H98</f>
        <v>0.03</v>
      </c>
      <c r="J98" s="330">
        <v>0.05</v>
      </c>
      <c r="K98" s="328" t="s">
        <v>24</v>
      </c>
      <c r="L98" s="331" t="s">
        <v>26</v>
      </c>
      <c r="M98" s="293"/>
      <c r="N98" s="293"/>
      <c r="O98" s="182"/>
      <c r="P98" s="7"/>
      <c r="Q98" s="7"/>
      <c r="R98" s="7"/>
      <c r="S98" s="7"/>
      <c r="T98" s="7"/>
      <c r="U98" s="7"/>
      <c r="V98" s="7"/>
      <c r="W98" s="7"/>
      <c r="X98" s="7"/>
      <c r="Y98" s="7"/>
      <c r="Z98" s="7"/>
    </row>
    <row r="99" spans="1:26" ht="12.75">
      <c r="A99" s="334">
        <v>2206</v>
      </c>
      <c r="B99" s="387" t="s">
        <v>31</v>
      </c>
      <c r="C99" s="396" t="s">
        <v>270</v>
      </c>
      <c r="D99" s="330">
        <v>0.134</v>
      </c>
      <c r="E99" s="328">
        <v>1000</v>
      </c>
      <c r="F99" s="331">
        <f t="shared" si="15"/>
        <v>0.000134</v>
      </c>
      <c r="G99" s="332">
        <v>0.067</v>
      </c>
      <c r="H99" s="328">
        <v>10</v>
      </c>
      <c r="I99" s="329">
        <f>G99/H99</f>
        <v>0.0067</v>
      </c>
      <c r="J99" s="330">
        <v>0.05</v>
      </c>
      <c r="K99" s="328" t="s">
        <v>24</v>
      </c>
      <c r="L99" s="331" t="s">
        <v>26</v>
      </c>
      <c r="M99" s="293"/>
      <c r="N99" s="293"/>
      <c r="O99" s="182"/>
      <c r="P99" s="7"/>
      <c r="Q99" s="7"/>
      <c r="R99" s="7"/>
      <c r="S99" s="7"/>
      <c r="T99" s="7"/>
      <c r="U99" s="7"/>
      <c r="V99" s="7"/>
      <c r="W99" s="7"/>
      <c r="X99" s="7"/>
      <c r="Y99" s="7"/>
      <c r="Z99" s="7"/>
    </row>
    <row r="100" spans="1:26" ht="13" thickBot="1">
      <c r="A100" s="338">
        <v>2207</v>
      </c>
      <c r="B100" s="397" t="s">
        <v>31</v>
      </c>
      <c r="C100" s="398" t="s">
        <v>271</v>
      </c>
      <c r="D100" s="343">
        <f>(5.3+1.6)/2</f>
        <v>3.45</v>
      </c>
      <c r="E100" s="341">
        <v>1000</v>
      </c>
      <c r="F100" s="344">
        <f t="shared" si="15"/>
        <v>0.0034500000000000004</v>
      </c>
      <c r="G100" s="340"/>
      <c r="H100" s="341"/>
      <c r="I100" s="342">
        <f>F100</f>
        <v>0.0034500000000000004</v>
      </c>
      <c r="J100" s="343">
        <v>0.05</v>
      </c>
      <c r="K100" s="341" t="s">
        <v>24</v>
      </c>
      <c r="L100" s="344" t="s">
        <v>27</v>
      </c>
      <c r="M100" s="293"/>
      <c r="N100" s="293"/>
      <c r="O100" s="182"/>
      <c r="P100" s="7"/>
      <c r="Q100" s="7"/>
      <c r="R100" s="7"/>
      <c r="S100" s="7"/>
      <c r="T100" s="7"/>
      <c r="U100" s="7"/>
      <c r="V100" s="7"/>
      <c r="W100" s="7"/>
      <c r="X100" s="7"/>
      <c r="Y100" s="7"/>
      <c r="Z100" s="7"/>
    </row>
    <row r="101" spans="1:26" ht="12.75">
      <c r="A101" s="399">
        <v>2301</v>
      </c>
      <c r="B101" s="400" t="s">
        <v>32</v>
      </c>
      <c r="C101" s="379" t="s">
        <v>272</v>
      </c>
      <c r="D101" s="380">
        <v>0.08</v>
      </c>
      <c r="E101" s="381">
        <v>1000</v>
      </c>
      <c r="F101" s="386">
        <f>D101/E101</f>
        <v>8E-05</v>
      </c>
      <c r="G101" s="380">
        <v>0.0068</v>
      </c>
      <c r="H101" s="381">
        <v>10</v>
      </c>
      <c r="I101" s="386">
        <f>G101/H101</f>
        <v>0.0006799999999999999</v>
      </c>
      <c r="J101" s="380">
        <v>0.05</v>
      </c>
      <c r="K101" s="381" t="s">
        <v>24</v>
      </c>
      <c r="L101" s="386" t="s">
        <v>26</v>
      </c>
      <c r="M101" s="294"/>
      <c r="N101" s="294"/>
      <c r="O101" s="183"/>
      <c r="P101" s="7"/>
      <c r="Q101" s="7"/>
      <c r="R101" s="7"/>
      <c r="S101" s="7"/>
      <c r="T101" s="7"/>
      <c r="U101" s="7"/>
      <c r="V101" s="7"/>
      <c r="W101" s="7"/>
      <c r="X101" s="7"/>
      <c r="Y101" s="7"/>
      <c r="Z101" s="7"/>
    </row>
    <row r="102" spans="1:26" ht="12.75">
      <c r="A102" s="334">
        <v>2302</v>
      </c>
      <c r="B102" s="400" t="s">
        <v>32</v>
      </c>
      <c r="C102" s="401" t="s">
        <v>273</v>
      </c>
      <c r="D102" s="323">
        <v>0.05</v>
      </c>
      <c r="E102" s="321">
        <v>1000</v>
      </c>
      <c r="F102" s="324">
        <f>D102/E102</f>
        <v>5E-05</v>
      </c>
      <c r="G102" s="323">
        <v>0.025</v>
      </c>
      <c r="H102" s="321">
        <v>10</v>
      </c>
      <c r="I102" s="324">
        <f>G102/H102</f>
        <v>0.0025</v>
      </c>
      <c r="J102" s="323">
        <v>0.05</v>
      </c>
      <c r="K102" s="321" t="s">
        <v>24</v>
      </c>
      <c r="L102" s="324" t="s">
        <v>26</v>
      </c>
      <c r="M102" s="294"/>
      <c r="N102" s="294"/>
      <c r="O102" s="183"/>
      <c r="P102" s="7"/>
      <c r="Q102" s="7"/>
      <c r="R102" s="7"/>
      <c r="S102" s="7"/>
      <c r="T102" s="7"/>
      <c r="U102" s="7"/>
      <c r="V102" s="7"/>
      <c r="W102" s="7"/>
      <c r="X102" s="7"/>
      <c r="Y102" s="7"/>
      <c r="Z102" s="7"/>
    </row>
    <row r="103" spans="1:26" ht="12.75">
      <c r="A103" s="334">
        <v>2303</v>
      </c>
      <c r="B103" s="400" t="s">
        <v>32</v>
      </c>
      <c r="C103" s="327" t="s">
        <v>274</v>
      </c>
      <c r="D103" s="332">
        <v>1.91</v>
      </c>
      <c r="E103" s="328">
        <v>1000</v>
      </c>
      <c r="F103" s="329">
        <f>D103/E103</f>
        <v>0.00191</v>
      </c>
      <c r="G103" s="330">
        <v>1</v>
      </c>
      <c r="H103" s="328">
        <v>10</v>
      </c>
      <c r="I103" s="331">
        <f>G103/H103</f>
        <v>0.1</v>
      </c>
      <c r="J103" s="332">
        <v>0.05</v>
      </c>
      <c r="K103" s="328" t="s">
        <v>24</v>
      </c>
      <c r="L103" s="331" t="s">
        <v>27</v>
      </c>
      <c r="P103" s="7"/>
      <c r="Q103" s="7"/>
      <c r="R103" s="7"/>
      <c r="S103" s="7"/>
      <c r="T103" s="7"/>
      <c r="U103" s="7"/>
      <c r="V103" s="7"/>
      <c r="W103" s="7"/>
      <c r="X103" s="7"/>
      <c r="Y103" s="7"/>
      <c r="Z103" s="7"/>
    </row>
    <row r="104" spans="1:26" ht="13" thickBot="1">
      <c r="A104" s="402">
        <v>2304</v>
      </c>
      <c r="B104" s="403" t="s">
        <v>32</v>
      </c>
      <c r="C104" s="404" t="s">
        <v>275</v>
      </c>
      <c r="D104" s="340"/>
      <c r="E104" s="341"/>
      <c r="F104" s="342"/>
      <c r="G104" s="343">
        <v>0.69</v>
      </c>
      <c r="H104" s="341">
        <v>50</v>
      </c>
      <c r="I104" s="344">
        <f>G104/H104</f>
        <v>0.0138</v>
      </c>
      <c r="J104" s="340">
        <v>0.05</v>
      </c>
      <c r="K104" s="341" t="s">
        <v>24</v>
      </c>
      <c r="L104" s="344" t="s">
        <v>26</v>
      </c>
      <c r="P104" s="7"/>
      <c r="Q104" s="7"/>
      <c r="R104" s="7"/>
      <c r="S104" s="7"/>
      <c r="T104" s="7"/>
      <c r="U104" s="7"/>
      <c r="V104" s="7"/>
      <c r="W104" s="7"/>
      <c r="X104" s="7"/>
      <c r="Y104" s="7"/>
      <c r="Z104" s="7"/>
    </row>
    <row r="105" spans="1:26" ht="12.75">
      <c r="A105" s="405">
        <v>2401</v>
      </c>
      <c r="B105" s="400" t="s">
        <v>936</v>
      </c>
      <c r="C105" s="379" t="s">
        <v>276</v>
      </c>
      <c r="D105" s="380">
        <v>0.11</v>
      </c>
      <c r="E105" s="381">
        <v>1000</v>
      </c>
      <c r="F105" s="386">
        <f aca="true" t="shared" si="17" ref="F105">D105/E105</f>
        <v>0.00011</v>
      </c>
      <c r="G105" s="380">
        <v>0.04</v>
      </c>
      <c r="H105" s="381">
        <v>10</v>
      </c>
      <c r="I105" s="386">
        <f>G105/H105</f>
        <v>0.004</v>
      </c>
      <c r="J105" s="380">
        <v>0.5</v>
      </c>
      <c r="K105" s="381" t="s">
        <v>28</v>
      </c>
      <c r="L105" s="386" t="s">
        <v>25</v>
      </c>
      <c r="M105" s="294"/>
      <c r="N105" s="294"/>
      <c r="O105" s="183"/>
      <c r="P105" s="7"/>
      <c r="Q105" s="7"/>
      <c r="R105" s="7"/>
      <c r="S105" s="7"/>
      <c r="T105" s="7"/>
      <c r="U105" s="7"/>
      <c r="V105" s="7"/>
      <c r="W105" s="7"/>
      <c r="X105" s="7"/>
      <c r="Y105" s="7"/>
      <c r="Z105" s="7"/>
    </row>
    <row r="106" spans="1:26" ht="12.75">
      <c r="A106" s="334">
        <v>2402</v>
      </c>
      <c r="B106" s="400" t="s">
        <v>936</v>
      </c>
      <c r="C106" s="346" t="s">
        <v>33</v>
      </c>
      <c r="D106" s="333">
        <v>295</v>
      </c>
      <c r="E106" s="328">
        <v>1000</v>
      </c>
      <c r="F106" s="406">
        <v>0.295</v>
      </c>
      <c r="G106" s="333">
        <v>51</v>
      </c>
      <c r="H106" s="328">
        <v>50</v>
      </c>
      <c r="I106" s="332">
        <v>1.02</v>
      </c>
      <c r="J106" s="333">
        <v>0.05</v>
      </c>
      <c r="K106" s="328" t="s">
        <v>24</v>
      </c>
      <c r="L106" s="406" t="s">
        <v>27</v>
      </c>
      <c r="M106" s="294"/>
      <c r="N106" s="294"/>
      <c r="O106" s="183"/>
      <c r="P106" s="7"/>
      <c r="Q106" s="7"/>
      <c r="R106" s="7"/>
      <c r="S106" s="7"/>
      <c r="T106" s="7"/>
      <c r="U106" s="7"/>
      <c r="V106" s="7"/>
      <c r="W106" s="7"/>
      <c r="X106" s="7"/>
      <c r="Y106" s="7"/>
      <c r="Z106" s="7"/>
    </row>
    <row r="107" spans="1:26" ht="12.75">
      <c r="A107" s="334">
        <v>2403</v>
      </c>
      <c r="B107" s="400" t="s">
        <v>936</v>
      </c>
      <c r="C107" s="346" t="s">
        <v>34</v>
      </c>
      <c r="D107" s="333">
        <v>0.4</v>
      </c>
      <c r="E107" s="328">
        <v>5000</v>
      </c>
      <c r="F107" s="406">
        <f aca="true" t="shared" si="18" ref="F107:F121">D107/E107</f>
        <v>8E-05</v>
      </c>
      <c r="G107" s="333"/>
      <c r="H107" s="328"/>
      <c r="I107" s="406">
        <f>F107</f>
        <v>8E-05</v>
      </c>
      <c r="J107" s="330">
        <v>1</v>
      </c>
      <c r="K107" s="328" t="s">
        <v>35</v>
      </c>
      <c r="L107" s="331" t="s">
        <v>26</v>
      </c>
      <c r="M107" s="294"/>
      <c r="N107" s="294"/>
      <c r="O107" s="183"/>
      <c r="P107" s="7"/>
      <c r="Q107" s="7"/>
      <c r="R107" s="7"/>
      <c r="S107" s="7"/>
      <c r="T107" s="7"/>
      <c r="U107" s="7"/>
      <c r="V107" s="7"/>
      <c r="W107" s="7"/>
      <c r="X107" s="7"/>
      <c r="Y107" s="7"/>
      <c r="Z107" s="7"/>
    </row>
    <row r="108" spans="1:26" ht="12.75">
      <c r="A108" s="345">
        <v>2404</v>
      </c>
      <c r="B108" s="400" t="s">
        <v>936</v>
      </c>
      <c r="C108" s="346" t="s">
        <v>687</v>
      </c>
      <c r="D108" s="333">
        <v>0.78</v>
      </c>
      <c r="E108" s="328">
        <v>1000</v>
      </c>
      <c r="F108" s="406">
        <f t="shared" si="18"/>
        <v>0.00078</v>
      </c>
      <c r="G108" s="333">
        <v>0.1</v>
      </c>
      <c r="H108" s="328">
        <v>10</v>
      </c>
      <c r="I108" s="407">
        <f>G108/H108</f>
        <v>0.01</v>
      </c>
      <c r="J108" s="330">
        <v>0.15</v>
      </c>
      <c r="K108" s="332" t="s">
        <v>24</v>
      </c>
      <c r="L108" s="331" t="s">
        <v>26</v>
      </c>
      <c r="M108" s="294"/>
      <c r="N108" s="294"/>
      <c r="O108" s="183"/>
      <c r="P108" s="7"/>
      <c r="Q108" s="7"/>
      <c r="R108" s="7"/>
      <c r="S108" s="7"/>
      <c r="T108" s="7"/>
      <c r="U108" s="7"/>
      <c r="V108" s="7"/>
      <c r="W108" s="7"/>
      <c r="X108" s="7"/>
      <c r="Y108" s="7"/>
      <c r="Z108" s="7"/>
    </row>
    <row r="109" spans="1:26" ht="12.75">
      <c r="A109" s="334">
        <v>2405</v>
      </c>
      <c r="B109" s="400" t="s">
        <v>936</v>
      </c>
      <c r="C109" s="346" t="s">
        <v>36</v>
      </c>
      <c r="D109" s="333">
        <v>4.81</v>
      </c>
      <c r="E109" s="328">
        <v>1000</v>
      </c>
      <c r="F109" s="406">
        <v>0.0048</v>
      </c>
      <c r="G109" s="333"/>
      <c r="H109" s="328"/>
      <c r="I109" s="407">
        <v>0.0048</v>
      </c>
      <c r="J109" s="330">
        <v>0.05</v>
      </c>
      <c r="K109" s="332" t="s">
        <v>24</v>
      </c>
      <c r="L109" s="331" t="s">
        <v>26</v>
      </c>
      <c r="M109" s="294"/>
      <c r="N109" s="294"/>
      <c r="O109" s="183"/>
      <c r="P109" s="7"/>
      <c r="Q109" s="7"/>
      <c r="R109" s="7"/>
      <c r="S109" s="7"/>
      <c r="T109" s="7"/>
      <c r="U109" s="7"/>
      <c r="V109" s="7"/>
      <c r="W109" s="7"/>
      <c r="X109" s="7"/>
      <c r="Y109" s="7"/>
      <c r="Z109" s="7"/>
    </row>
    <row r="110" spans="1:26" ht="12.75">
      <c r="A110" s="334">
        <v>2406</v>
      </c>
      <c r="B110" s="400" t="s">
        <v>936</v>
      </c>
      <c r="C110" s="394" t="s">
        <v>37</v>
      </c>
      <c r="D110" s="333">
        <v>35</v>
      </c>
      <c r="E110" s="328">
        <v>5000</v>
      </c>
      <c r="F110" s="406">
        <f t="shared" si="18"/>
        <v>0.007</v>
      </c>
      <c r="G110" s="333"/>
      <c r="H110" s="328"/>
      <c r="I110" s="407">
        <f>F110</f>
        <v>0.007</v>
      </c>
      <c r="J110" s="330">
        <v>1</v>
      </c>
      <c r="K110" s="332" t="s">
        <v>35</v>
      </c>
      <c r="L110" s="331" t="s">
        <v>26</v>
      </c>
      <c r="M110" s="294"/>
      <c r="N110" s="294"/>
      <c r="O110" s="183"/>
      <c r="P110" s="7"/>
      <c r="Q110" s="7"/>
      <c r="R110" s="7"/>
      <c r="S110" s="7"/>
      <c r="T110" s="7"/>
      <c r="U110" s="7"/>
      <c r="V110" s="7"/>
      <c r="W110" s="7"/>
      <c r="X110" s="7"/>
      <c r="Y110" s="7"/>
      <c r="Z110" s="7"/>
    </row>
    <row r="111" spans="1:26" ht="12.75">
      <c r="A111" s="334">
        <v>2407</v>
      </c>
      <c r="B111" s="400" t="s">
        <v>936</v>
      </c>
      <c r="C111" s="346" t="s">
        <v>38</v>
      </c>
      <c r="D111" s="333">
        <v>2</v>
      </c>
      <c r="E111" s="328">
        <v>1000</v>
      </c>
      <c r="F111" s="406">
        <f t="shared" si="18"/>
        <v>0.002</v>
      </c>
      <c r="G111" s="333"/>
      <c r="H111" s="328"/>
      <c r="I111" s="407">
        <f>F111</f>
        <v>0.002</v>
      </c>
      <c r="J111" s="330">
        <v>0.05</v>
      </c>
      <c r="K111" s="332" t="s">
        <v>24</v>
      </c>
      <c r="L111" s="331" t="s">
        <v>26</v>
      </c>
      <c r="M111" s="294"/>
      <c r="N111" s="294"/>
      <c r="O111" s="183"/>
      <c r="P111" s="7"/>
      <c r="Q111" s="7"/>
      <c r="R111" s="7"/>
      <c r="S111" s="7"/>
      <c r="T111" s="7"/>
      <c r="U111" s="7"/>
      <c r="V111" s="7"/>
      <c r="W111" s="7"/>
      <c r="X111" s="7"/>
      <c r="Y111" s="7"/>
      <c r="Z111" s="7"/>
    </row>
    <row r="112" spans="1:26" ht="12.75">
      <c r="A112" s="334">
        <v>2408</v>
      </c>
      <c r="B112" s="400" t="s">
        <v>936</v>
      </c>
      <c r="C112" s="346" t="s">
        <v>39</v>
      </c>
      <c r="D112" s="333">
        <v>0.375</v>
      </c>
      <c r="E112" s="328">
        <v>1000</v>
      </c>
      <c r="F112" s="406">
        <f t="shared" si="18"/>
        <v>0.000375</v>
      </c>
      <c r="G112" s="333">
        <v>0.0223</v>
      </c>
      <c r="H112" s="328">
        <v>10</v>
      </c>
      <c r="I112" s="407">
        <f>G112/H112</f>
        <v>0.00223</v>
      </c>
      <c r="J112" s="330">
        <v>0.05</v>
      </c>
      <c r="K112" s="328" t="s">
        <v>24</v>
      </c>
      <c r="L112" s="406" t="s">
        <v>26</v>
      </c>
      <c r="M112" s="294"/>
      <c r="N112" s="294"/>
      <c r="O112" s="183"/>
      <c r="P112" s="7"/>
      <c r="Q112" s="7"/>
      <c r="R112" s="7"/>
      <c r="S112" s="7"/>
      <c r="T112" s="7"/>
      <c r="U112" s="7"/>
      <c r="V112" s="7"/>
      <c r="W112" s="7"/>
      <c r="X112" s="7"/>
      <c r="Y112" s="7"/>
      <c r="Z112" s="7"/>
    </row>
    <row r="113" spans="1:26" ht="12.75">
      <c r="A113" s="334">
        <v>2410</v>
      </c>
      <c r="B113" s="400" t="s">
        <v>936</v>
      </c>
      <c r="C113" s="346" t="s">
        <v>277</v>
      </c>
      <c r="D113" s="333">
        <v>0.048</v>
      </c>
      <c r="E113" s="328">
        <v>1000</v>
      </c>
      <c r="F113" s="406">
        <f t="shared" si="18"/>
        <v>4.8E-05</v>
      </c>
      <c r="G113" s="333">
        <v>0.0012</v>
      </c>
      <c r="H113" s="328">
        <v>10</v>
      </c>
      <c r="I113" s="407">
        <f aca="true" t="shared" si="19" ref="I113">G113/H113</f>
        <v>0.00011999999999999999</v>
      </c>
      <c r="J113" s="330">
        <v>0.5</v>
      </c>
      <c r="K113" s="328" t="s">
        <v>28</v>
      </c>
      <c r="L113" s="406" t="s">
        <v>26</v>
      </c>
      <c r="P113" s="7"/>
      <c r="Q113" s="7"/>
      <c r="R113" s="7"/>
      <c r="S113" s="7"/>
      <c r="T113" s="7"/>
      <c r="U113" s="7"/>
      <c r="V113" s="7"/>
      <c r="W113" s="7"/>
      <c r="X113" s="7"/>
      <c r="Y113" s="7"/>
      <c r="Z113" s="7"/>
    </row>
    <row r="114" spans="1:26" ht="12.75">
      <c r="A114" s="334">
        <v>2411</v>
      </c>
      <c r="B114" s="400" t="s">
        <v>936</v>
      </c>
      <c r="C114" s="346" t="s">
        <v>278</v>
      </c>
      <c r="D114" s="333">
        <v>0.16</v>
      </c>
      <c r="E114" s="328">
        <v>1000</v>
      </c>
      <c r="F114" s="406">
        <f t="shared" si="18"/>
        <v>0.00016</v>
      </c>
      <c r="G114" s="333">
        <v>0.03</v>
      </c>
      <c r="H114" s="328">
        <v>10</v>
      </c>
      <c r="I114" s="407">
        <f>G114/H114</f>
        <v>0.003</v>
      </c>
      <c r="J114" s="330">
        <v>0.5</v>
      </c>
      <c r="K114" s="328" t="s">
        <v>28</v>
      </c>
      <c r="L114" s="406" t="s">
        <v>26</v>
      </c>
      <c r="P114" s="7"/>
      <c r="Q114" s="7"/>
      <c r="R114" s="7"/>
      <c r="S114" s="7"/>
      <c r="T114" s="7"/>
      <c r="U114" s="7"/>
      <c r="V114" s="7"/>
      <c r="W114" s="7"/>
      <c r="X114" s="7"/>
      <c r="Y114" s="7"/>
      <c r="Z114" s="7"/>
    </row>
    <row r="115" spans="1:26" ht="12.75">
      <c r="A115" s="334">
        <v>2412</v>
      </c>
      <c r="B115" s="400" t="s">
        <v>936</v>
      </c>
      <c r="C115" s="346" t="s">
        <v>40</v>
      </c>
      <c r="D115" s="333">
        <v>0.15</v>
      </c>
      <c r="E115" s="328">
        <v>1000</v>
      </c>
      <c r="F115" s="406">
        <f t="shared" si="18"/>
        <v>0.00015</v>
      </c>
      <c r="G115" s="333"/>
      <c r="H115" s="328"/>
      <c r="I115" s="407">
        <f>F115</f>
        <v>0.00015</v>
      </c>
      <c r="J115" s="330">
        <v>0.05</v>
      </c>
      <c r="K115" s="332" t="s">
        <v>24</v>
      </c>
      <c r="L115" s="331" t="s">
        <v>26</v>
      </c>
      <c r="M115" s="294"/>
      <c r="N115" s="294"/>
      <c r="O115" s="183"/>
      <c r="P115" s="7"/>
      <c r="Q115" s="7"/>
      <c r="R115" s="7"/>
      <c r="S115" s="7"/>
      <c r="T115" s="7"/>
      <c r="U115" s="7"/>
      <c r="V115" s="7"/>
      <c r="W115" s="7"/>
      <c r="X115" s="7"/>
      <c r="Y115" s="7"/>
      <c r="Z115" s="7"/>
    </row>
    <row r="116" spans="1:26" ht="12.75">
      <c r="A116" s="334">
        <v>2413</v>
      </c>
      <c r="B116" s="400" t="s">
        <v>936</v>
      </c>
      <c r="C116" s="346" t="s">
        <v>41</v>
      </c>
      <c r="D116" s="333">
        <v>15.4</v>
      </c>
      <c r="E116" s="328">
        <v>5000</v>
      </c>
      <c r="F116" s="406">
        <f t="shared" si="18"/>
        <v>0.0030800000000000003</v>
      </c>
      <c r="G116" s="333"/>
      <c r="H116" s="328"/>
      <c r="I116" s="407">
        <f>F116</f>
        <v>0.0030800000000000003</v>
      </c>
      <c r="J116" s="330">
        <v>0.05</v>
      </c>
      <c r="K116" s="332" t="s">
        <v>24</v>
      </c>
      <c r="L116" s="331" t="s">
        <v>25</v>
      </c>
      <c r="M116" s="294"/>
      <c r="N116" s="294"/>
      <c r="O116" s="183"/>
      <c r="P116" s="7"/>
      <c r="Q116" s="7"/>
      <c r="R116" s="7"/>
      <c r="S116" s="7"/>
      <c r="T116" s="7"/>
      <c r="U116" s="7"/>
      <c r="V116" s="7"/>
      <c r="W116" s="7"/>
      <c r="X116" s="7"/>
      <c r="Y116" s="7"/>
      <c r="Z116" s="7"/>
    </row>
    <row r="117" spans="1:26" ht="12.75">
      <c r="A117" s="334">
        <v>2414</v>
      </c>
      <c r="B117" s="400" t="s">
        <v>936</v>
      </c>
      <c r="C117" s="394" t="s">
        <v>42</v>
      </c>
      <c r="D117" s="333">
        <v>1.1</v>
      </c>
      <c r="E117" s="328">
        <v>1000</v>
      </c>
      <c r="F117" s="406">
        <f t="shared" si="18"/>
        <v>0.0011</v>
      </c>
      <c r="G117" s="333">
        <v>0.009</v>
      </c>
      <c r="H117" s="328">
        <v>10</v>
      </c>
      <c r="I117" s="407">
        <f>G117/H117</f>
        <v>0.0009</v>
      </c>
      <c r="J117" s="330">
        <v>0.05</v>
      </c>
      <c r="K117" s="328" t="s">
        <v>24</v>
      </c>
      <c r="L117" s="406" t="s">
        <v>26</v>
      </c>
      <c r="M117" s="294"/>
      <c r="N117" s="294"/>
      <c r="O117" s="183"/>
      <c r="P117" s="7"/>
      <c r="Q117" s="7"/>
      <c r="R117" s="7"/>
      <c r="S117" s="7"/>
      <c r="T117" s="7"/>
      <c r="U117" s="7"/>
      <c r="V117" s="7"/>
      <c r="W117" s="7"/>
      <c r="X117" s="7"/>
      <c r="Y117" s="7"/>
      <c r="Z117" s="7"/>
    </row>
    <row r="118" spans="1:26" ht="12.75">
      <c r="A118" s="334">
        <v>2415</v>
      </c>
      <c r="B118" s="400" t="s">
        <v>936</v>
      </c>
      <c r="C118" s="346" t="s">
        <v>43</v>
      </c>
      <c r="D118" s="333">
        <v>24.8</v>
      </c>
      <c r="E118" s="328">
        <v>1000</v>
      </c>
      <c r="F118" s="406">
        <f t="shared" si="18"/>
        <v>0.0248</v>
      </c>
      <c r="G118" s="333">
        <v>0.09</v>
      </c>
      <c r="H118" s="328">
        <v>50</v>
      </c>
      <c r="I118" s="407">
        <f>G118/H118</f>
        <v>0.0018</v>
      </c>
      <c r="J118" s="330">
        <v>0.05</v>
      </c>
      <c r="K118" s="328" t="s">
        <v>24</v>
      </c>
      <c r="L118" s="406" t="s">
        <v>27</v>
      </c>
      <c r="P118" s="7"/>
      <c r="Q118" s="7"/>
      <c r="R118" s="7"/>
      <c r="S118" s="7"/>
      <c r="T118" s="7"/>
      <c r="U118" s="7"/>
      <c r="V118" s="7"/>
      <c r="W118" s="7"/>
      <c r="X118" s="7"/>
      <c r="Y118" s="7"/>
      <c r="Z118" s="7"/>
    </row>
    <row r="119" spans="1:26" ht="12.75">
      <c r="A119" s="334">
        <v>2416</v>
      </c>
      <c r="B119" s="400" t="s">
        <v>936</v>
      </c>
      <c r="C119" s="346" t="s">
        <v>44</v>
      </c>
      <c r="D119" s="333">
        <v>36.5</v>
      </c>
      <c r="E119" s="328">
        <v>5000</v>
      </c>
      <c r="F119" s="406">
        <f t="shared" si="18"/>
        <v>0.0073</v>
      </c>
      <c r="G119" s="333"/>
      <c r="H119" s="328"/>
      <c r="I119" s="407">
        <f aca="true" t="shared" si="20" ref="I119">F119</f>
        <v>0.0073</v>
      </c>
      <c r="J119" s="330">
        <v>1</v>
      </c>
      <c r="K119" s="332" t="s">
        <v>26</v>
      </c>
      <c r="L119" s="331" t="s">
        <v>26</v>
      </c>
      <c r="M119" s="294"/>
      <c r="N119" s="294"/>
      <c r="O119" s="183"/>
      <c r="P119" s="7"/>
      <c r="Q119" s="7"/>
      <c r="R119" s="7"/>
      <c r="S119" s="7"/>
      <c r="T119" s="7"/>
      <c r="U119" s="7"/>
      <c r="V119" s="7"/>
      <c r="W119" s="7"/>
      <c r="X119" s="7"/>
      <c r="Y119" s="7"/>
      <c r="Z119" s="7"/>
    </row>
    <row r="120" spans="1:26" ht="12.75">
      <c r="A120" s="334">
        <v>2418</v>
      </c>
      <c r="B120" s="400" t="s">
        <v>936</v>
      </c>
      <c r="C120" s="408" t="s">
        <v>46</v>
      </c>
      <c r="D120" s="333">
        <v>0.0014</v>
      </c>
      <c r="E120" s="328">
        <v>1000</v>
      </c>
      <c r="F120" s="406">
        <f t="shared" si="18"/>
        <v>1.4E-06</v>
      </c>
      <c r="G120" s="333">
        <v>0.00069</v>
      </c>
      <c r="H120" s="328">
        <v>10</v>
      </c>
      <c r="I120" s="407">
        <f>G120/H120</f>
        <v>6.9E-05</v>
      </c>
      <c r="J120" s="330">
        <v>0.5</v>
      </c>
      <c r="K120" s="332" t="s">
        <v>28</v>
      </c>
      <c r="L120" s="331" t="s">
        <v>26</v>
      </c>
      <c r="P120" s="7"/>
      <c r="Q120" s="7"/>
      <c r="R120" s="7"/>
      <c r="S120" s="7"/>
      <c r="T120" s="7"/>
      <c r="U120" s="7"/>
      <c r="V120" s="7"/>
      <c r="W120" s="7"/>
      <c r="X120" s="7"/>
      <c r="Y120" s="7"/>
      <c r="Z120" s="7"/>
    </row>
    <row r="121" spans="1:26" ht="12.75">
      <c r="A121" s="334">
        <v>2419</v>
      </c>
      <c r="B121" s="400" t="s">
        <v>936</v>
      </c>
      <c r="C121" s="408" t="s">
        <v>47</v>
      </c>
      <c r="D121" s="333">
        <v>291</v>
      </c>
      <c r="E121" s="328">
        <v>1000</v>
      </c>
      <c r="F121" s="406">
        <f t="shared" si="18"/>
        <v>0.291</v>
      </c>
      <c r="G121" s="333">
        <v>9.43</v>
      </c>
      <c r="H121" s="328">
        <v>10</v>
      </c>
      <c r="I121" s="407">
        <f>+G121/H121</f>
        <v>0.943</v>
      </c>
      <c r="J121" s="330">
        <v>0.05</v>
      </c>
      <c r="K121" s="332" t="s">
        <v>24</v>
      </c>
      <c r="L121" s="331" t="s">
        <v>26</v>
      </c>
      <c r="M121" s="294"/>
      <c r="N121" s="294"/>
      <c r="O121" s="183"/>
      <c r="P121" s="7"/>
      <c r="Q121" s="7"/>
      <c r="R121" s="7"/>
      <c r="S121" s="7"/>
      <c r="T121" s="7"/>
      <c r="U121" s="7"/>
      <c r="V121" s="7"/>
      <c r="W121" s="7"/>
      <c r="X121" s="7"/>
      <c r="Y121" s="7"/>
      <c r="Z121" s="7"/>
    </row>
    <row r="122" spans="1:26" ht="12.75">
      <c r="A122" s="334">
        <v>2420</v>
      </c>
      <c r="B122" s="400" t="s">
        <v>936</v>
      </c>
      <c r="C122" s="346" t="s">
        <v>279</v>
      </c>
      <c r="D122" s="409">
        <v>24.1</v>
      </c>
      <c r="E122" s="350">
        <v>1000</v>
      </c>
      <c r="F122" s="410">
        <f>D122/E122</f>
        <v>0.0241</v>
      </c>
      <c r="G122" s="330"/>
      <c r="H122" s="328"/>
      <c r="I122" s="411">
        <f>F122</f>
        <v>0.0241</v>
      </c>
      <c r="J122" s="352">
        <v>0.05</v>
      </c>
      <c r="K122" s="349" t="s">
        <v>24</v>
      </c>
      <c r="L122" s="331" t="s">
        <v>26</v>
      </c>
      <c r="P122" s="7"/>
      <c r="Q122" s="7"/>
      <c r="R122" s="7"/>
      <c r="S122" s="7"/>
      <c r="T122" s="7"/>
      <c r="U122" s="7"/>
      <c r="V122" s="7"/>
      <c r="W122" s="7"/>
      <c r="X122" s="7"/>
      <c r="Y122" s="7"/>
      <c r="Z122" s="7"/>
    </row>
    <row r="123" spans="1:26" ht="12.75">
      <c r="A123" s="334">
        <v>2421</v>
      </c>
      <c r="B123" s="400" t="s">
        <v>936</v>
      </c>
      <c r="C123" s="408" t="s">
        <v>280</v>
      </c>
      <c r="D123" s="409">
        <v>0.027</v>
      </c>
      <c r="E123" s="350">
        <v>1000</v>
      </c>
      <c r="F123" s="410">
        <f>D123/E123</f>
        <v>2.7E-05</v>
      </c>
      <c r="G123" s="330">
        <v>0.0085</v>
      </c>
      <c r="H123" s="328">
        <v>50</v>
      </c>
      <c r="I123" s="407">
        <f>G123/H123</f>
        <v>0.00017</v>
      </c>
      <c r="J123" s="352">
        <v>0.05</v>
      </c>
      <c r="K123" s="349" t="s">
        <v>24</v>
      </c>
      <c r="L123" s="331" t="s">
        <v>26</v>
      </c>
      <c r="P123" s="7"/>
      <c r="Q123" s="7"/>
      <c r="R123" s="7"/>
      <c r="S123" s="7"/>
      <c r="T123" s="7"/>
      <c r="U123" s="7"/>
      <c r="V123" s="7"/>
      <c r="W123" s="7"/>
      <c r="X123" s="7"/>
      <c r="Y123" s="7"/>
      <c r="Z123" s="7"/>
    </row>
    <row r="124" spans="1:26" ht="13.5" thickBot="1">
      <c r="A124" s="338">
        <v>2422</v>
      </c>
      <c r="B124" s="403" t="s">
        <v>936</v>
      </c>
      <c r="C124" s="412" t="s">
        <v>281</v>
      </c>
      <c r="D124" s="343">
        <v>100</v>
      </c>
      <c r="E124" s="341">
        <v>1000</v>
      </c>
      <c r="F124" s="413">
        <f>D124/E124</f>
        <v>0.1</v>
      </c>
      <c r="G124" s="343"/>
      <c r="H124" s="341"/>
      <c r="I124" s="414">
        <v>0.1</v>
      </c>
      <c r="J124" s="343">
        <v>0.05</v>
      </c>
      <c r="K124" s="340" t="s">
        <v>24</v>
      </c>
      <c r="L124" s="344" t="s">
        <v>26</v>
      </c>
      <c r="P124" s="7"/>
      <c r="Q124" s="7"/>
      <c r="R124" s="7"/>
      <c r="S124" s="7"/>
      <c r="T124" s="7"/>
      <c r="U124" s="7"/>
      <c r="V124" s="7"/>
      <c r="W124" s="7"/>
      <c r="X124" s="7"/>
      <c r="Y124" s="7"/>
      <c r="Z124" s="7"/>
    </row>
    <row r="125" spans="1:26" ht="12.75">
      <c r="A125" s="334">
        <v>2502</v>
      </c>
      <c r="B125" s="400" t="s">
        <v>937</v>
      </c>
      <c r="C125" s="346" t="s">
        <v>689</v>
      </c>
      <c r="D125" s="333">
        <v>100</v>
      </c>
      <c r="E125" s="328">
        <v>1000</v>
      </c>
      <c r="F125" s="406">
        <v>0.1</v>
      </c>
      <c r="G125" s="407">
        <v>100</v>
      </c>
      <c r="H125" s="328">
        <v>10</v>
      </c>
      <c r="I125" s="407">
        <v>10</v>
      </c>
      <c r="J125" s="330">
        <v>1</v>
      </c>
      <c r="K125" s="328" t="s">
        <v>35</v>
      </c>
      <c r="L125" s="406" t="s">
        <v>26</v>
      </c>
      <c r="P125" s="7"/>
      <c r="Q125" s="7"/>
      <c r="R125" s="7"/>
      <c r="S125" s="7"/>
      <c r="T125" s="7"/>
      <c r="U125" s="7"/>
      <c r="V125" s="7"/>
      <c r="W125" s="7"/>
      <c r="X125" s="7"/>
      <c r="Y125" s="7"/>
      <c r="Z125" s="7"/>
    </row>
    <row r="126" spans="1:26" ht="12.75">
      <c r="A126" s="345">
        <v>2503</v>
      </c>
      <c r="B126" s="400" t="s">
        <v>937</v>
      </c>
      <c r="C126" s="346" t="s">
        <v>690</v>
      </c>
      <c r="D126" s="333">
        <v>885</v>
      </c>
      <c r="E126" s="328">
        <v>5000</v>
      </c>
      <c r="F126" s="406">
        <f aca="true" t="shared" si="21" ref="F126:F135">D126/E126</f>
        <v>0.177</v>
      </c>
      <c r="G126" s="407"/>
      <c r="H126" s="328"/>
      <c r="I126" s="407">
        <f>F126</f>
        <v>0.177</v>
      </c>
      <c r="J126" s="330">
        <v>0.05</v>
      </c>
      <c r="K126" s="328" t="s">
        <v>24</v>
      </c>
      <c r="L126" s="406" t="s">
        <v>27</v>
      </c>
      <c r="P126" s="7"/>
      <c r="Q126" s="7"/>
      <c r="R126" s="7"/>
      <c r="S126" s="7"/>
      <c r="T126" s="7"/>
      <c r="U126" s="7"/>
      <c r="V126" s="7"/>
      <c r="W126" s="7"/>
      <c r="X126" s="7"/>
      <c r="Y126" s="7"/>
      <c r="Z126" s="7"/>
    </row>
    <row r="127" spans="1:26" ht="12.75">
      <c r="A127" s="334">
        <v>2504</v>
      </c>
      <c r="B127" s="400" t="s">
        <v>937</v>
      </c>
      <c r="C127" s="346" t="s">
        <v>48</v>
      </c>
      <c r="D127" s="333">
        <v>160</v>
      </c>
      <c r="E127" s="328">
        <v>1000</v>
      </c>
      <c r="F127" s="406">
        <f t="shared" si="21"/>
        <v>0.16</v>
      </c>
      <c r="G127" s="407"/>
      <c r="H127" s="328"/>
      <c r="I127" s="407">
        <v>0.16</v>
      </c>
      <c r="J127" s="330">
        <v>0.05</v>
      </c>
      <c r="K127" s="328" t="s">
        <v>45</v>
      </c>
      <c r="L127" s="406" t="s">
        <v>45</v>
      </c>
      <c r="P127" s="7"/>
      <c r="Q127" s="7"/>
      <c r="R127" s="7"/>
      <c r="S127" s="7"/>
      <c r="T127" s="7"/>
      <c r="U127" s="7"/>
      <c r="V127" s="7"/>
      <c r="W127" s="7"/>
      <c r="X127" s="7"/>
      <c r="Y127" s="7"/>
      <c r="Z127" s="7"/>
    </row>
    <row r="128" spans="1:26" ht="12.75">
      <c r="A128" s="334">
        <v>2505</v>
      </c>
      <c r="B128" s="400" t="s">
        <v>937</v>
      </c>
      <c r="C128" s="346" t="s">
        <v>691</v>
      </c>
      <c r="D128" s="333">
        <v>100</v>
      </c>
      <c r="E128" s="328">
        <v>1000</v>
      </c>
      <c r="F128" s="406">
        <f>D128/E128</f>
        <v>0.1</v>
      </c>
      <c r="G128" s="407">
        <v>100</v>
      </c>
      <c r="H128" s="328">
        <v>50</v>
      </c>
      <c r="I128" s="407">
        <f>G128/H128</f>
        <v>2</v>
      </c>
      <c r="J128" s="330">
        <v>1</v>
      </c>
      <c r="K128" s="328" t="s">
        <v>45</v>
      </c>
      <c r="L128" s="406" t="s">
        <v>45</v>
      </c>
      <c r="P128" s="7"/>
      <c r="Q128" s="7"/>
      <c r="R128" s="7"/>
      <c r="S128" s="7"/>
      <c r="T128" s="7"/>
      <c r="U128" s="7"/>
      <c r="V128" s="7"/>
      <c r="W128" s="7"/>
      <c r="X128" s="7"/>
      <c r="Y128" s="7"/>
      <c r="Z128" s="7"/>
    </row>
    <row r="129" spans="1:26" ht="12.75">
      <c r="A129" s="334">
        <v>2506</v>
      </c>
      <c r="B129" s="400" t="s">
        <v>937</v>
      </c>
      <c r="C129" s="346" t="s">
        <v>49</v>
      </c>
      <c r="D129" s="333">
        <v>825</v>
      </c>
      <c r="E129" s="328">
        <v>1000</v>
      </c>
      <c r="F129" s="406">
        <f t="shared" si="21"/>
        <v>0.825</v>
      </c>
      <c r="G129" s="407">
        <v>80</v>
      </c>
      <c r="H129" s="328">
        <v>50</v>
      </c>
      <c r="I129" s="407">
        <f>G129/H129</f>
        <v>1.6</v>
      </c>
      <c r="J129" s="330">
        <v>0.05</v>
      </c>
      <c r="K129" s="328" t="s">
        <v>24</v>
      </c>
      <c r="L129" s="406" t="s">
        <v>27</v>
      </c>
      <c r="P129" s="7"/>
      <c r="Q129" s="7"/>
      <c r="R129" s="7"/>
      <c r="S129" s="7"/>
      <c r="T129" s="7"/>
      <c r="U129" s="7"/>
      <c r="V129" s="7"/>
      <c r="W129" s="7"/>
      <c r="X129" s="7"/>
      <c r="Y129" s="7"/>
      <c r="Z129" s="7"/>
    </row>
    <row r="130" spans="1:26" ht="12.75">
      <c r="A130" s="415">
        <v>2507</v>
      </c>
      <c r="B130" s="400" t="s">
        <v>937</v>
      </c>
      <c r="C130" s="346" t="s">
        <v>282</v>
      </c>
      <c r="D130" s="333">
        <v>40</v>
      </c>
      <c r="E130" s="328">
        <v>1000</v>
      </c>
      <c r="F130" s="406">
        <f t="shared" si="21"/>
        <v>0.04</v>
      </c>
      <c r="G130" s="407">
        <v>12</v>
      </c>
      <c r="H130" s="328">
        <v>10</v>
      </c>
      <c r="I130" s="407">
        <f aca="true" t="shared" si="22" ref="I130:I137">G130/H130</f>
        <v>1.2</v>
      </c>
      <c r="J130" s="330">
        <v>1</v>
      </c>
      <c r="K130" s="328" t="s">
        <v>35</v>
      </c>
      <c r="L130" s="406" t="s">
        <v>25</v>
      </c>
      <c r="P130" s="7"/>
      <c r="Q130" s="7"/>
      <c r="R130" s="7"/>
      <c r="S130" s="7"/>
      <c r="T130" s="7"/>
      <c r="U130" s="7"/>
      <c r="V130" s="7"/>
      <c r="W130" s="7"/>
      <c r="X130" s="7"/>
      <c r="Y130" s="7"/>
      <c r="Z130" s="7"/>
    </row>
    <row r="131" spans="1:26" ht="12.75">
      <c r="A131" s="415">
        <v>2508</v>
      </c>
      <c r="B131" s="400" t="s">
        <v>937</v>
      </c>
      <c r="C131" s="346" t="s">
        <v>283</v>
      </c>
      <c r="D131" s="333">
        <v>100</v>
      </c>
      <c r="E131" s="328">
        <v>1000</v>
      </c>
      <c r="F131" s="406">
        <f t="shared" si="21"/>
        <v>0.1</v>
      </c>
      <c r="G131" s="407">
        <v>5.8</v>
      </c>
      <c r="H131" s="328">
        <v>10</v>
      </c>
      <c r="I131" s="407">
        <f t="shared" si="22"/>
        <v>0.58</v>
      </c>
      <c r="J131" s="330">
        <v>1</v>
      </c>
      <c r="K131" s="328" t="s">
        <v>35</v>
      </c>
      <c r="L131" s="406" t="s">
        <v>25</v>
      </c>
      <c r="P131" s="7"/>
      <c r="Q131" s="7"/>
      <c r="R131" s="7"/>
      <c r="S131" s="7"/>
      <c r="T131" s="7"/>
      <c r="U131" s="7"/>
      <c r="V131" s="7"/>
      <c r="W131" s="7"/>
      <c r="X131" s="7"/>
      <c r="Y131" s="7"/>
      <c r="Z131" s="7"/>
    </row>
    <row r="132" spans="1:26" ht="12.75">
      <c r="A132" s="334">
        <v>2509</v>
      </c>
      <c r="B132" s="400" t="s">
        <v>937</v>
      </c>
      <c r="C132" s="346" t="s">
        <v>50</v>
      </c>
      <c r="D132" s="333">
        <v>494</v>
      </c>
      <c r="E132" s="328">
        <v>1000</v>
      </c>
      <c r="F132" s="406">
        <f t="shared" si="21"/>
        <v>0.494</v>
      </c>
      <c r="G132" s="407">
        <v>64</v>
      </c>
      <c r="H132" s="328">
        <v>50</v>
      </c>
      <c r="I132" s="407">
        <f t="shared" si="22"/>
        <v>1.28</v>
      </c>
      <c r="J132" s="330">
        <v>0.05</v>
      </c>
      <c r="K132" s="328" t="s">
        <v>24</v>
      </c>
      <c r="L132" s="406" t="s">
        <v>25</v>
      </c>
      <c r="M132" s="294"/>
      <c r="N132" s="294"/>
      <c r="O132" s="183"/>
      <c r="P132" s="7"/>
      <c r="Q132" s="7"/>
      <c r="R132" s="7"/>
      <c r="S132" s="7"/>
      <c r="T132" s="7"/>
      <c r="U132" s="7"/>
      <c r="V132" s="7"/>
      <c r="W132" s="7"/>
      <c r="X132" s="7"/>
      <c r="Y132" s="7"/>
      <c r="Z132" s="7"/>
    </row>
    <row r="133" spans="1:26" ht="12.75">
      <c r="A133" s="334">
        <v>2510</v>
      </c>
      <c r="B133" s="400" t="s">
        <v>937</v>
      </c>
      <c r="C133" s="346" t="s">
        <v>284</v>
      </c>
      <c r="D133" s="333">
        <v>100</v>
      </c>
      <c r="E133" s="328">
        <v>1000</v>
      </c>
      <c r="F133" s="406">
        <f t="shared" si="21"/>
        <v>0.1</v>
      </c>
      <c r="G133" s="407">
        <v>100</v>
      </c>
      <c r="H133" s="328">
        <v>10</v>
      </c>
      <c r="I133" s="407">
        <f t="shared" si="22"/>
        <v>10</v>
      </c>
      <c r="J133" s="330">
        <v>0.05</v>
      </c>
      <c r="K133" s="328" t="s">
        <v>24</v>
      </c>
      <c r="L133" s="406" t="s">
        <v>27</v>
      </c>
      <c r="M133" s="294"/>
      <c r="N133" s="294"/>
      <c r="O133" s="183"/>
      <c r="P133" s="7"/>
      <c r="Q133" s="7"/>
      <c r="R133" s="7"/>
      <c r="S133" s="7"/>
      <c r="T133" s="7"/>
      <c r="U133" s="7"/>
      <c r="V133" s="7"/>
      <c r="W133" s="7"/>
      <c r="X133" s="7"/>
      <c r="Y133" s="7"/>
      <c r="Z133" s="7"/>
    </row>
    <row r="134" spans="1:26" ht="12.75">
      <c r="A134" s="334">
        <v>2511</v>
      </c>
      <c r="B134" s="400" t="s">
        <v>937</v>
      </c>
      <c r="C134" s="346" t="s">
        <v>51</v>
      </c>
      <c r="D134" s="333">
        <v>121</v>
      </c>
      <c r="E134" s="328">
        <v>1000</v>
      </c>
      <c r="F134" s="406">
        <f t="shared" si="21"/>
        <v>0.121</v>
      </c>
      <c r="G134" s="407">
        <v>22</v>
      </c>
      <c r="H134" s="328">
        <v>50</v>
      </c>
      <c r="I134" s="407">
        <f t="shared" si="22"/>
        <v>0.44</v>
      </c>
      <c r="J134" s="330">
        <v>0.5</v>
      </c>
      <c r="K134" s="328" t="s">
        <v>28</v>
      </c>
      <c r="L134" s="406" t="s">
        <v>25</v>
      </c>
      <c r="P134" s="7"/>
      <c r="Q134" s="7"/>
      <c r="R134" s="7"/>
      <c r="S134" s="7"/>
      <c r="T134" s="7"/>
      <c r="U134" s="7"/>
      <c r="V134" s="7"/>
      <c r="W134" s="7"/>
      <c r="X134" s="7"/>
      <c r="Y134" s="7"/>
      <c r="Z134" s="7"/>
    </row>
    <row r="135" spans="1:26" ht="12.75">
      <c r="A135" s="334">
        <v>2512</v>
      </c>
      <c r="B135" s="400" t="s">
        <v>937</v>
      </c>
      <c r="C135" s="346" t="s">
        <v>285</v>
      </c>
      <c r="D135" s="333">
        <v>650</v>
      </c>
      <c r="E135" s="328">
        <v>1000</v>
      </c>
      <c r="F135" s="406">
        <f t="shared" si="21"/>
        <v>0.65</v>
      </c>
      <c r="G135" s="407">
        <v>25</v>
      </c>
      <c r="H135" s="328">
        <v>50</v>
      </c>
      <c r="I135" s="407">
        <f t="shared" si="22"/>
        <v>0.5</v>
      </c>
      <c r="J135" s="330">
        <v>1</v>
      </c>
      <c r="K135" s="328" t="s">
        <v>35</v>
      </c>
      <c r="L135" s="406" t="s">
        <v>25</v>
      </c>
      <c r="M135" s="294"/>
      <c r="N135" s="294"/>
      <c r="O135" s="183"/>
      <c r="P135" s="7"/>
      <c r="Q135" s="7"/>
      <c r="R135" s="7"/>
      <c r="S135" s="7"/>
      <c r="T135" s="7"/>
      <c r="U135" s="7"/>
      <c r="V135" s="7"/>
      <c r="W135" s="7"/>
      <c r="X135" s="7"/>
      <c r="Y135" s="7"/>
      <c r="Z135" s="7"/>
    </row>
    <row r="136" spans="1:26" ht="12.75">
      <c r="A136" s="334">
        <v>2513</v>
      </c>
      <c r="B136" s="400" t="s">
        <v>937</v>
      </c>
      <c r="C136" s="346" t="s">
        <v>52</v>
      </c>
      <c r="D136" s="333">
        <v>5.5</v>
      </c>
      <c r="E136" s="328">
        <v>1000</v>
      </c>
      <c r="F136" s="406">
        <f>D136/E136</f>
        <v>0.0055</v>
      </c>
      <c r="G136" s="407">
        <v>0.66</v>
      </c>
      <c r="H136" s="328">
        <v>10</v>
      </c>
      <c r="I136" s="407">
        <f t="shared" si="22"/>
        <v>0.066</v>
      </c>
      <c r="J136" s="330">
        <v>0.05</v>
      </c>
      <c r="K136" s="328" t="s">
        <v>24</v>
      </c>
      <c r="L136" s="406" t="s">
        <v>25</v>
      </c>
      <c r="M136" s="294"/>
      <c r="N136" s="294"/>
      <c r="O136" s="183"/>
      <c r="P136" s="7"/>
      <c r="Q136" s="7"/>
      <c r="R136" s="7"/>
      <c r="S136" s="7"/>
      <c r="T136" s="7"/>
      <c r="U136" s="7"/>
      <c r="V136" s="7"/>
      <c r="W136" s="7"/>
      <c r="X136" s="7"/>
      <c r="Y136" s="7"/>
      <c r="Z136" s="7"/>
    </row>
    <row r="137" spans="1:26" ht="12.75">
      <c r="A137" s="334">
        <v>2514</v>
      </c>
      <c r="B137" s="400" t="s">
        <v>937</v>
      </c>
      <c r="C137" s="346" t="s">
        <v>286</v>
      </c>
      <c r="D137" s="333">
        <v>1000</v>
      </c>
      <c r="E137" s="328">
        <v>1000</v>
      </c>
      <c r="F137" s="406">
        <f>D137/E137</f>
        <v>1</v>
      </c>
      <c r="G137" s="407">
        <v>423</v>
      </c>
      <c r="H137" s="328">
        <v>10</v>
      </c>
      <c r="I137" s="407">
        <f t="shared" si="22"/>
        <v>42.3</v>
      </c>
      <c r="J137" s="330">
        <v>0.5</v>
      </c>
      <c r="K137" s="328" t="s">
        <v>28</v>
      </c>
      <c r="L137" s="406" t="s">
        <v>25</v>
      </c>
      <c r="P137" s="7"/>
      <c r="Q137" s="7"/>
      <c r="R137" s="7"/>
      <c r="S137" s="7"/>
      <c r="T137" s="7"/>
      <c r="U137" s="7"/>
      <c r="V137" s="7"/>
      <c r="W137" s="7"/>
      <c r="X137" s="7"/>
      <c r="Y137" s="7"/>
      <c r="Z137" s="7"/>
    </row>
    <row r="138" spans="1:26" ht="12.75">
      <c r="A138" s="334">
        <v>2515</v>
      </c>
      <c r="B138" s="400" t="s">
        <v>937</v>
      </c>
      <c r="C138" s="346" t="s">
        <v>53</v>
      </c>
      <c r="D138" s="416"/>
      <c r="E138" s="417"/>
      <c r="F138" s="418">
        <v>10</v>
      </c>
      <c r="G138" s="419"/>
      <c r="H138" s="417"/>
      <c r="I138" s="419">
        <v>10</v>
      </c>
      <c r="J138" s="420">
        <v>1</v>
      </c>
      <c r="K138" s="417" t="s">
        <v>45</v>
      </c>
      <c r="L138" s="418" t="s">
        <v>45</v>
      </c>
      <c r="P138" s="7"/>
      <c r="Q138" s="7"/>
      <c r="R138" s="7"/>
      <c r="S138" s="7"/>
      <c r="T138" s="7"/>
      <c r="U138" s="7"/>
      <c r="V138" s="7"/>
      <c r="W138" s="7"/>
      <c r="X138" s="7"/>
      <c r="Y138" s="7"/>
      <c r="Z138" s="7"/>
    </row>
    <row r="139" spans="1:26" ht="12.75">
      <c r="A139" s="334">
        <v>2516</v>
      </c>
      <c r="B139" s="400" t="s">
        <v>937</v>
      </c>
      <c r="C139" s="346" t="s">
        <v>54</v>
      </c>
      <c r="D139" s="333"/>
      <c r="E139" s="328"/>
      <c r="F139" s="406">
        <v>10</v>
      </c>
      <c r="G139" s="407"/>
      <c r="H139" s="328"/>
      <c r="I139" s="407">
        <v>10</v>
      </c>
      <c r="J139" s="330">
        <v>0.05</v>
      </c>
      <c r="K139" s="328" t="s">
        <v>45</v>
      </c>
      <c r="L139" s="406" t="s">
        <v>45</v>
      </c>
      <c r="P139" s="7"/>
      <c r="Q139" s="7"/>
      <c r="R139" s="7"/>
      <c r="S139" s="7"/>
      <c r="T139" s="7"/>
      <c r="U139" s="7"/>
      <c r="V139" s="7"/>
      <c r="W139" s="7"/>
      <c r="X139" s="7"/>
      <c r="Y139" s="7"/>
      <c r="Z139" s="7"/>
    </row>
    <row r="140" spans="1:26" ht="12.75">
      <c r="A140" s="334">
        <v>2517</v>
      </c>
      <c r="B140" s="400" t="s">
        <v>937</v>
      </c>
      <c r="C140" s="421" t="s">
        <v>287</v>
      </c>
      <c r="D140" s="333">
        <v>100</v>
      </c>
      <c r="E140" s="328">
        <v>1000</v>
      </c>
      <c r="F140" s="406">
        <f aca="true" t="shared" si="23" ref="F140:F142">D140/E140</f>
        <v>0.1</v>
      </c>
      <c r="G140" s="407"/>
      <c r="H140" s="328"/>
      <c r="I140" s="407">
        <f aca="true" t="shared" si="24" ref="I140:I141">F140</f>
        <v>0.1</v>
      </c>
      <c r="J140" s="330">
        <v>0.05</v>
      </c>
      <c r="K140" s="328" t="s">
        <v>24</v>
      </c>
      <c r="L140" s="406" t="s">
        <v>27</v>
      </c>
      <c r="P140" s="7"/>
      <c r="Q140" s="7"/>
      <c r="R140" s="7"/>
      <c r="S140" s="7"/>
      <c r="T140" s="7"/>
      <c r="U140" s="7"/>
      <c r="V140" s="7"/>
      <c r="W140" s="7"/>
      <c r="X140" s="7"/>
      <c r="Y140" s="7"/>
      <c r="Z140" s="7"/>
    </row>
    <row r="141" spans="1:26" ht="12.75">
      <c r="A141" s="334">
        <v>2518</v>
      </c>
      <c r="B141" s="400" t="s">
        <v>937</v>
      </c>
      <c r="C141" s="421" t="s">
        <v>288</v>
      </c>
      <c r="D141" s="333">
        <v>100</v>
      </c>
      <c r="E141" s="328">
        <v>1000</v>
      </c>
      <c r="F141" s="406">
        <f t="shared" si="23"/>
        <v>0.1</v>
      </c>
      <c r="G141" s="407"/>
      <c r="H141" s="328"/>
      <c r="I141" s="407">
        <f t="shared" si="24"/>
        <v>0.1</v>
      </c>
      <c r="J141" s="330">
        <v>0.05</v>
      </c>
      <c r="K141" s="328" t="s">
        <v>24</v>
      </c>
      <c r="L141" s="406" t="s">
        <v>27</v>
      </c>
      <c r="M141" s="292"/>
      <c r="N141" s="292"/>
      <c r="O141" s="184"/>
      <c r="P141" s="7"/>
      <c r="Q141" s="7"/>
      <c r="R141" s="7"/>
      <c r="S141" s="7"/>
      <c r="T141" s="7"/>
      <c r="U141" s="7"/>
      <c r="V141" s="7"/>
      <c r="W141" s="7"/>
      <c r="X141" s="7"/>
      <c r="Y141" s="7"/>
      <c r="Z141" s="7"/>
    </row>
    <row r="142" spans="1:26" ht="12.75">
      <c r="A142" s="334">
        <v>2519</v>
      </c>
      <c r="B142" s="400" t="s">
        <v>937</v>
      </c>
      <c r="C142" s="422" t="s">
        <v>289</v>
      </c>
      <c r="D142" s="333">
        <v>3.6</v>
      </c>
      <c r="E142" s="328">
        <v>1000</v>
      </c>
      <c r="F142" s="406">
        <f t="shared" si="23"/>
        <v>0.0036</v>
      </c>
      <c r="G142" s="407">
        <v>0.47</v>
      </c>
      <c r="H142" s="328">
        <v>10</v>
      </c>
      <c r="I142" s="407">
        <f>G142/H142</f>
        <v>0.047</v>
      </c>
      <c r="J142" s="330">
        <v>0.05</v>
      </c>
      <c r="K142" s="328" t="s">
        <v>24</v>
      </c>
      <c r="L142" s="406" t="s">
        <v>26</v>
      </c>
      <c r="P142" s="7"/>
      <c r="Q142" s="7"/>
      <c r="R142" s="7"/>
      <c r="S142" s="7"/>
      <c r="T142" s="7"/>
      <c r="U142" s="7"/>
      <c r="V142" s="7"/>
      <c r="W142" s="7"/>
      <c r="X142" s="7"/>
      <c r="Y142" s="7"/>
      <c r="Z142" s="7"/>
    </row>
    <row r="143" spans="1:26" ht="12.75">
      <c r="A143" s="345">
        <v>2520</v>
      </c>
      <c r="B143" s="400" t="s">
        <v>937</v>
      </c>
      <c r="C143" s="422" t="s">
        <v>692</v>
      </c>
      <c r="D143" s="333">
        <v>100</v>
      </c>
      <c r="E143" s="328">
        <v>1000</v>
      </c>
      <c r="F143" s="406">
        <v>0.1</v>
      </c>
      <c r="G143" s="407">
        <v>100</v>
      </c>
      <c r="H143" s="328">
        <v>50</v>
      </c>
      <c r="I143" s="407">
        <v>2</v>
      </c>
      <c r="J143" s="330">
        <v>0.05</v>
      </c>
      <c r="K143" s="328" t="s">
        <v>24</v>
      </c>
      <c r="L143" s="406" t="s">
        <v>27</v>
      </c>
      <c r="P143" s="7"/>
      <c r="Q143" s="7"/>
      <c r="R143" s="7"/>
      <c r="S143" s="7"/>
      <c r="T143" s="7"/>
      <c r="U143" s="7"/>
      <c r="V143" s="7"/>
      <c r="W143" s="7"/>
      <c r="X143" s="7"/>
      <c r="Y143" s="7"/>
      <c r="Z143" s="7"/>
    </row>
    <row r="144" spans="1:26" ht="12.75">
      <c r="A144" s="334">
        <v>2521</v>
      </c>
      <c r="B144" s="400" t="s">
        <v>937</v>
      </c>
      <c r="C144" s="408" t="s">
        <v>693</v>
      </c>
      <c r="D144" s="333">
        <v>21</v>
      </c>
      <c r="E144" s="328">
        <v>10000</v>
      </c>
      <c r="F144" s="406">
        <f>D144/E144</f>
        <v>0.0021</v>
      </c>
      <c r="G144" s="407"/>
      <c r="H144" s="328"/>
      <c r="I144" s="407">
        <f>+F144</f>
        <v>0.0021</v>
      </c>
      <c r="J144" s="330">
        <v>0.05</v>
      </c>
      <c r="K144" s="328" t="s">
        <v>24</v>
      </c>
      <c r="L144" s="406" t="s">
        <v>27</v>
      </c>
      <c r="P144" s="7"/>
      <c r="Q144" s="7"/>
      <c r="R144" s="7"/>
      <c r="S144" s="7"/>
      <c r="T144" s="7"/>
      <c r="U144" s="7"/>
      <c r="V144" s="7"/>
      <c r="W144" s="7"/>
      <c r="X144" s="7"/>
      <c r="Y144" s="7"/>
      <c r="Z144" s="7"/>
    </row>
    <row r="145" spans="1:26" ht="12.75">
      <c r="A145" s="334">
        <v>2522</v>
      </c>
      <c r="B145" s="400" t="s">
        <v>937</v>
      </c>
      <c r="C145" s="408" t="s">
        <v>290</v>
      </c>
      <c r="D145" s="423">
        <v>100</v>
      </c>
      <c r="E145" s="321">
        <v>1000</v>
      </c>
      <c r="F145" s="424">
        <f>D145/E145</f>
        <v>0.1</v>
      </c>
      <c r="G145" s="425"/>
      <c r="H145" s="321"/>
      <c r="I145" s="425">
        <f>F145</f>
        <v>0.1</v>
      </c>
      <c r="J145" s="323">
        <v>0.05</v>
      </c>
      <c r="K145" s="321" t="s">
        <v>24</v>
      </c>
      <c r="L145" s="424" t="s">
        <v>26</v>
      </c>
      <c r="P145" s="7"/>
      <c r="Q145" s="7"/>
      <c r="R145" s="7"/>
      <c r="S145" s="7"/>
      <c r="T145" s="7"/>
      <c r="U145" s="7"/>
      <c r="V145" s="7"/>
      <c r="W145" s="7"/>
      <c r="X145" s="7"/>
      <c r="Y145" s="7"/>
      <c r="Z145" s="7"/>
    </row>
    <row r="146" spans="1:26" ht="12.75">
      <c r="A146" s="334">
        <v>2523</v>
      </c>
      <c r="B146" s="400" t="s">
        <v>937</v>
      </c>
      <c r="C146" s="346" t="s">
        <v>291</v>
      </c>
      <c r="D146" s="423">
        <v>207</v>
      </c>
      <c r="E146" s="321">
        <v>1000</v>
      </c>
      <c r="F146" s="424">
        <f>D146/E146</f>
        <v>0.207</v>
      </c>
      <c r="G146" s="425"/>
      <c r="H146" s="321"/>
      <c r="I146" s="425">
        <f>F146</f>
        <v>0.207</v>
      </c>
      <c r="J146" s="323">
        <v>1</v>
      </c>
      <c r="K146" s="321" t="s">
        <v>45</v>
      </c>
      <c r="L146" s="424" t="s">
        <v>45</v>
      </c>
      <c r="P146" s="7"/>
      <c r="Q146" s="7"/>
      <c r="R146" s="7"/>
      <c r="S146" s="7"/>
      <c r="T146" s="7"/>
      <c r="U146" s="7"/>
      <c r="V146" s="7"/>
      <c r="W146" s="7"/>
      <c r="X146" s="7"/>
      <c r="Y146" s="7"/>
      <c r="Z146" s="7"/>
    </row>
    <row r="147" spans="1:26" ht="12.75">
      <c r="A147" s="334">
        <v>2524</v>
      </c>
      <c r="B147" s="400" t="s">
        <v>937</v>
      </c>
      <c r="C147" s="346" t="s">
        <v>55</v>
      </c>
      <c r="D147" s="333">
        <v>410</v>
      </c>
      <c r="E147" s="328">
        <v>1000</v>
      </c>
      <c r="F147" s="406">
        <f aca="true" t="shared" si="25" ref="F147:F148">D147/E147</f>
        <v>0.41</v>
      </c>
      <c r="G147" s="407"/>
      <c r="H147" s="328"/>
      <c r="I147" s="407">
        <f aca="true" t="shared" si="26" ref="I147:I148">F147</f>
        <v>0.41</v>
      </c>
      <c r="J147" s="330">
        <v>0.05</v>
      </c>
      <c r="K147" s="328" t="s">
        <v>24</v>
      </c>
      <c r="L147" s="406" t="s">
        <v>25</v>
      </c>
      <c r="M147" s="294"/>
      <c r="N147" s="294"/>
      <c r="O147" s="183"/>
      <c r="P147" s="7"/>
      <c r="Q147" s="7"/>
      <c r="R147" s="7"/>
      <c r="S147" s="7"/>
      <c r="T147" s="7"/>
      <c r="U147" s="7"/>
      <c r="V147" s="7"/>
      <c r="W147" s="7"/>
      <c r="X147" s="7"/>
      <c r="Y147" s="7"/>
      <c r="Z147" s="7"/>
    </row>
    <row r="148" spans="1:26" ht="12.75">
      <c r="A148" s="334">
        <v>2525</v>
      </c>
      <c r="B148" s="400" t="s">
        <v>937</v>
      </c>
      <c r="C148" s="346" t="s">
        <v>56</v>
      </c>
      <c r="D148" s="333">
        <v>14</v>
      </c>
      <c r="E148" s="328">
        <v>1000</v>
      </c>
      <c r="F148" s="406">
        <f t="shared" si="25"/>
        <v>0.014</v>
      </c>
      <c r="G148" s="407"/>
      <c r="H148" s="328"/>
      <c r="I148" s="407">
        <f t="shared" si="26"/>
        <v>0.014</v>
      </c>
      <c r="J148" s="330">
        <v>1</v>
      </c>
      <c r="K148" s="328" t="s">
        <v>45</v>
      </c>
      <c r="L148" s="406" t="s">
        <v>45</v>
      </c>
      <c r="P148" s="7"/>
      <c r="Q148" s="7"/>
      <c r="R148" s="7"/>
      <c r="S148" s="7"/>
      <c r="T148" s="7"/>
      <c r="U148" s="7"/>
      <c r="V148" s="7"/>
      <c r="W148" s="7"/>
      <c r="X148" s="7"/>
      <c r="Y148" s="7"/>
      <c r="Z148" s="7"/>
    </row>
    <row r="149" spans="1:26" ht="12.75">
      <c r="A149" s="334">
        <v>2526</v>
      </c>
      <c r="B149" s="400" t="s">
        <v>937</v>
      </c>
      <c r="C149" s="346" t="s">
        <v>292</v>
      </c>
      <c r="D149" s="333">
        <v>4.9</v>
      </c>
      <c r="E149" s="328">
        <v>1000</v>
      </c>
      <c r="F149" s="406">
        <f>D149/E149</f>
        <v>0.004900000000000001</v>
      </c>
      <c r="G149" s="407">
        <v>0.7</v>
      </c>
      <c r="H149" s="328">
        <v>50</v>
      </c>
      <c r="I149" s="407">
        <f>G149/H149</f>
        <v>0.013999999999999999</v>
      </c>
      <c r="J149" s="330">
        <v>0.01</v>
      </c>
      <c r="K149" s="328" t="s">
        <v>45</v>
      </c>
      <c r="L149" s="406" t="s">
        <v>45</v>
      </c>
      <c r="P149" s="7"/>
      <c r="Q149" s="7"/>
      <c r="R149" s="7"/>
      <c r="S149" s="7"/>
      <c r="T149" s="7"/>
      <c r="U149" s="7"/>
      <c r="V149" s="7"/>
      <c r="W149" s="7"/>
      <c r="X149" s="7"/>
      <c r="Y149" s="7"/>
      <c r="Z149" s="7"/>
    </row>
    <row r="150" spans="1:26" ht="12.75">
      <c r="A150" s="334">
        <v>2527</v>
      </c>
      <c r="B150" s="400" t="s">
        <v>937</v>
      </c>
      <c r="C150" s="346" t="s">
        <v>293</v>
      </c>
      <c r="D150" s="333">
        <v>2.4</v>
      </c>
      <c r="E150" s="328">
        <v>1000</v>
      </c>
      <c r="F150" s="406">
        <f>D150/E150</f>
        <v>0.0024</v>
      </c>
      <c r="G150" s="407">
        <v>0.22</v>
      </c>
      <c r="H150" s="328">
        <v>50</v>
      </c>
      <c r="I150" s="407">
        <f>G150/H150</f>
        <v>0.0044</v>
      </c>
      <c r="J150" s="330">
        <v>0.01</v>
      </c>
      <c r="K150" s="328" t="s">
        <v>45</v>
      </c>
      <c r="L150" s="406" t="s">
        <v>45</v>
      </c>
      <c r="P150" s="7"/>
      <c r="Q150" s="7"/>
      <c r="R150" s="7"/>
      <c r="S150" s="7"/>
      <c r="T150" s="7"/>
      <c r="U150" s="7"/>
      <c r="V150" s="7"/>
      <c r="W150" s="7"/>
      <c r="X150" s="7"/>
      <c r="Y150" s="7"/>
      <c r="Z150" s="7"/>
    </row>
    <row r="151" spans="1:26" ht="12.75">
      <c r="A151" s="334">
        <v>2528</v>
      </c>
      <c r="B151" s="400" t="s">
        <v>937</v>
      </c>
      <c r="C151" s="346" t="s">
        <v>57</v>
      </c>
      <c r="D151" s="333">
        <v>250</v>
      </c>
      <c r="E151" s="328">
        <v>1000</v>
      </c>
      <c r="F151" s="406">
        <f aca="true" t="shared" si="27" ref="F151:F156">D151/E151</f>
        <v>0.25</v>
      </c>
      <c r="G151" s="407">
        <v>500</v>
      </c>
      <c r="H151" s="328">
        <v>50</v>
      </c>
      <c r="I151" s="407">
        <v>10</v>
      </c>
      <c r="J151" s="330">
        <v>0.05</v>
      </c>
      <c r="K151" s="328" t="s">
        <v>24</v>
      </c>
      <c r="L151" s="406" t="s">
        <v>27</v>
      </c>
      <c r="P151" s="7"/>
      <c r="Q151" s="7"/>
      <c r="R151" s="7"/>
      <c r="S151" s="7"/>
      <c r="T151" s="7"/>
      <c r="U151" s="7"/>
      <c r="V151" s="7"/>
      <c r="W151" s="7"/>
      <c r="X151" s="7"/>
      <c r="Y151" s="7"/>
      <c r="Z151" s="7"/>
    </row>
    <row r="152" spans="1:26" ht="12.75">
      <c r="A152" s="334">
        <v>2529</v>
      </c>
      <c r="B152" s="400" t="s">
        <v>937</v>
      </c>
      <c r="C152" s="346" t="s">
        <v>294</v>
      </c>
      <c r="D152" s="333">
        <v>1000</v>
      </c>
      <c r="E152" s="328">
        <v>1000</v>
      </c>
      <c r="F152" s="406">
        <f t="shared" si="27"/>
        <v>1</v>
      </c>
      <c r="G152" s="407"/>
      <c r="H152" s="328"/>
      <c r="I152" s="407">
        <f aca="true" t="shared" si="28" ref="I152">F152</f>
        <v>1</v>
      </c>
      <c r="J152" s="330">
        <v>0.05</v>
      </c>
      <c r="K152" s="328" t="s">
        <v>24</v>
      </c>
      <c r="L152" s="406" t="s">
        <v>27</v>
      </c>
      <c r="P152" s="7"/>
      <c r="Q152" s="7"/>
      <c r="R152" s="7"/>
      <c r="S152" s="7"/>
      <c r="T152" s="7"/>
      <c r="U152" s="7"/>
      <c r="V152" s="7"/>
      <c r="W152" s="7"/>
      <c r="X152" s="7"/>
      <c r="Y152" s="7"/>
      <c r="Z152" s="7"/>
    </row>
    <row r="153" spans="1:26" ht="12.75">
      <c r="A153" s="345">
        <v>2530</v>
      </c>
      <c r="B153" s="400" t="s">
        <v>937</v>
      </c>
      <c r="C153" s="346" t="s">
        <v>694</v>
      </c>
      <c r="D153" s="333">
        <v>100</v>
      </c>
      <c r="E153" s="328">
        <v>1000</v>
      </c>
      <c r="F153" s="406">
        <f t="shared" si="27"/>
        <v>0.1</v>
      </c>
      <c r="G153" s="407">
        <v>100</v>
      </c>
      <c r="H153" s="328">
        <v>50</v>
      </c>
      <c r="I153" s="419">
        <f>G153/H153</f>
        <v>2</v>
      </c>
      <c r="J153" s="330">
        <v>0.05</v>
      </c>
      <c r="K153" s="328" t="s">
        <v>24</v>
      </c>
      <c r="L153" s="406" t="s">
        <v>27</v>
      </c>
      <c r="P153" s="7"/>
      <c r="Q153" s="7"/>
      <c r="R153" s="7"/>
      <c r="S153" s="7"/>
      <c r="T153" s="7"/>
      <c r="U153" s="7"/>
      <c r="V153" s="7"/>
      <c r="W153" s="7"/>
      <c r="X153" s="7"/>
      <c r="Y153" s="7"/>
      <c r="Z153" s="7"/>
    </row>
    <row r="154" spans="1:26" ht="12.75">
      <c r="A154" s="334">
        <v>2531</v>
      </c>
      <c r="B154" s="400" t="s">
        <v>937</v>
      </c>
      <c r="C154" s="346" t="s">
        <v>58</v>
      </c>
      <c r="D154" s="333">
        <v>90</v>
      </c>
      <c r="E154" s="328">
        <v>1000</v>
      </c>
      <c r="F154" s="406">
        <f t="shared" si="27"/>
        <v>0.09</v>
      </c>
      <c r="G154" s="407">
        <v>0.78</v>
      </c>
      <c r="H154" s="328">
        <v>50</v>
      </c>
      <c r="I154" s="407">
        <f>G154/H154</f>
        <v>0.015600000000000001</v>
      </c>
      <c r="J154" s="330">
        <v>0.05</v>
      </c>
      <c r="K154" s="328" t="s">
        <v>24</v>
      </c>
      <c r="L154" s="406" t="s">
        <v>27</v>
      </c>
      <c r="P154" s="7"/>
      <c r="Q154" s="7"/>
      <c r="R154" s="7"/>
      <c r="S154" s="7"/>
      <c r="T154" s="7"/>
      <c r="U154" s="7"/>
      <c r="V154" s="7"/>
      <c r="W154" s="7"/>
      <c r="X154" s="7"/>
      <c r="Y154" s="7"/>
      <c r="Z154" s="7"/>
    </row>
    <row r="155" spans="1:26" ht="12.75">
      <c r="A155" s="334">
        <v>2532</v>
      </c>
      <c r="B155" s="400" t="s">
        <v>937</v>
      </c>
      <c r="C155" s="346" t="s">
        <v>59</v>
      </c>
      <c r="D155" s="333">
        <v>1000</v>
      </c>
      <c r="E155" s="328">
        <v>1000</v>
      </c>
      <c r="F155" s="406">
        <f t="shared" si="27"/>
        <v>1</v>
      </c>
      <c r="G155" s="407"/>
      <c r="H155" s="328"/>
      <c r="I155" s="407">
        <f>F155</f>
        <v>1</v>
      </c>
      <c r="J155" s="330">
        <v>0.5</v>
      </c>
      <c r="K155" s="328" t="s">
        <v>28</v>
      </c>
      <c r="L155" s="406" t="s">
        <v>25</v>
      </c>
      <c r="P155" s="7"/>
      <c r="Q155" s="7"/>
      <c r="R155" s="7"/>
      <c r="S155" s="7"/>
      <c r="T155" s="7"/>
      <c r="U155" s="7"/>
      <c r="V155" s="7"/>
      <c r="W155" s="7"/>
      <c r="X155" s="7"/>
      <c r="Y155" s="7"/>
      <c r="Z155" s="7"/>
    </row>
    <row r="156" spans="1:26" ht="12.75">
      <c r="A156" s="334">
        <v>2533</v>
      </c>
      <c r="B156" s="400" t="s">
        <v>937</v>
      </c>
      <c r="C156" s="346" t="s">
        <v>60</v>
      </c>
      <c r="D156" s="333">
        <v>250</v>
      </c>
      <c r="E156" s="328">
        <v>5000</v>
      </c>
      <c r="F156" s="406">
        <f t="shared" si="27"/>
        <v>0.05</v>
      </c>
      <c r="G156" s="407"/>
      <c r="H156" s="328"/>
      <c r="I156" s="407">
        <f>F156</f>
        <v>0.05</v>
      </c>
      <c r="J156" s="330">
        <v>0.5</v>
      </c>
      <c r="K156" s="328" t="s">
        <v>28</v>
      </c>
      <c r="L156" s="406" t="s">
        <v>25</v>
      </c>
      <c r="P156" s="7"/>
      <c r="Q156" s="7"/>
      <c r="R156" s="7"/>
      <c r="S156" s="7"/>
      <c r="T156" s="7"/>
      <c r="U156" s="7"/>
      <c r="V156" s="7"/>
      <c r="W156" s="7"/>
      <c r="X156" s="7"/>
      <c r="Y156" s="7"/>
      <c r="Z156" s="7"/>
    </row>
    <row r="157" spans="1:26" ht="12.75">
      <c r="A157" s="334">
        <v>2534</v>
      </c>
      <c r="B157" s="400" t="s">
        <v>937</v>
      </c>
      <c r="C157" s="346" t="s">
        <v>61</v>
      </c>
      <c r="D157" s="333"/>
      <c r="E157" s="328"/>
      <c r="F157" s="406">
        <v>10</v>
      </c>
      <c r="G157" s="407"/>
      <c r="H157" s="328"/>
      <c r="I157" s="407">
        <v>10</v>
      </c>
      <c r="J157" s="330">
        <v>0.05</v>
      </c>
      <c r="K157" s="328" t="s">
        <v>45</v>
      </c>
      <c r="L157" s="406" t="s">
        <v>45</v>
      </c>
      <c r="P157" s="7"/>
      <c r="Q157" s="7"/>
      <c r="R157" s="7"/>
      <c r="S157" s="7"/>
      <c r="T157" s="7"/>
      <c r="U157" s="7"/>
      <c r="V157" s="7"/>
      <c r="W157" s="7"/>
      <c r="X157" s="7"/>
      <c r="Y157" s="7"/>
      <c r="Z157" s="7"/>
    </row>
    <row r="158" spans="1:26" ht="12.75">
      <c r="A158" s="334">
        <v>2535</v>
      </c>
      <c r="B158" s="400" t="s">
        <v>937</v>
      </c>
      <c r="C158" s="346" t="s">
        <v>695</v>
      </c>
      <c r="D158" s="333"/>
      <c r="E158" s="328"/>
      <c r="F158" s="406">
        <v>10</v>
      </c>
      <c r="G158" s="407"/>
      <c r="H158" s="328"/>
      <c r="I158" s="407">
        <v>10</v>
      </c>
      <c r="J158" s="330">
        <v>1</v>
      </c>
      <c r="K158" s="328" t="s">
        <v>45</v>
      </c>
      <c r="L158" s="406" t="s">
        <v>45</v>
      </c>
      <c r="P158" s="7"/>
      <c r="Q158" s="7"/>
      <c r="R158" s="7"/>
      <c r="S158" s="7"/>
      <c r="T158" s="7"/>
      <c r="U158" s="7"/>
      <c r="V158" s="7"/>
      <c r="W158" s="7"/>
      <c r="X158" s="7"/>
      <c r="Y158" s="7"/>
      <c r="Z158" s="7"/>
    </row>
    <row r="159" spans="1:26" ht="12.75">
      <c r="A159" s="334">
        <v>2536</v>
      </c>
      <c r="B159" s="400" t="s">
        <v>937</v>
      </c>
      <c r="C159" s="346" t="s">
        <v>62</v>
      </c>
      <c r="D159" s="333">
        <v>9100</v>
      </c>
      <c r="E159" s="328">
        <v>5000</v>
      </c>
      <c r="F159" s="406">
        <f aca="true" t="shared" si="29" ref="F159">D159/E159</f>
        <v>1.82</v>
      </c>
      <c r="G159" s="407"/>
      <c r="H159" s="328"/>
      <c r="I159" s="407">
        <f>F159</f>
        <v>1.82</v>
      </c>
      <c r="J159" s="330">
        <v>0.5</v>
      </c>
      <c r="K159" s="328" t="s">
        <v>28</v>
      </c>
      <c r="L159" s="406" t="s">
        <v>26</v>
      </c>
      <c r="P159" s="7"/>
      <c r="Q159" s="7"/>
      <c r="R159" s="7"/>
      <c r="S159" s="7"/>
      <c r="T159" s="7"/>
      <c r="U159" s="7"/>
      <c r="V159" s="7"/>
      <c r="W159" s="7"/>
      <c r="X159" s="7"/>
      <c r="Y159" s="7"/>
      <c r="Z159" s="7"/>
    </row>
    <row r="160" spans="1:26" ht="12.75">
      <c r="A160" s="334">
        <v>2537</v>
      </c>
      <c r="B160" s="400" t="s">
        <v>937</v>
      </c>
      <c r="C160" s="346" t="s">
        <v>696</v>
      </c>
      <c r="D160" s="333"/>
      <c r="E160" s="328"/>
      <c r="F160" s="406">
        <v>10</v>
      </c>
      <c r="G160" s="407"/>
      <c r="H160" s="328"/>
      <c r="I160" s="407">
        <v>10</v>
      </c>
      <c r="J160" s="330">
        <v>1</v>
      </c>
      <c r="K160" s="328" t="s">
        <v>45</v>
      </c>
      <c r="L160" s="406" t="s">
        <v>45</v>
      </c>
      <c r="P160" s="7"/>
      <c r="Q160" s="7"/>
      <c r="R160" s="7"/>
      <c r="S160" s="7"/>
      <c r="T160" s="7"/>
      <c r="U160" s="7"/>
      <c r="V160" s="7"/>
      <c r="W160" s="7"/>
      <c r="X160" s="7"/>
      <c r="Y160" s="7"/>
      <c r="Z160" s="7"/>
    </row>
    <row r="161" spans="1:26" ht="12.75">
      <c r="A161" s="334">
        <v>2538</v>
      </c>
      <c r="B161" s="400" t="s">
        <v>937</v>
      </c>
      <c r="C161" s="346" t="s">
        <v>295</v>
      </c>
      <c r="D161" s="333">
        <v>1000</v>
      </c>
      <c r="E161" s="328">
        <v>10000</v>
      </c>
      <c r="F161" s="406">
        <f aca="true" t="shared" si="30" ref="F161:F167">D161/E161</f>
        <v>0.1</v>
      </c>
      <c r="G161" s="407"/>
      <c r="H161" s="328"/>
      <c r="I161" s="407">
        <f aca="true" t="shared" si="31" ref="I161:I163">F161</f>
        <v>0.1</v>
      </c>
      <c r="J161" s="330">
        <v>1</v>
      </c>
      <c r="K161" s="328" t="s">
        <v>35</v>
      </c>
      <c r="L161" s="406" t="s">
        <v>25</v>
      </c>
      <c r="P161" s="7"/>
      <c r="Q161" s="7"/>
      <c r="R161" s="7"/>
      <c r="S161" s="7"/>
      <c r="T161" s="7"/>
      <c r="U161" s="7"/>
      <c r="V161" s="7"/>
      <c r="W161" s="7"/>
      <c r="X161" s="7"/>
      <c r="Y161" s="7"/>
      <c r="Z161" s="7"/>
    </row>
    <row r="162" spans="1:26" ht="12.75">
      <c r="A162" s="334">
        <v>2539</v>
      </c>
      <c r="B162" s="400" t="s">
        <v>937</v>
      </c>
      <c r="C162" s="346" t="s">
        <v>296</v>
      </c>
      <c r="D162" s="333">
        <v>1000</v>
      </c>
      <c r="E162" s="328">
        <v>10000</v>
      </c>
      <c r="F162" s="406">
        <f t="shared" si="30"/>
        <v>0.1</v>
      </c>
      <c r="G162" s="407"/>
      <c r="H162" s="328"/>
      <c r="I162" s="407">
        <f t="shared" si="31"/>
        <v>0.1</v>
      </c>
      <c r="J162" s="330">
        <v>0.05</v>
      </c>
      <c r="K162" s="328" t="s">
        <v>24</v>
      </c>
      <c r="L162" s="406" t="s">
        <v>27</v>
      </c>
      <c r="P162" s="7"/>
      <c r="Q162" s="7"/>
      <c r="R162" s="7"/>
      <c r="S162" s="7"/>
      <c r="T162" s="7"/>
      <c r="U162" s="7"/>
      <c r="V162" s="7"/>
      <c r="W162" s="7"/>
      <c r="X162" s="7"/>
      <c r="Y162" s="7"/>
      <c r="Z162" s="7"/>
    </row>
    <row r="163" spans="1:26" ht="12.75">
      <c r="A163" s="334">
        <v>2540</v>
      </c>
      <c r="B163" s="400" t="s">
        <v>937</v>
      </c>
      <c r="C163" s="346" t="s">
        <v>63</v>
      </c>
      <c r="D163" s="333">
        <v>450</v>
      </c>
      <c r="E163" s="328">
        <v>1000</v>
      </c>
      <c r="F163" s="406">
        <f t="shared" si="30"/>
        <v>0.45</v>
      </c>
      <c r="G163" s="407"/>
      <c r="H163" s="328"/>
      <c r="I163" s="407">
        <f t="shared" si="31"/>
        <v>0.45</v>
      </c>
      <c r="J163" s="330">
        <v>0.05</v>
      </c>
      <c r="K163" s="328" t="s">
        <v>24</v>
      </c>
      <c r="L163" s="406" t="s">
        <v>26</v>
      </c>
      <c r="P163" s="7"/>
      <c r="Q163" s="7"/>
      <c r="R163" s="7"/>
      <c r="S163" s="7"/>
      <c r="T163" s="7"/>
      <c r="U163" s="7"/>
      <c r="V163" s="7"/>
      <c r="W163" s="7"/>
      <c r="X163" s="7"/>
      <c r="Y163" s="7"/>
      <c r="Z163" s="7"/>
    </row>
    <row r="164" spans="1:26" ht="12.75">
      <c r="A164" s="334">
        <v>2541</v>
      </c>
      <c r="B164" s="400" t="s">
        <v>937</v>
      </c>
      <c r="C164" s="346" t="s">
        <v>697</v>
      </c>
      <c r="D164" s="333">
        <v>230</v>
      </c>
      <c r="E164" s="328">
        <v>1000</v>
      </c>
      <c r="F164" s="406">
        <f t="shared" si="30"/>
        <v>0.23</v>
      </c>
      <c r="G164" s="407">
        <v>31</v>
      </c>
      <c r="H164" s="328">
        <v>100</v>
      </c>
      <c r="I164" s="407">
        <f>G164/H164</f>
        <v>0.31</v>
      </c>
      <c r="J164" s="330">
        <v>0.15</v>
      </c>
      <c r="K164" s="328" t="s">
        <v>24</v>
      </c>
      <c r="L164" s="406" t="s">
        <v>25</v>
      </c>
      <c r="M164" s="294"/>
      <c r="N164" s="294"/>
      <c r="O164" s="183"/>
      <c r="P164" s="7"/>
      <c r="Q164" s="7"/>
      <c r="R164" s="7"/>
      <c r="S164" s="7"/>
      <c r="T164" s="7"/>
      <c r="U164" s="7"/>
      <c r="V164" s="7"/>
      <c r="W164" s="7"/>
      <c r="X164" s="7"/>
      <c r="Y164" s="7"/>
      <c r="Z164" s="7"/>
    </row>
    <row r="165" spans="1:26" ht="12.75">
      <c r="A165" s="334">
        <v>2542</v>
      </c>
      <c r="B165" s="400" t="s">
        <v>937</v>
      </c>
      <c r="C165" s="346" t="s">
        <v>64</v>
      </c>
      <c r="D165" s="333"/>
      <c r="E165" s="328"/>
      <c r="F165" s="406">
        <v>10</v>
      </c>
      <c r="G165" s="407"/>
      <c r="H165" s="328"/>
      <c r="I165" s="407">
        <v>10</v>
      </c>
      <c r="J165" s="330">
        <v>0.05</v>
      </c>
      <c r="K165" s="328" t="s">
        <v>45</v>
      </c>
      <c r="L165" s="406" t="s">
        <v>45</v>
      </c>
      <c r="M165" s="294"/>
      <c r="N165" s="294"/>
      <c r="O165" s="183"/>
      <c r="P165" s="7"/>
      <c r="Q165" s="7"/>
      <c r="R165" s="7"/>
      <c r="S165" s="7"/>
      <c r="T165" s="7"/>
      <c r="U165" s="7"/>
      <c r="V165" s="7"/>
      <c r="W165" s="7"/>
      <c r="X165" s="7"/>
      <c r="Y165" s="7"/>
      <c r="Z165" s="7"/>
    </row>
    <row r="166" spans="1:26" ht="12.75">
      <c r="A166" s="334">
        <v>2543</v>
      </c>
      <c r="B166" s="400" t="s">
        <v>937</v>
      </c>
      <c r="C166" s="346" t="s">
        <v>297</v>
      </c>
      <c r="D166" s="333">
        <v>28</v>
      </c>
      <c r="E166" s="328">
        <v>1000</v>
      </c>
      <c r="F166" s="406">
        <f t="shared" si="30"/>
        <v>0.028</v>
      </c>
      <c r="G166" s="407">
        <v>0.05</v>
      </c>
      <c r="H166" s="328">
        <v>10</v>
      </c>
      <c r="I166" s="407">
        <f>G166/H166</f>
        <v>0.005</v>
      </c>
      <c r="J166" s="330">
        <v>0.05</v>
      </c>
      <c r="K166" s="328" t="s">
        <v>45</v>
      </c>
      <c r="L166" s="406" t="s">
        <v>45</v>
      </c>
      <c r="P166" s="7"/>
      <c r="Q166" s="7"/>
      <c r="R166" s="7"/>
      <c r="S166" s="7"/>
      <c r="T166" s="7"/>
      <c r="U166" s="7"/>
      <c r="V166" s="7"/>
      <c r="W166" s="7"/>
      <c r="X166" s="7"/>
      <c r="Y166" s="7"/>
      <c r="Z166" s="7"/>
    </row>
    <row r="167" spans="1:26" ht="12.75">
      <c r="A167" s="345">
        <v>2544</v>
      </c>
      <c r="B167" s="400" t="s">
        <v>937</v>
      </c>
      <c r="C167" s="346" t="s">
        <v>698</v>
      </c>
      <c r="D167" s="333">
        <v>25</v>
      </c>
      <c r="E167" s="328">
        <v>5000</v>
      </c>
      <c r="F167" s="406">
        <f t="shared" si="30"/>
        <v>0.005</v>
      </c>
      <c r="G167" s="407"/>
      <c r="H167" s="328"/>
      <c r="I167" s="407">
        <f aca="true" t="shared" si="32" ref="I167">F167</f>
        <v>0.005</v>
      </c>
      <c r="J167" s="330">
        <v>0.05</v>
      </c>
      <c r="K167" s="328" t="s">
        <v>24</v>
      </c>
      <c r="L167" s="406" t="s">
        <v>27</v>
      </c>
      <c r="P167" s="7"/>
      <c r="Q167" s="7"/>
      <c r="R167" s="7"/>
      <c r="S167" s="7"/>
      <c r="T167" s="7"/>
      <c r="U167" s="7"/>
      <c r="V167" s="7"/>
      <c r="W167" s="7"/>
      <c r="X167" s="7"/>
      <c r="Y167" s="7"/>
      <c r="Z167" s="7"/>
    </row>
    <row r="168" spans="1:26" ht="12.75">
      <c r="A168" s="334">
        <v>2545</v>
      </c>
      <c r="B168" s="400" t="s">
        <v>937</v>
      </c>
      <c r="C168" s="408" t="s">
        <v>117</v>
      </c>
      <c r="D168" s="333">
        <v>113</v>
      </c>
      <c r="E168" s="328">
        <v>5000</v>
      </c>
      <c r="F168" s="426">
        <f>D168/E168</f>
        <v>0.0226</v>
      </c>
      <c r="G168" s="407"/>
      <c r="H168" s="328"/>
      <c r="I168" s="427">
        <f>+F168</f>
        <v>0.0226</v>
      </c>
      <c r="J168" s="330">
        <v>0.05</v>
      </c>
      <c r="K168" s="328" t="s">
        <v>24</v>
      </c>
      <c r="L168" s="406" t="s">
        <v>26</v>
      </c>
      <c r="M168" s="294"/>
      <c r="N168" s="294"/>
      <c r="O168" s="183"/>
      <c r="P168" s="7"/>
      <c r="Q168" s="7"/>
      <c r="R168" s="7"/>
      <c r="S168" s="7"/>
      <c r="T168" s="7"/>
      <c r="U168" s="7"/>
      <c r="V168" s="7"/>
      <c r="W168" s="7"/>
      <c r="X168" s="7"/>
      <c r="Y168" s="7"/>
      <c r="Z168" s="7"/>
    </row>
    <row r="169" spans="1:26" ht="12.75">
      <c r="A169" s="334">
        <v>2546</v>
      </c>
      <c r="B169" s="400" t="s">
        <v>937</v>
      </c>
      <c r="C169" s="346" t="s">
        <v>298</v>
      </c>
      <c r="D169" s="333">
        <v>0.17</v>
      </c>
      <c r="E169" s="328">
        <v>1000</v>
      </c>
      <c r="F169" s="406">
        <f>D169/E169</f>
        <v>0.00017</v>
      </c>
      <c r="G169" s="407">
        <v>0.006</v>
      </c>
      <c r="H169" s="328">
        <v>50</v>
      </c>
      <c r="I169" s="407">
        <f>G169/H169</f>
        <v>0.00012</v>
      </c>
      <c r="J169" s="330">
        <v>0.01</v>
      </c>
      <c r="K169" s="328" t="s">
        <v>24</v>
      </c>
      <c r="L169" s="406" t="s">
        <v>27</v>
      </c>
      <c r="M169" s="294"/>
      <c r="N169" s="294"/>
      <c r="O169" s="183"/>
      <c r="P169" s="7"/>
      <c r="Q169" s="7"/>
      <c r="R169" s="7"/>
      <c r="S169" s="7"/>
      <c r="T169" s="7"/>
      <c r="U169" s="7"/>
      <c r="V169" s="7"/>
      <c r="W169" s="7"/>
      <c r="X169" s="7"/>
      <c r="Y169" s="7"/>
      <c r="Z169" s="7"/>
    </row>
    <row r="170" spans="1:26" ht="12.75">
      <c r="A170" s="334">
        <v>2547</v>
      </c>
      <c r="B170" s="400" t="s">
        <v>937</v>
      </c>
      <c r="C170" s="346" t="s">
        <v>299</v>
      </c>
      <c r="D170" s="333">
        <v>18</v>
      </c>
      <c r="E170" s="328">
        <v>1000</v>
      </c>
      <c r="F170" s="406">
        <f>D170/E170</f>
        <v>0.018</v>
      </c>
      <c r="G170" s="407"/>
      <c r="H170" s="328"/>
      <c r="I170" s="407">
        <f>F170</f>
        <v>0.018</v>
      </c>
      <c r="J170" s="330">
        <v>0.01</v>
      </c>
      <c r="K170" s="328" t="s">
        <v>24</v>
      </c>
      <c r="L170" s="406" t="s">
        <v>27</v>
      </c>
      <c r="P170" s="7"/>
      <c r="Q170" s="7"/>
      <c r="R170" s="7"/>
      <c r="S170" s="7"/>
      <c r="T170" s="7"/>
      <c r="U170" s="7"/>
      <c r="V170" s="7"/>
      <c r="W170" s="7"/>
      <c r="X170" s="7"/>
      <c r="Y170" s="7"/>
      <c r="Z170" s="7"/>
    </row>
    <row r="171" spans="1:26" ht="12.75">
      <c r="A171" s="334">
        <v>2548</v>
      </c>
      <c r="B171" s="400" t="s">
        <v>937</v>
      </c>
      <c r="C171" s="346" t="s">
        <v>300</v>
      </c>
      <c r="D171" s="333">
        <v>1972</v>
      </c>
      <c r="E171" s="328">
        <v>1000</v>
      </c>
      <c r="F171" s="406">
        <f>D171/E171</f>
        <v>1.972</v>
      </c>
      <c r="G171" s="407"/>
      <c r="H171" s="328"/>
      <c r="I171" s="427">
        <f>+F171</f>
        <v>1.972</v>
      </c>
      <c r="J171" s="330">
        <v>0.05</v>
      </c>
      <c r="K171" s="328" t="s">
        <v>24</v>
      </c>
      <c r="L171" s="406" t="s">
        <v>26</v>
      </c>
      <c r="M171" s="294"/>
      <c r="N171" s="294"/>
      <c r="O171" s="183"/>
      <c r="P171" s="7"/>
      <c r="Q171" s="7"/>
      <c r="R171" s="7"/>
      <c r="S171" s="7"/>
      <c r="T171" s="7"/>
      <c r="U171" s="7"/>
      <c r="V171" s="7"/>
      <c r="W171" s="7"/>
      <c r="X171" s="7"/>
      <c r="Y171" s="7"/>
      <c r="Z171" s="7"/>
    </row>
    <row r="172" spans="1:26" ht="12.75">
      <c r="A172" s="334">
        <v>2549</v>
      </c>
      <c r="B172" s="400" t="s">
        <v>937</v>
      </c>
      <c r="C172" s="346" t="s">
        <v>65</v>
      </c>
      <c r="D172" s="333">
        <v>2</v>
      </c>
      <c r="E172" s="328">
        <v>1000</v>
      </c>
      <c r="F172" s="406">
        <f aca="true" t="shared" si="33" ref="F172:F226">D172/E172</f>
        <v>0.002</v>
      </c>
      <c r="G172" s="407"/>
      <c r="H172" s="328"/>
      <c r="I172" s="407">
        <f aca="true" t="shared" si="34" ref="I172:I176">F172</f>
        <v>0.002</v>
      </c>
      <c r="J172" s="330">
        <v>0.5</v>
      </c>
      <c r="K172" s="328" t="s">
        <v>28</v>
      </c>
      <c r="L172" s="406" t="s">
        <v>25</v>
      </c>
      <c r="P172" s="7"/>
      <c r="Q172" s="7"/>
      <c r="R172" s="7"/>
      <c r="S172" s="7"/>
      <c r="T172" s="7"/>
      <c r="U172" s="7"/>
      <c r="V172" s="7"/>
      <c r="W172" s="7"/>
      <c r="X172" s="7"/>
      <c r="Y172" s="7"/>
      <c r="Z172" s="7"/>
    </row>
    <row r="173" spans="1:26" ht="12.75">
      <c r="A173" s="334">
        <v>2550</v>
      </c>
      <c r="B173" s="400" t="s">
        <v>937</v>
      </c>
      <c r="C173" s="346" t="s">
        <v>66</v>
      </c>
      <c r="D173" s="333">
        <v>10</v>
      </c>
      <c r="E173" s="328">
        <v>1000</v>
      </c>
      <c r="F173" s="406">
        <f>D173/E173</f>
        <v>0.01</v>
      </c>
      <c r="G173" s="407"/>
      <c r="H173" s="328"/>
      <c r="I173" s="407">
        <f t="shared" si="34"/>
        <v>0.01</v>
      </c>
      <c r="J173" s="330">
        <v>1</v>
      </c>
      <c r="K173" s="328" t="s">
        <v>35</v>
      </c>
      <c r="L173" s="406" t="s">
        <v>25</v>
      </c>
      <c r="P173" s="7"/>
      <c r="Q173" s="7"/>
      <c r="R173" s="7"/>
      <c r="S173" s="7"/>
      <c r="T173" s="7"/>
      <c r="U173" s="7"/>
      <c r="V173" s="7"/>
      <c r="W173" s="7"/>
      <c r="X173" s="7"/>
      <c r="Y173" s="7"/>
      <c r="Z173" s="7"/>
    </row>
    <row r="174" spans="1:26" ht="12.75">
      <c r="A174" s="334">
        <v>2551</v>
      </c>
      <c r="B174" s="400" t="s">
        <v>937</v>
      </c>
      <c r="C174" s="346" t="s">
        <v>301</v>
      </c>
      <c r="D174" s="333">
        <v>100</v>
      </c>
      <c r="E174" s="328">
        <v>1000</v>
      </c>
      <c r="F174" s="406">
        <f aca="true" t="shared" si="35" ref="F174">D174/E174</f>
        <v>0.1</v>
      </c>
      <c r="G174" s="407"/>
      <c r="H174" s="328"/>
      <c r="I174" s="407">
        <f t="shared" si="34"/>
        <v>0.1</v>
      </c>
      <c r="J174" s="330">
        <v>0.05</v>
      </c>
      <c r="K174" s="328" t="s">
        <v>24</v>
      </c>
      <c r="L174" s="406" t="s">
        <v>27</v>
      </c>
      <c r="P174" s="7"/>
      <c r="Q174" s="7"/>
      <c r="R174" s="7"/>
      <c r="S174" s="7"/>
      <c r="T174" s="7"/>
      <c r="U174" s="7"/>
      <c r="V174" s="7"/>
      <c r="W174" s="7"/>
      <c r="X174" s="7"/>
      <c r="Y174" s="7"/>
      <c r="Z174" s="7"/>
    </row>
    <row r="175" spans="1:26" ht="12.75">
      <c r="A175" s="334">
        <v>2552</v>
      </c>
      <c r="B175" s="400" t="s">
        <v>937</v>
      </c>
      <c r="C175" s="346" t="s">
        <v>67</v>
      </c>
      <c r="D175" s="333">
        <v>655</v>
      </c>
      <c r="E175" s="328">
        <v>1000</v>
      </c>
      <c r="F175" s="406">
        <f t="shared" si="33"/>
        <v>0.655</v>
      </c>
      <c r="G175" s="407"/>
      <c r="H175" s="328"/>
      <c r="I175" s="407">
        <f t="shared" si="34"/>
        <v>0.655</v>
      </c>
      <c r="J175" s="330">
        <v>1</v>
      </c>
      <c r="K175" s="328" t="s">
        <v>35</v>
      </c>
      <c r="L175" s="406" t="s">
        <v>26</v>
      </c>
      <c r="M175" s="294"/>
      <c r="N175" s="294"/>
      <c r="O175" s="183"/>
      <c r="P175" s="7"/>
      <c r="Q175" s="7"/>
      <c r="R175" s="7"/>
      <c r="S175" s="7"/>
      <c r="T175" s="7"/>
      <c r="U175" s="7"/>
      <c r="V175" s="7"/>
      <c r="W175" s="7"/>
      <c r="X175" s="7"/>
      <c r="Y175" s="7"/>
      <c r="Z175" s="7"/>
    </row>
    <row r="176" spans="1:26" ht="12.75">
      <c r="A176" s="334">
        <v>2553</v>
      </c>
      <c r="B176" s="400" t="s">
        <v>937</v>
      </c>
      <c r="C176" s="346" t="s">
        <v>68</v>
      </c>
      <c r="D176" s="333">
        <v>530</v>
      </c>
      <c r="E176" s="328">
        <v>1000</v>
      </c>
      <c r="F176" s="406">
        <f t="shared" si="33"/>
        <v>0.53</v>
      </c>
      <c r="G176" s="407"/>
      <c r="H176" s="328"/>
      <c r="I176" s="407">
        <f t="shared" si="34"/>
        <v>0.53</v>
      </c>
      <c r="J176" s="330">
        <v>1</v>
      </c>
      <c r="K176" s="328" t="s">
        <v>35</v>
      </c>
      <c r="L176" s="406" t="s">
        <v>25</v>
      </c>
      <c r="M176" s="294"/>
      <c r="N176" s="294"/>
      <c r="O176" s="183"/>
      <c r="P176" s="7"/>
      <c r="Q176" s="7"/>
      <c r="R176" s="7"/>
      <c r="S176" s="7"/>
      <c r="T176" s="7"/>
      <c r="U176" s="7"/>
      <c r="V176" s="7"/>
      <c r="W176" s="7"/>
      <c r="X176" s="7"/>
      <c r="Y176" s="7"/>
      <c r="Z176" s="7"/>
    </row>
    <row r="177" spans="1:26" ht="12.75">
      <c r="A177" s="334">
        <v>2554</v>
      </c>
      <c r="B177" s="400" t="s">
        <v>937</v>
      </c>
      <c r="C177" s="346" t="s">
        <v>69</v>
      </c>
      <c r="D177" s="333">
        <v>0.2</v>
      </c>
      <c r="E177" s="328">
        <v>1000</v>
      </c>
      <c r="F177" s="406">
        <f t="shared" si="33"/>
        <v>0.0002</v>
      </c>
      <c r="G177" s="407">
        <v>0.16</v>
      </c>
      <c r="H177" s="328">
        <v>100</v>
      </c>
      <c r="I177" s="407">
        <f>G177/H177</f>
        <v>0.0016</v>
      </c>
      <c r="J177" s="330">
        <v>1</v>
      </c>
      <c r="K177" s="328" t="s">
        <v>35</v>
      </c>
      <c r="L177" s="406" t="s">
        <v>25</v>
      </c>
      <c r="M177" s="294"/>
      <c r="N177" s="294"/>
      <c r="O177" s="183"/>
      <c r="P177" s="7"/>
      <c r="Q177" s="7"/>
      <c r="R177" s="7"/>
      <c r="S177" s="7"/>
      <c r="T177" s="7"/>
      <c r="U177" s="7"/>
      <c r="V177" s="7"/>
      <c r="W177" s="7"/>
      <c r="X177" s="7"/>
      <c r="Y177" s="7"/>
      <c r="Z177" s="7"/>
    </row>
    <row r="178" spans="1:26" ht="12.75">
      <c r="A178" s="334">
        <v>2555</v>
      </c>
      <c r="B178" s="400" t="s">
        <v>937</v>
      </c>
      <c r="C178" s="346" t="s">
        <v>699</v>
      </c>
      <c r="D178" s="333">
        <v>81</v>
      </c>
      <c r="E178" s="328">
        <v>1000</v>
      </c>
      <c r="F178" s="406">
        <f t="shared" si="33"/>
        <v>0.081</v>
      </c>
      <c r="G178" s="407">
        <v>11.7</v>
      </c>
      <c r="H178" s="328">
        <v>50</v>
      </c>
      <c r="I178" s="407">
        <v>0.234</v>
      </c>
      <c r="J178" s="330">
        <v>0.05</v>
      </c>
      <c r="K178" s="328" t="s">
        <v>24</v>
      </c>
      <c r="L178" s="406" t="s">
        <v>25</v>
      </c>
      <c r="M178" s="294"/>
      <c r="N178" s="294"/>
      <c r="O178" s="183"/>
      <c r="P178" s="7"/>
      <c r="Q178" s="7"/>
      <c r="R178" s="7"/>
      <c r="S178" s="7"/>
      <c r="T178" s="7"/>
      <c r="U178" s="7"/>
      <c r="V178" s="7"/>
      <c r="W178" s="7"/>
      <c r="X178" s="7"/>
      <c r="Y178" s="7"/>
      <c r="Z178" s="7"/>
    </row>
    <row r="179" spans="1:26" ht="12.75">
      <c r="A179" s="334">
        <v>2556</v>
      </c>
      <c r="B179" s="400" t="s">
        <v>937</v>
      </c>
      <c r="C179" s="346" t="s">
        <v>70</v>
      </c>
      <c r="D179" s="333">
        <v>100</v>
      </c>
      <c r="E179" s="328">
        <v>1000</v>
      </c>
      <c r="F179" s="406">
        <v>0.1</v>
      </c>
      <c r="G179" s="407">
        <v>5.5</v>
      </c>
      <c r="H179" s="328">
        <v>50</v>
      </c>
      <c r="I179" s="407">
        <v>0.11</v>
      </c>
      <c r="J179" s="330">
        <v>0.5</v>
      </c>
      <c r="K179" s="328" t="s">
        <v>28</v>
      </c>
      <c r="L179" s="406" t="s">
        <v>25</v>
      </c>
      <c r="M179" s="294"/>
      <c r="N179" s="294"/>
      <c r="O179" s="183"/>
      <c r="P179" s="7"/>
      <c r="Q179" s="7"/>
      <c r="R179" s="7"/>
      <c r="S179" s="7"/>
      <c r="T179" s="7"/>
      <c r="U179" s="7"/>
      <c r="V179" s="7"/>
      <c r="W179" s="7"/>
      <c r="X179" s="7"/>
      <c r="Y179" s="7"/>
      <c r="Z179" s="7"/>
    </row>
    <row r="180" spans="1:26" ht="12.75">
      <c r="A180" s="334">
        <v>2557</v>
      </c>
      <c r="B180" s="400" t="s">
        <v>937</v>
      </c>
      <c r="C180" s="346" t="s">
        <v>71</v>
      </c>
      <c r="D180" s="333">
        <v>10</v>
      </c>
      <c r="E180" s="328">
        <v>1000</v>
      </c>
      <c r="F180" s="406">
        <f t="shared" si="33"/>
        <v>0.01</v>
      </c>
      <c r="G180" s="407">
        <v>1</v>
      </c>
      <c r="H180" s="328">
        <v>10</v>
      </c>
      <c r="I180" s="407">
        <f>G180/H180</f>
        <v>0.1</v>
      </c>
      <c r="J180" s="330">
        <v>1</v>
      </c>
      <c r="K180" s="328" t="s">
        <v>35</v>
      </c>
      <c r="L180" s="406" t="s">
        <v>25</v>
      </c>
      <c r="M180" s="294"/>
      <c r="N180" s="294"/>
      <c r="O180" s="183"/>
      <c r="P180" s="7"/>
      <c r="Q180" s="7"/>
      <c r="R180" s="7"/>
      <c r="S180" s="7"/>
      <c r="T180" s="7"/>
      <c r="U180" s="7"/>
      <c r="V180" s="7"/>
      <c r="W180" s="7"/>
      <c r="X180" s="7"/>
      <c r="Y180" s="7"/>
      <c r="Z180" s="7"/>
    </row>
    <row r="181" spans="1:26" ht="12.75">
      <c r="A181" s="334">
        <v>2558</v>
      </c>
      <c r="B181" s="400" t="s">
        <v>937</v>
      </c>
      <c r="C181" s="346" t="s">
        <v>72</v>
      </c>
      <c r="D181" s="333">
        <v>4.225</v>
      </c>
      <c r="E181" s="328">
        <v>1000</v>
      </c>
      <c r="F181" s="406">
        <f t="shared" si="33"/>
        <v>0.004225</v>
      </c>
      <c r="G181" s="407">
        <v>0.11</v>
      </c>
      <c r="H181" s="328">
        <v>50</v>
      </c>
      <c r="I181" s="407">
        <f>G181/H181</f>
        <v>0.0022</v>
      </c>
      <c r="J181" s="330">
        <v>0.05</v>
      </c>
      <c r="K181" s="328" t="s">
        <v>24</v>
      </c>
      <c r="L181" s="406" t="s">
        <v>26</v>
      </c>
      <c r="M181" s="294"/>
      <c r="N181" s="294"/>
      <c r="O181" s="183"/>
      <c r="P181" s="7"/>
      <c r="Q181" s="7"/>
      <c r="R181" s="7"/>
      <c r="S181" s="7"/>
      <c r="T181" s="7"/>
      <c r="U181" s="7"/>
      <c r="V181" s="7"/>
      <c r="W181" s="7"/>
      <c r="X181" s="7"/>
      <c r="Y181" s="7"/>
      <c r="Z181" s="7"/>
    </row>
    <row r="182" spans="1:26" ht="12.75">
      <c r="A182" s="334">
        <v>2559</v>
      </c>
      <c r="B182" s="400" t="s">
        <v>937</v>
      </c>
      <c r="C182" s="346" t="s">
        <v>73</v>
      </c>
      <c r="D182" s="333">
        <v>0.26</v>
      </c>
      <c r="E182" s="328">
        <v>1000</v>
      </c>
      <c r="F182" s="406">
        <f>D182/E182</f>
        <v>0.00026000000000000003</v>
      </c>
      <c r="G182" s="407">
        <v>0.0396</v>
      </c>
      <c r="H182" s="328">
        <v>50</v>
      </c>
      <c r="I182" s="428">
        <f>G182/H182</f>
        <v>0.0007920000000000001</v>
      </c>
      <c r="J182" s="330">
        <v>0.05</v>
      </c>
      <c r="K182" s="328" t="s">
        <v>24</v>
      </c>
      <c r="L182" s="406" t="s">
        <v>26</v>
      </c>
      <c r="M182" s="294"/>
      <c r="N182" s="294"/>
      <c r="O182" s="183"/>
      <c r="P182" s="7"/>
      <c r="Q182" s="7"/>
      <c r="R182" s="7"/>
      <c r="S182" s="7"/>
      <c r="T182" s="7"/>
      <c r="U182" s="7"/>
      <c r="V182" s="7"/>
      <c r="W182" s="7"/>
      <c r="X182" s="7"/>
      <c r="Y182" s="7"/>
      <c r="Z182" s="7"/>
    </row>
    <row r="183" spans="1:26" ht="12.75">
      <c r="A183" s="415">
        <v>2560</v>
      </c>
      <c r="B183" s="400" t="s">
        <v>937</v>
      </c>
      <c r="C183" s="346" t="s">
        <v>74</v>
      </c>
      <c r="D183" s="333">
        <v>100</v>
      </c>
      <c r="E183" s="328">
        <v>1000</v>
      </c>
      <c r="F183" s="406">
        <f t="shared" si="33"/>
        <v>0.1</v>
      </c>
      <c r="G183" s="407"/>
      <c r="H183" s="328"/>
      <c r="I183" s="407">
        <f aca="true" t="shared" si="36" ref="I183:I219">F183</f>
        <v>0.1</v>
      </c>
      <c r="J183" s="330">
        <v>0.05</v>
      </c>
      <c r="K183" s="328" t="s">
        <v>24</v>
      </c>
      <c r="L183" s="406" t="s">
        <v>27</v>
      </c>
      <c r="M183" s="294"/>
      <c r="N183" s="294"/>
      <c r="O183" s="183"/>
      <c r="P183" s="7"/>
      <c r="Q183" s="7"/>
      <c r="R183" s="7"/>
      <c r="S183" s="7"/>
      <c r="T183" s="7"/>
      <c r="U183" s="7"/>
      <c r="V183" s="7"/>
      <c r="W183" s="7"/>
      <c r="X183" s="7"/>
      <c r="Y183" s="7"/>
      <c r="Z183" s="7"/>
    </row>
    <row r="184" spans="1:26" ht="12.75">
      <c r="A184" s="415">
        <v>2561</v>
      </c>
      <c r="B184" s="400" t="s">
        <v>937</v>
      </c>
      <c r="C184" s="346" t="s">
        <v>75</v>
      </c>
      <c r="D184" s="333">
        <v>31</v>
      </c>
      <c r="E184" s="328">
        <v>1000</v>
      </c>
      <c r="F184" s="406">
        <f t="shared" si="33"/>
        <v>0.031</v>
      </c>
      <c r="G184" s="407"/>
      <c r="H184" s="328"/>
      <c r="I184" s="407">
        <f t="shared" si="36"/>
        <v>0.031</v>
      </c>
      <c r="J184" s="330">
        <v>0.05</v>
      </c>
      <c r="K184" s="328" t="s">
        <v>24</v>
      </c>
      <c r="L184" s="406" t="s">
        <v>26</v>
      </c>
      <c r="M184" s="294"/>
      <c r="N184" s="294"/>
      <c r="O184" s="183"/>
      <c r="P184" s="7"/>
      <c r="Q184" s="7"/>
      <c r="R184" s="7"/>
      <c r="S184" s="7"/>
      <c r="T184" s="7"/>
      <c r="U184" s="7"/>
      <c r="V184" s="7"/>
      <c r="W184" s="7"/>
      <c r="X184" s="7"/>
      <c r="Y184" s="7"/>
      <c r="Z184" s="7"/>
    </row>
    <row r="185" spans="1:26" ht="12.75">
      <c r="A185" s="415">
        <v>2562</v>
      </c>
      <c r="B185" s="400" t="s">
        <v>937</v>
      </c>
      <c r="C185" s="346" t="s">
        <v>76</v>
      </c>
      <c r="D185" s="333">
        <v>106</v>
      </c>
      <c r="E185" s="328">
        <v>1000</v>
      </c>
      <c r="F185" s="406">
        <f t="shared" si="33"/>
        <v>0.106</v>
      </c>
      <c r="G185" s="407"/>
      <c r="H185" s="328"/>
      <c r="I185" s="407">
        <f t="shared" si="36"/>
        <v>0.106</v>
      </c>
      <c r="J185" s="330">
        <v>0.05</v>
      </c>
      <c r="K185" s="328" t="s">
        <v>24</v>
      </c>
      <c r="L185" s="406" t="s">
        <v>27</v>
      </c>
      <c r="M185" s="294"/>
      <c r="N185" s="294"/>
      <c r="O185" s="183"/>
      <c r="P185" s="7"/>
      <c r="Q185" s="7"/>
      <c r="R185" s="7"/>
      <c r="S185" s="7"/>
      <c r="T185" s="7"/>
      <c r="U185" s="7"/>
      <c r="V185" s="7"/>
      <c r="W185" s="7"/>
      <c r="X185" s="7"/>
      <c r="Y185" s="7"/>
      <c r="Z185" s="7"/>
    </row>
    <row r="186" spans="1:26" ht="12.75">
      <c r="A186" s="415">
        <v>2563</v>
      </c>
      <c r="B186" s="400" t="s">
        <v>937</v>
      </c>
      <c r="C186" s="346" t="s">
        <v>77</v>
      </c>
      <c r="D186" s="333">
        <v>106</v>
      </c>
      <c r="E186" s="328">
        <v>1000</v>
      </c>
      <c r="F186" s="406">
        <f t="shared" si="33"/>
        <v>0.106</v>
      </c>
      <c r="G186" s="407"/>
      <c r="H186" s="328"/>
      <c r="I186" s="407">
        <f t="shared" si="36"/>
        <v>0.106</v>
      </c>
      <c r="J186" s="330">
        <v>0.05</v>
      </c>
      <c r="K186" s="328" t="s">
        <v>24</v>
      </c>
      <c r="L186" s="406" t="s">
        <v>26</v>
      </c>
      <c r="P186" s="7"/>
      <c r="Q186" s="7"/>
      <c r="R186" s="7"/>
      <c r="S186" s="7"/>
      <c r="T186" s="7"/>
      <c r="U186" s="7"/>
      <c r="V186" s="7"/>
      <c r="W186" s="7"/>
      <c r="X186" s="7"/>
      <c r="Y186" s="7"/>
      <c r="Z186" s="7"/>
    </row>
    <row r="187" spans="1:26" ht="12.75">
      <c r="A187" s="334">
        <v>2564</v>
      </c>
      <c r="B187" s="400" t="s">
        <v>937</v>
      </c>
      <c r="C187" s="346" t="s">
        <v>78</v>
      </c>
      <c r="D187" s="333">
        <v>51</v>
      </c>
      <c r="E187" s="328">
        <v>1000</v>
      </c>
      <c r="F187" s="406">
        <v>0.051</v>
      </c>
      <c r="G187" s="407"/>
      <c r="H187" s="328"/>
      <c r="I187" s="407">
        <v>0.051</v>
      </c>
      <c r="J187" s="330">
        <v>0.05</v>
      </c>
      <c r="K187" s="328" t="s">
        <v>24</v>
      </c>
      <c r="L187" s="406" t="s">
        <v>26</v>
      </c>
      <c r="P187" s="7"/>
      <c r="Q187" s="7"/>
      <c r="R187" s="7"/>
      <c r="S187" s="7"/>
      <c r="T187" s="7"/>
      <c r="U187" s="7"/>
      <c r="V187" s="7"/>
      <c r="W187" s="7"/>
      <c r="X187" s="7"/>
      <c r="Y187" s="7"/>
      <c r="Z187" s="7"/>
    </row>
    <row r="188" spans="1:26" ht="12.75">
      <c r="A188" s="415">
        <v>2565</v>
      </c>
      <c r="B188" s="400" t="s">
        <v>937</v>
      </c>
      <c r="C188" s="346" t="s">
        <v>79</v>
      </c>
      <c r="D188" s="333">
        <v>138</v>
      </c>
      <c r="E188" s="328">
        <v>1000</v>
      </c>
      <c r="F188" s="406">
        <f t="shared" si="33"/>
        <v>0.138</v>
      </c>
      <c r="G188" s="407"/>
      <c r="H188" s="328"/>
      <c r="I188" s="407">
        <f t="shared" si="36"/>
        <v>0.138</v>
      </c>
      <c r="J188" s="330">
        <v>0.05</v>
      </c>
      <c r="K188" s="328" t="s">
        <v>45</v>
      </c>
      <c r="L188" s="406" t="s">
        <v>45</v>
      </c>
      <c r="M188" s="294"/>
      <c r="N188" s="294"/>
      <c r="O188" s="183"/>
      <c r="P188" s="7"/>
      <c r="Q188" s="7"/>
      <c r="R188" s="7"/>
      <c r="S188" s="7"/>
      <c r="T188" s="7"/>
      <c r="U188" s="7"/>
      <c r="V188" s="7"/>
      <c r="W188" s="7"/>
      <c r="X188" s="7"/>
      <c r="Y188" s="7"/>
      <c r="Z188" s="7"/>
    </row>
    <row r="189" spans="1:26" ht="12.75">
      <c r="A189" s="415">
        <v>2566</v>
      </c>
      <c r="B189" s="400" t="s">
        <v>937</v>
      </c>
      <c r="C189" s="346" t="s">
        <v>80</v>
      </c>
      <c r="D189" s="333">
        <v>128</v>
      </c>
      <c r="E189" s="328">
        <v>5000</v>
      </c>
      <c r="F189" s="406">
        <f t="shared" si="33"/>
        <v>0.0256</v>
      </c>
      <c r="G189" s="407"/>
      <c r="H189" s="328"/>
      <c r="I189" s="407">
        <f t="shared" si="36"/>
        <v>0.0256</v>
      </c>
      <c r="J189" s="330">
        <v>0.05</v>
      </c>
      <c r="K189" s="328" t="s">
        <v>24</v>
      </c>
      <c r="L189" s="406" t="s">
        <v>26</v>
      </c>
      <c r="M189" s="294"/>
      <c r="N189" s="294"/>
      <c r="O189" s="183"/>
      <c r="P189" s="7"/>
      <c r="Q189" s="7"/>
      <c r="R189" s="7"/>
      <c r="S189" s="7"/>
      <c r="T189" s="7"/>
      <c r="U189" s="7"/>
      <c r="V189" s="7"/>
      <c r="W189" s="7"/>
      <c r="X189" s="7"/>
      <c r="Y189" s="7"/>
      <c r="Z189" s="7"/>
    </row>
    <row r="190" spans="1:26" ht="12.75">
      <c r="A190" s="415">
        <v>2567</v>
      </c>
      <c r="B190" s="400" t="s">
        <v>937</v>
      </c>
      <c r="C190" s="346" t="s">
        <v>81</v>
      </c>
      <c r="D190" s="333">
        <v>30</v>
      </c>
      <c r="E190" s="328">
        <v>1000</v>
      </c>
      <c r="F190" s="406">
        <f t="shared" si="33"/>
        <v>0.03</v>
      </c>
      <c r="G190" s="407"/>
      <c r="H190" s="328"/>
      <c r="I190" s="407">
        <f t="shared" si="36"/>
        <v>0.03</v>
      </c>
      <c r="J190" s="330">
        <v>0.05</v>
      </c>
      <c r="K190" s="328" t="s">
        <v>24</v>
      </c>
      <c r="L190" s="406" t="s">
        <v>27</v>
      </c>
      <c r="M190" s="294"/>
      <c r="N190" s="294"/>
      <c r="O190" s="183"/>
      <c r="P190" s="7"/>
      <c r="Q190" s="7"/>
      <c r="R190" s="7"/>
      <c r="S190" s="7"/>
      <c r="T190" s="7"/>
      <c r="U190" s="7"/>
      <c r="V190" s="7"/>
      <c r="W190" s="7"/>
      <c r="X190" s="7"/>
      <c r="Y190" s="7"/>
      <c r="Z190" s="7"/>
    </row>
    <row r="191" spans="1:26" ht="12.75">
      <c r="A191" s="415">
        <v>2568</v>
      </c>
      <c r="B191" s="400" t="s">
        <v>937</v>
      </c>
      <c r="C191" s="346" t="s">
        <v>82</v>
      </c>
      <c r="D191" s="333">
        <v>130</v>
      </c>
      <c r="E191" s="328">
        <v>1000</v>
      </c>
      <c r="F191" s="406">
        <f t="shared" si="33"/>
        <v>0.13</v>
      </c>
      <c r="G191" s="407"/>
      <c r="H191" s="328"/>
      <c r="I191" s="407">
        <f t="shared" si="36"/>
        <v>0.13</v>
      </c>
      <c r="J191" s="330">
        <v>0.05</v>
      </c>
      <c r="K191" s="328" t="s">
        <v>24</v>
      </c>
      <c r="L191" s="406" t="s">
        <v>27</v>
      </c>
      <c r="P191" s="7"/>
      <c r="Q191" s="7"/>
      <c r="R191" s="7"/>
      <c r="S191" s="7"/>
      <c r="T191" s="7"/>
      <c r="U191" s="7"/>
      <c r="V191" s="7"/>
      <c r="W191" s="7"/>
      <c r="X191" s="7"/>
      <c r="Y191" s="7"/>
      <c r="Z191" s="7"/>
    </row>
    <row r="192" spans="1:26" ht="12.75">
      <c r="A192" s="334">
        <v>2569</v>
      </c>
      <c r="B192" s="400" t="s">
        <v>937</v>
      </c>
      <c r="C192" s="346" t="s">
        <v>83</v>
      </c>
      <c r="D192" s="333">
        <v>48</v>
      </c>
      <c r="E192" s="328">
        <v>1000</v>
      </c>
      <c r="F192" s="406">
        <f>D192/E192</f>
        <v>0.048</v>
      </c>
      <c r="G192" s="407"/>
      <c r="H192" s="328"/>
      <c r="I192" s="407">
        <f>F192</f>
        <v>0.048</v>
      </c>
      <c r="J192" s="330">
        <v>1</v>
      </c>
      <c r="K192" s="328" t="s">
        <v>45</v>
      </c>
      <c r="L192" s="406" t="s">
        <v>45</v>
      </c>
      <c r="M192" s="294"/>
      <c r="N192" s="294"/>
      <c r="O192" s="183"/>
      <c r="P192" s="7"/>
      <c r="Q192" s="7"/>
      <c r="R192" s="7"/>
      <c r="S192" s="7"/>
      <c r="T192" s="7"/>
      <c r="U192" s="7"/>
      <c r="V192" s="7"/>
      <c r="W192" s="7"/>
      <c r="X192" s="7"/>
      <c r="Y192" s="7"/>
      <c r="Z192" s="7"/>
    </row>
    <row r="193" spans="1:26" ht="12.75">
      <c r="A193" s="334">
        <v>2570</v>
      </c>
      <c r="B193" s="400" t="s">
        <v>937</v>
      </c>
      <c r="C193" s="346" t="s">
        <v>84</v>
      </c>
      <c r="D193" s="333">
        <v>100</v>
      </c>
      <c r="E193" s="328">
        <v>1000</v>
      </c>
      <c r="F193" s="406">
        <v>0.1</v>
      </c>
      <c r="G193" s="407">
        <v>10</v>
      </c>
      <c r="H193" s="328">
        <v>50</v>
      </c>
      <c r="I193" s="407">
        <v>0.2</v>
      </c>
      <c r="J193" s="330">
        <v>0.05</v>
      </c>
      <c r="K193" s="328" t="s">
        <v>24</v>
      </c>
      <c r="L193" s="406" t="s">
        <v>26</v>
      </c>
      <c r="M193" s="294"/>
      <c r="N193" s="294"/>
      <c r="O193" s="183"/>
      <c r="P193" s="7"/>
      <c r="Q193" s="7"/>
      <c r="R193" s="7"/>
      <c r="S193" s="7"/>
      <c r="T193" s="7"/>
      <c r="U193" s="7"/>
      <c r="V193" s="7"/>
      <c r="W193" s="7"/>
      <c r="X193" s="7"/>
      <c r="Y193" s="7"/>
      <c r="Z193" s="7"/>
    </row>
    <row r="194" spans="1:26" ht="12.75">
      <c r="A194" s="334">
        <v>2571</v>
      </c>
      <c r="B194" s="400" t="s">
        <v>937</v>
      </c>
      <c r="C194" s="346" t="s">
        <v>302</v>
      </c>
      <c r="D194" s="333">
        <v>31.2</v>
      </c>
      <c r="E194" s="328">
        <v>1000</v>
      </c>
      <c r="F194" s="406">
        <f t="shared" si="33"/>
        <v>0.0312</v>
      </c>
      <c r="G194" s="407"/>
      <c r="H194" s="328"/>
      <c r="I194" s="407">
        <f>F194</f>
        <v>0.0312</v>
      </c>
      <c r="J194" s="330">
        <v>0.05</v>
      </c>
      <c r="K194" s="328" t="s">
        <v>24</v>
      </c>
      <c r="L194" s="406" t="s">
        <v>26</v>
      </c>
      <c r="M194" s="294"/>
      <c r="N194" s="294"/>
      <c r="O194" s="183"/>
      <c r="P194" s="7"/>
      <c r="Q194" s="7"/>
      <c r="R194" s="7"/>
      <c r="S194" s="7"/>
      <c r="T194" s="7"/>
      <c r="U194" s="7"/>
      <c r="V194" s="7"/>
      <c r="W194" s="7"/>
      <c r="X194" s="7"/>
      <c r="Y194" s="7"/>
      <c r="Z194" s="7"/>
    </row>
    <row r="195" spans="1:26" ht="12.75">
      <c r="A195" s="415">
        <v>2572</v>
      </c>
      <c r="B195" s="400" t="s">
        <v>937</v>
      </c>
      <c r="C195" s="346" t="s">
        <v>85</v>
      </c>
      <c r="D195" s="333">
        <v>208</v>
      </c>
      <c r="E195" s="328">
        <v>5000</v>
      </c>
      <c r="F195" s="406">
        <f t="shared" si="33"/>
        <v>0.0416</v>
      </c>
      <c r="G195" s="407"/>
      <c r="H195" s="328"/>
      <c r="I195" s="407">
        <f t="shared" si="36"/>
        <v>0.0416</v>
      </c>
      <c r="J195" s="330">
        <v>0.05</v>
      </c>
      <c r="K195" s="328" t="s">
        <v>24</v>
      </c>
      <c r="L195" s="406" t="s">
        <v>26</v>
      </c>
      <c r="M195" s="294"/>
      <c r="N195" s="294"/>
      <c r="O195" s="183"/>
      <c r="P195" s="7"/>
      <c r="Q195" s="7"/>
      <c r="R195" s="7"/>
      <c r="S195" s="7"/>
      <c r="T195" s="7"/>
      <c r="U195" s="7"/>
      <c r="V195" s="7"/>
      <c r="W195" s="7"/>
      <c r="X195" s="7"/>
      <c r="Y195" s="7"/>
      <c r="Z195" s="7"/>
    </row>
    <row r="196" spans="1:26" ht="12.75">
      <c r="A196" s="415">
        <v>2573</v>
      </c>
      <c r="B196" s="400" t="s">
        <v>937</v>
      </c>
      <c r="C196" s="346" t="s">
        <v>86</v>
      </c>
      <c r="D196" s="333">
        <v>95</v>
      </c>
      <c r="E196" s="328">
        <v>5000</v>
      </c>
      <c r="F196" s="406">
        <f t="shared" si="33"/>
        <v>0.019</v>
      </c>
      <c r="G196" s="407"/>
      <c r="H196" s="328"/>
      <c r="I196" s="407">
        <f t="shared" si="36"/>
        <v>0.019</v>
      </c>
      <c r="J196" s="330">
        <v>0.05</v>
      </c>
      <c r="K196" s="328" t="s">
        <v>24</v>
      </c>
      <c r="L196" s="406" t="s">
        <v>26</v>
      </c>
      <c r="M196" s="294"/>
      <c r="N196" s="294"/>
      <c r="O196" s="183"/>
      <c r="P196" s="7"/>
      <c r="Q196" s="7"/>
      <c r="R196" s="7"/>
      <c r="S196" s="7"/>
      <c r="T196" s="7"/>
      <c r="U196" s="7"/>
      <c r="V196" s="7"/>
      <c r="W196" s="7"/>
      <c r="X196" s="7"/>
      <c r="Y196" s="7"/>
      <c r="Z196" s="7"/>
    </row>
    <row r="197" spans="1:26" ht="12.75">
      <c r="A197" s="415">
        <v>2574</v>
      </c>
      <c r="B197" s="400" t="s">
        <v>937</v>
      </c>
      <c r="C197" s="346" t="s">
        <v>87</v>
      </c>
      <c r="D197" s="333">
        <v>6500</v>
      </c>
      <c r="E197" s="328">
        <v>1000</v>
      </c>
      <c r="F197" s="406">
        <f t="shared" si="33"/>
        <v>6.5</v>
      </c>
      <c r="G197" s="407"/>
      <c r="H197" s="328"/>
      <c r="I197" s="407">
        <f t="shared" si="36"/>
        <v>6.5</v>
      </c>
      <c r="J197" s="330">
        <v>0.05</v>
      </c>
      <c r="K197" s="328" t="s">
        <v>24</v>
      </c>
      <c r="L197" s="406" t="s">
        <v>27</v>
      </c>
      <c r="M197" s="294"/>
      <c r="N197" s="294"/>
      <c r="O197" s="183"/>
      <c r="P197" s="7"/>
      <c r="Q197" s="7"/>
      <c r="R197" s="7"/>
      <c r="S197" s="7"/>
      <c r="T197" s="7"/>
      <c r="U197" s="7"/>
      <c r="V197" s="7"/>
      <c r="W197" s="7"/>
      <c r="X197" s="7"/>
      <c r="Y197" s="7"/>
      <c r="Z197" s="7"/>
    </row>
    <row r="198" spans="1:26" ht="12.75">
      <c r="A198" s="334">
        <v>2575</v>
      </c>
      <c r="B198" s="400" t="s">
        <v>937</v>
      </c>
      <c r="C198" s="346" t="s">
        <v>88</v>
      </c>
      <c r="D198" s="333">
        <v>911</v>
      </c>
      <c r="E198" s="328">
        <v>1000</v>
      </c>
      <c r="F198" s="406">
        <f t="shared" si="33"/>
        <v>0.911</v>
      </c>
      <c r="G198" s="407">
        <v>88</v>
      </c>
      <c r="H198" s="328">
        <v>10</v>
      </c>
      <c r="I198" s="407">
        <f>G198/H198</f>
        <v>8.8</v>
      </c>
      <c r="J198" s="330">
        <v>0.05</v>
      </c>
      <c r="K198" s="328" t="s">
        <v>24</v>
      </c>
      <c r="L198" s="406" t="s">
        <v>27</v>
      </c>
      <c r="M198" s="294"/>
      <c r="N198" s="294"/>
      <c r="O198" s="183"/>
      <c r="P198" s="7"/>
      <c r="Q198" s="7"/>
      <c r="R198" s="7"/>
      <c r="S198" s="7"/>
      <c r="T198" s="7"/>
      <c r="U198" s="7"/>
      <c r="V198" s="7"/>
      <c r="W198" s="7"/>
      <c r="X198" s="7"/>
      <c r="Y198" s="7"/>
      <c r="Z198" s="7"/>
    </row>
    <row r="199" spans="1:26" ht="12.75">
      <c r="A199" s="334">
        <v>2576</v>
      </c>
      <c r="B199" s="400" t="s">
        <v>937</v>
      </c>
      <c r="C199" s="346" t="s">
        <v>89</v>
      </c>
      <c r="D199" s="333">
        <v>4400</v>
      </c>
      <c r="E199" s="328">
        <v>1000</v>
      </c>
      <c r="F199" s="406">
        <f>D199/E199</f>
        <v>4.4</v>
      </c>
      <c r="G199" s="407">
        <v>100</v>
      </c>
      <c r="H199" s="328">
        <v>10</v>
      </c>
      <c r="I199" s="407">
        <f>G199/H199</f>
        <v>10</v>
      </c>
      <c r="J199" s="330">
        <v>0.05</v>
      </c>
      <c r="K199" s="328" t="s">
        <v>24</v>
      </c>
      <c r="L199" s="406" t="s">
        <v>27</v>
      </c>
      <c r="M199" s="294"/>
      <c r="N199" s="294"/>
      <c r="O199" s="183"/>
      <c r="P199" s="7"/>
      <c r="Q199" s="7"/>
      <c r="R199" s="7"/>
      <c r="S199" s="7"/>
      <c r="T199" s="7"/>
      <c r="U199" s="7"/>
      <c r="V199" s="7"/>
      <c r="W199" s="7"/>
      <c r="X199" s="7"/>
      <c r="Y199" s="7"/>
      <c r="Z199" s="7"/>
    </row>
    <row r="200" spans="1:26" ht="12.75">
      <c r="A200" s="334">
        <v>2577</v>
      </c>
      <c r="B200" s="400" t="s">
        <v>937</v>
      </c>
      <c r="C200" s="346" t="s">
        <v>90</v>
      </c>
      <c r="D200" s="333">
        <v>500</v>
      </c>
      <c r="E200" s="328">
        <v>1000</v>
      </c>
      <c r="F200" s="406">
        <f aca="true" t="shared" si="37" ref="F200">D200/E200</f>
        <v>0.5</v>
      </c>
      <c r="G200" s="407"/>
      <c r="H200" s="328"/>
      <c r="I200" s="407">
        <f aca="true" t="shared" si="38" ref="I200">F200</f>
        <v>0.5</v>
      </c>
      <c r="J200" s="330">
        <v>0.05</v>
      </c>
      <c r="K200" s="328" t="s">
        <v>24</v>
      </c>
      <c r="L200" s="406" t="s">
        <v>26</v>
      </c>
      <c r="M200" s="294"/>
      <c r="N200" s="294"/>
      <c r="O200" s="183"/>
      <c r="P200" s="7"/>
      <c r="Q200" s="7"/>
      <c r="R200" s="7"/>
      <c r="S200" s="7"/>
      <c r="T200" s="7"/>
      <c r="U200" s="7"/>
      <c r="V200" s="7"/>
      <c r="W200" s="7"/>
      <c r="X200" s="7"/>
      <c r="Y200" s="7"/>
      <c r="Z200" s="7"/>
    </row>
    <row r="201" spans="1:26" ht="12.75">
      <c r="A201" s="334">
        <v>2578</v>
      </c>
      <c r="B201" s="400" t="s">
        <v>937</v>
      </c>
      <c r="C201" s="346" t="s">
        <v>91</v>
      </c>
      <c r="D201" s="333">
        <v>3940</v>
      </c>
      <c r="E201" s="328">
        <v>5000</v>
      </c>
      <c r="F201" s="406">
        <f t="shared" si="33"/>
        <v>0.788</v>
      </c>
      <c r="G201" s="407"/>
      <c r="H201" s="328"/>
      <c r="I201" s="407">
        <f t="shared" si="36"/>
        <v>0.788</v>
      </c>
      <c r="J201" s="330">
        <v>0.05</v>
      </c>
      <c r="K201" s="328" t="s">
        <v>24</v>
      </c>
      <c r="L201" s="406" t="s">
        <v>26</v>
      </c>
      <c r="M201" s="294"/>
      <c r="N201" s="294"/>
      <c r="O201" s="183"/>
      <c r="P201" s="7"/>
      <c r="Q201" s="7"/>
      <c r="R201" s="7"/>
      <c r="S201" s="7"/>
      <c r="T201" s="7"/>
      <c r="U201" s="7"/>
      <c r="V201" s="7"/>
      <c r="W201" s="7"/>
      <c r="X201" s="7"/>
      <c r="Y201" s="7"/>
      <c r="Z201" s="7"/>
    </row>
    <row r="202" spans="1:26" ht="12.75">
      <c r="A202" s="334">
        <v>2579</v>
      </c>
      <c r="B202" s="400" t="s">
        <v>937</v>
      </c>
      <c r="C202" s="346" t="s">
        <v>92</v>
      </c>
      <c r="D202" s="333">
        <v>1254</v>
      </c>
      <c r="E202" s="328">
        <v>1000</v>
      </c>
      <c r="F202" s="406">
        <f t="shared" si="33"/>
        <v>1.254</v>
      </c>
      <c r="G202" s="407"/>
      <c r="H202" s="328"/>
      <c r="I202" s="407">
        <f t="shared" si="36"/>
        <v>1.254</v>
      </c>
      <c r="J202" s="330">
        <v>0.05</v>
      </c>
      <c r="K202" s="328" t="s">
        <v>24</v>
      </c>
      <c r="L202" s="406" t="s">
        <v>26</v>
      </c>
      <c r="M202" s="294"/>
      <c r="N202" s="294"/>
      <c r="O202" s="183"/>
      <c r="P202" s="7"/>
      <c r="Q202" s="7"/>
      <c r="R202" s="7"/>
      <c r="S202" s="7"/>
      <c r="T202" s="7"/>
      <c r="U202" s="7"/>
      <c r="V202" s="7"/>
      <c r="W202" s="7"/>
      <c r="X202" s="7"/>
      <c r="Y202" s="7"/>
      <c r="Z202" s="7"/>
    </row>
    <row r="203" spans="1:26" ht="12.75">
      <c r="A203" s="334">
        <v>2580</v>
      </c>
      <c r="B203" s="400" t="s">
        <v>937</v>
      </c>
      <c r="C203" s="346" t="s">
        <v>93</v>
      </c>
      <c r="D203" s="333">
        <v>943</v>
      </c>
      <c r="E203" s="328">
        <v>1000</v>
      </c>
      <c r="F203" s="406">
        <f t="shared" si="33"/>
        <v>0.943</v>
      </c>
      <c r="G203" s="407">
        <v>320</v>
      </c>
      <c r="H203" s="328">
        <v>50</v>
      </c>
      <c r="I203" s="407">
        <f>G203/H203</f>
        <v>6.4</v>
      </c>
      <c r="J203" s="330">
        <v>0.5</v>
      </c>
      <c r="K203" s="328" t="s">
        <v>28</v>
      </c>
      <c r="L203" s="406" t="s">
        <v>26</v>
      </c>
      <c r="M203" s="294"/>
      <c r="N203" s="294"/>
      <c r="O203" s="183"/>
      <c r="P203" s="7"/>
      <c r="Q203" s="7"/>
      <c r="R203" s="7"/>
      <c r="S203" s="7"/>
      <c r="T203" s="7"/>
      <c r="U203" s="7"/>
      <c r="V203" s="7"/>
      <c r="W203" s="7"/>
      <c r="X203" s="7"/>
      <c r="Y203" s="7"/>
      <c r="Z203" s="7"/>
    </row>
    <row r="204" spans="1:26" ht="12.75">
      <c r="A204" s="334">
        <v>2581</v>
      </c>
      <c r="B204" s="400" t="s">
        <v>937</v>
      </c>
      <c r="C204" s="346" t="s">
        <v>94</v>
      </c>
      <c r="D204" s="333">
        <v>32000</v>
      </c>
      <c r="E204" s="328">
        <v>1000</v>
      </c>
      <c r="F204" s="406">
        <f t="shared" si="33"/>
        <v>32</v>
      </c>
      <c r="G204" s="332"/>
      <c r="H204" s="328"/>
      <c r="I204" s="329">
        <f aca="true" t="shared" si="39" ref="I204">F204</f>
        <v>32</v>
      </c>
      <c r="J204" s="330">
        <v>0.05</v>
      </c>
      <c r="K204" s="328" t="s">
        <v>24</v>
      </c>
      <c r="L204" s="406" t="s">
        <v>27</v>
      </c>
      <c r="M204" s="294"/>
      <c r="N204" s="294"/>
      <c r="O204" s="183"/>
      <c r="P204" s="7"/>
      <c r="Q204" s="7"/>
      <c r="R204" s="7"/>
      <c r="S204" s="7"/>
      <c r="T204" s="7"/>
      <c r="U204" s="7"/>
      <c r="V204" s="7"/>
      <c r="W204" s="7"/>
      <c r="X204" s="7"/>
      <c r="Y204" s="7"/>
      <c r="Z204" s="7"/>
    </row>
    <row r="205" spans="1:26" ht="12.75">
      <c r="A205" s="334">
        <v>2582</v>
      </c>
      <c r="B205" s="400" t="s">
        <v>937</v>
      </c>
      <c r="C205" s="346" t="s">
        <v>95</v>
      </c>
      <c r="D205" s="333">
        <v>500</v>
      </c>
      <c r="E205" s="328">
        <v>1000</v>
      </c>
      <c r="F205" s="406">
        <f t="shared" si="33"/>
        <v>0.5</v>
      </c>
      <c r="G205" s="407"/>
      <c r="H205" s="328"/>
      <c r="I205" s="407">
        <f>F205</f>
        <v>0.5</v>
      </c>
      <c r="J205" s="330">
        <v>0.05</v>
      </c>
      <c r="K205" s="328" t="s">
        <v>24</v>
      </c>
      <c r="L205" s="406" t="s">
        <v>26</v>
      </c>
      <c r="M205" s="294"/>
      <c r="N205" s="294"/>
      <c r="O205" s="183"/>
      <c r="P205" s="7"/>
      <c r="Q205" s="7"/>
      <c r="R205" s="7"/>
      <c r="S205" s="7"/>
      <c r="T205" s="7"/>
      <c r="U205" s="7"/>
      <c r="V205" s="7"/>
      <c r="W205" s="7"/>
      <c r="X205" s="7"/>
      <c r="Y205" s="7"/>
      <c r="Z205" s="7"/>
    </row>
    <row r="206" spans="1:26" ht="12.75">
      <c r="A206" s="334">
        <v>2583</v>
      </c>
      <c r="B206" s="400" t="s">
        <v>937</v>
      </c>
      <c r="C206" s="346" t="s">
        <v>96</v>
      </c>
      <c r="D206" s="429">
        <v>762.5</v>
      </c>
      <c r="E206" s="328">
        <v>1000</v>
      </c>
      <c r="F206" s="430">
        <f t="shared" si="33"/>
        <v>0.7625</v>
      </c>
      <c r="G206" s="407"/>
      <c r="H206" s="328"/>
      <c r="I206" s="431">
        <f>F206</f>
        <v>0.7625</v>
      </c>
      <c r="J206" s="330">
        <v>0.05</v>
      </c>
      <c r="K206" s="328" t="s">
        <v>24</v>
      </c>
      <c r="L206" s="406" t="s">
        <v>26</v>
      </c>
      <c r="M206" s="294"/>
      <c r="N206" s="294"/>
      <c r="O206" s="183"/>
      <c r="P206" s="7"/>
      <c r="Q206" s="7"/>
      <c r="R206" s="7"/>
      <c r="S206" s="7"/>
      <c r="T206" s="7"/>
      <c r="U206" s="7"/>
      <c r="V206" s="7"/>
      <c r="W206" s="7"/>
      <c r="X206" s="7"/>
      <c r="Y206" s="7"/>
      <c r="Z206" s="7"/>
    </row>
    <row r="207" spans="1:26" ht="12.75">
      <c r="A207" s="334">
        <v>2584</v>
      </c>
      <c r="B207" s="400" t="s">
        <v>937</v>
      </c>
      <c r="C207" s="346" t="s">
        <v>97</v>
      </c>
      <c r="D207" s="333">
        <v>109</v>
      </c>
      <c r="E207" s="328">
        <v>1000</v>
      </c>
      <c r="F207" s="406">
        <f t="shared" si="33"/>
        <v>0.109</v>
      </c>
      <c r="G207" s="407">
        <v>172.5</v>
      </c>
      <c r="H207" s="328">
        <v>50</v>
      </c>
      <c r="I207" s="407">
        <f>G207/H207</f>
        <v>3.45</v>
      </c>
      <c r="J207" s="330">
        <v>0.05</v>
      </c>
      <c r="K207" s="328" t="s">
        <v>24</v>
      </c>
      <c r="L207" s="406" t="s">
        <v>26</v>
      </c>
      <c r="P207" s="7"/>
      <c r="Q207" s="7"/>
      <c r="R207" s="7"/>
      <c r="S207" s="7"/>
      <c r="T207" s="7"/>
      <c r="U207" s="7"/>
      <c r="V207" s="7"/>
      <c r="W207" s="7"/>
      <c r="X207" s="7"/>
      <c r="Y207" s="7"/>
      <c r="Z207" s="7"/>
    </row>
    <row r="208" spans="1:26" ht="12.75">
      <c r="A208" s="334">
        <v>2585</v>
      </c>
      <c r="B208" s="400" t="s">
        <v>937</v>
      </c>
      <c r="C208" s="346" t="s">
        <v>98</v>
      </c>
      <c r="D208" s="333">
        <v>969</v>
      </c>
      <c r="E208" s="328">
        <v>1000</v>
      </c>
      <c r="F208" s="406">
        <f t="shared" si="33"/>
        <v>0.969</v>
      </c>
      <c r="G208" s="407">
        <v>0.5</v>
      </c>
      <c r="H208" s="328">
        <v>50</v>
      </c>
      <c r="I208" s="407">
        <f>G208/H208</f>
        <v>0.01</v>
      </c>
      <c r="J208" s="330">
        <v>0.05</v>
      </c>
      <c r="K208" s="328" t="s">
        <v>24</v>
      </c>
      <c r="L208" s="406" t="s">
        <v>26</v>
      </c>
      <c r="M208" s="294"/>
      <c r="N208" s="294"/>
      <c r="O208" s="183"/>
      <c r="P208" s="7"/>
      <c r="Q208" s="7"/>
      <c r="R208" s="7"/>
      <c r="S208" s="7"/>
      <c r="T208" s="7"/>
      <c r="U208" s="7"/>
      <c r="V208" s="7"/>
      <c r="W208" s="7"/>
      <c r="X208" s="7"/>
      <c r="Y208" s="7"/>
      <c r="Z208" s="7"/>
    </row>
    <row r="209" spans="1:26" ht="12.75">
      <c r="A209" s="334">
        <v>2586</v>
      </c>
      <c r="B209" s="400" t="s">
        <v>937</v>
      </c>
      <c r="C209" s="346" t="s">
        <v>99</v>
      </c>
      <c r="D209" s="333">
        <v>841</v>
      </c>
      <c r="E209" s="328">
        <v>1000</v>
      </c>
      <c r="F209" s="406">
        <f t="shared" si="33"/>
        <v>0.841</v>
      </c>
      <c r="G209" s="407"/>
      <c r="H209" s="328"/>
      <c r="I209" s="407">
        <f t="shared" si="36"/>
        <v>0.841</v>
      </c>
      <c r="J209" s="330">
        <v>0.05</v>
      </c>
      <c r="K209" s="328" t="s">
        <v>24</v>
      </c>
      <c r="L209" s="406" t="s">
        <v>26</v>
      </c>
      <c r="M209" s="294"/>
      <c r="N209" s="294"/>
      <c r="O209" s="183"/>
      <c r="P209" s="7"/>
      <c r="Q209" s="7"/>
      <c r="R209" s="7"/>
      <c r="S209" s="7"/>
      <c r="T209" s="7"/>
      <c r="U209" s="7"/>
      <c r="V209" s="7"/>
      <c r="W209" s="7"/>
      <c r="X209" s="7"/>
      <c r="Y209" s="7"/>
      <c r="Z209" s="7"/>
    </row>
    <row r="210" spans="1:26" ht="12.75">
      <c r="A210" s="415">
        <v>2587</v>
      </c>
      <c r="B210" s="400" t="s">
        <v>937</v>
      </c>
      <c r="C210" s="346" t="s">
        <v>100</v>
      </c>
      <c r="D210" s="333">
        <v>1000</v>
      </c>
      <c r="E210" s="328">
        <v>5000</v>
      </c>
      <c r="F210" s="406">
        <f t="shared" si="33"/>
        <v>0.2</v>
      </c>
      <c r="G210" s="407"/>
      <c r="H210" s="328"/>
      <c r="I210" s="407">
        <f t="shared" si="36"/>
        <v>0.2</v>
      </c>
      <c r="J210" s="330">
        <v>0.5</v>
      </c>
      <c r="K210" s="328" t="s">
        <v>28</v>
      </c>
      <c r="L210" s="406" t="s">
        <v>26</v>
      </c>
      <c r="P210" s="7"/>
      <c r="Q210" s="7"/>
      <c r="R210" s="7"/>
      <c r="S210" s="7"/>
      <c r="T210" s="7"/>
      <c r="U210" s="7"/>
      <c r="V210" s="7"/>
      <c r="W210" s="7"/>
      <c r="X210" s="7"/>
      <c r="Y210" s="7"/>
      <c r="Z210" s="7"/>
    </row>
    <row r="211" spans="1:26" ht="12.75">
      <c r="A211" s="415">
        <v>2588</v>
      </c>
      <c r="B211" s="400" t="s">
        <v>937</v>
      </c>
      <c r="C211" s="346" t="s">
        <v>101</v>
      </c>
      <c r="D211" s="333">
        <v>4400</v>
      </c>
      <c r="E211" s="328">
        <v>1000</v>
      </c>
      <c r="F211" s="406">
        <f t="shared" si="33"/>
        <v>4.4</v>
      </c>
      <c r="G211" s="407"/>
      <c r="H211" s="328"/>
      <c r="I211" s="407">
        <f t="shared" si="36"/>
        <v>4.4</v>
      </c>
      <c r="J211" s="330">
        <v>0.5</v>
      </c>
      <c r="K211" s="328" t="s">
        <v>28</v>
      </c>
      <c r="L211" s="406" t="s">
        <v>26</v>
      </c>
      <c r="M211" s="294"/>
      <c r="N211" s="294"/>
      <c r="O211" s="183"/>
      <c r="P211" s="7"/>
      <c r="Q211" s="7"/>
      <c r="R211" s="7"/>
      <c r="S211" s="7"/>
      <c r="T211" s="7"/>
      <c r="U211" s="7"/>
      <c r="V211" s="7"/>
      <c r="W211" s="7"/>
      <c r="X211" s="7"/>
      <c r="Y211" s="7"/>
      <c r="Z211" s="7"/>
    </row>
    <row r="212" spans="1:26" ht="12.75">
      <c r="A212" s="415">
        <v>2589</v>
      </c>
      <c r="B212" s="400" t="s">
        <v>937</v>
      </c>
      <c r="C212" s="346" t="s">
        <v>102</v>
      </c>
      <c r="D212" s="333">
        <v>1.8</v>
      </c>
      <c r="E212" s="328">
        <v>1000</v>
      </c>
      <c r="F212" s="406">
        <f t="shared" si="33"/>
        <v>0.0018</v>
      </c>
      <c r="G212" s="407"/>
      <c r="H212" s="328"/>
      <c r="I212" s="407">
        <f t="shared" si="36"/>
        <v>0.0018</v>
      </c>
      <c r="J212" s="330">
        <v>0.05</v>
      </c>
      <c r="K212" s="328" t="s">
        <v>24</v>
      </c>
      <c r="L212" s="406" t="s">
        <v>26</v>
      </c>
      <c r="M212" s="294"/>
      <c r="N212" s="294"/>
      <c r="O212" s="183"/>
      <c r="P212" s="7"/>
      <c r="Q212" s="7"/>
      <c r="R212" s="7"/>
      <c r="S212" s="7"/>
      <c r="T212" s="7"/>
      <c r="U212" s="7"/>
      <c r="V212" s="7"/>
      <c r="W212" s="7"/>
      <c r="X212" s="7"/>
      <c r="Y212" s="7"/>
      <c r="Z212" s="7"/>
    </row>
    <row r="213" spans="1:26" ht="12.75">
      <c r="A213" s="415">
        <v>2590</v>
      </c>
      <c r="B213" s="400" t="s">
        <v>937</v>
      </c>
      <c r="C213" s="346" t="s">
        <v>103</v>
      </c>
      <c r="D213" s="333">
        <v>100</v>
      </c>
      <c r="E213" s="328">
        <v>5000</v>
      </c>
      <c r="F213" s="406">
        <f t="shared" si="33"/>
        <v>0.02</v>
      </c>
      <c r="G213" s="407"/>
      <c r="H213" s="328"/>
      <c r="I213" s="407">
        <f t="shared" si="36"/>
        <v>0.02</v>
      </c>
      <c r="J213" s="330">
        <v>0.5</v>
      </c>
      <c r="K213" s="328" t="s">
        <v>28</v>
      </c>
      <c r="L213" s="406" t="s">
        <v>26</v>
      </c>
      <c r="M213" s="294"/>
      <c r="N213" s="294"/>
      <c r="O213" s="183"/>
      <c r="P213" s="7"/>
      <c r="Q213" s="7"/>
      <c r="R213" s="7"/>
      <c r="S213" s="7"/>
      <c r="T213" s="7"/>
      <c r="U213" s="7"/>
      <c r="V213" s="7"/>
      <c r="W213" s="7"/>
      <c r="X213" s="7"/>
      <c r="Y213" s="7"/>
      <c r="Z213" s="7"/>
    </row>
    <row r="214" spans="1:26" ht="12.75">
      <c r="A214" s="334">
        <v>2591</v>
      </c>
      <c r="B214" s="400" t="s">
        <v>937</v>
      </c>
      <c r="C214" s="346" t="s">
        <v>104</v>
      </c>
      <c r="D214" s="333">
        <v>10000</v>
      </c>
      <c r="E214" s="328">
        <v>10000</v>
      </c>
      <c r="F214" s="406">
        <f t="shared" si="33"/>
        <v>1</v>
      </c>
      <c r="G214" s="407"/>
      <c r="H214" s="328"/>
      <c r="I214" s="407">
        <f t="shared" si="36"/>
        <v>1</v>
      </c>
      <c r="J214" s="330">
        <v>0.05</v>
      </c>
      <c r="K214" s="328" t="s">
        <v>24</v>
      </c>
      <c r="L214" s="406" t="s">
        <v>26</v>
      </c>
      <c r="M214" s="294"/>
      <c r="N214" s="294"/>
      <c r="O214" s="183"/>
      <c r="P214" s="7"/>
      <c r="Q214" s="7"/>
      <c r="R214" s="7"/>
      <c r="S214" s="7"/>
      <c r="T214" s="7"/>
      <c r="U214" s="7"/>
      <c r="V214" s="7"/>
      <c r="W214" s="7"/>
      <c r="X214" s="7"/>
      <c r="Y214" s="7"/>
      <c r="Z214" s="7"/>
    </row>
    <row r="215" spans="1:26" ht="12.75">
      <c r="A215" s="334">
        <v>2592</v>
      </c>
      <c r="B215" s="400" t="s">
        <v>937</v>
      </c>
      <c r="C215" s="346" t="s">
        <v>105</v>
      </c>
      <c r="D215" s="333">
        <v>100</v>
      </c>
      <c r="E215" s="328">
        <v>1000</v>
      </c>
      <c r="F215" s="406">
        <f>D215/E215</f>
        <v>0.1</v>
      </c>
      <c r="G215" s="407">
        <v>100</v>
      </c>
      <c r="H215" s="328">
        <v>50</v>
      </c>
      <c r="I215" s="407">
        <f>G215/H215</f>
        <v>2</v>
      </c>
      <c r="J215" s="330">
        <v>0.05</v>
      </c>
      <c r="K215" s="328" t="s">
        <v>24</v>
      </c>
      <c r="L215" s="406" t="s">
        <v>27</v>
      </c>
      <c r="M215" s="294"/>
      <c r="N215" s="294"/>
      <c r="O215" s="183"/>
      <c r="P215" s="7"/>
      <c r="Q215" s="7"/>
      <c r="R215" s="7"/>
      <c r="S215" s="7"/>
      <c r="T215" s="7"/>
      <c r="U215" s="7"/>
      <c r="V215" s="7"/>
      <c r="W215" s="7"/>
      <c r="X215" s="7"/>
      <c r="Y215" s="7"/>
      <c r="Z215" s="7"/>
    </row>
    <row r="216" spans="1:26" ht="12.75">
      <c r="A216" s="334">
        <v>2593</v>
      </c>
      <c r="B216" s="400" t="s">
        <v>937</v>
      </c>
      <c r="C216" s="346" t="s">
        <v>106</v>
      </c>
      <c r="D216" s="333">
        <v>209</v>
      </c>
      <c r="E216" s="328">
        <v>5000</v>
      </c>
      <c r="F216" s="406">
        <f t="shared" si="33"/>
        <v>0.0418</v>
      </c>
      <c r="G216" s="407"/>
      <c r="H216" s="328"/>
      <c r="I216" s="407">
        <f t="shared" si="36"/>
        <v>0.0418</v>
      </c>
      <c r="J216" s="330">
        <v>1</v>
      </c>
      <c r="K216" s="328" t="s">
        <v>35</v>
      </c>
      <c r="L216" s="406" t="s">
        <v>26</v>
      </c>
      <c r="M216" s="294"/>
      <c r="N216" s="294"/>
      <c r="O216" s="183"/>
      <c r="P216" s="7"/>
      <c r="Q216" s="7"/>
      <c r="R216" s="7"/>
      <c r="S216" s="7"/>
      <c r="T216" s="7"/>
      <c r="U216" s="7"/>
      <c r="V216" s="7"/>
      <c r="W216" s="7"/>
      <c r="X216" s="7"/>
      <c r="Y216" s="7"/>
      <c r="Z216" s="7"/>
    </row>
    <row r="217" spans="1:26" ht="12.75">
      <c r="A217" s="334">
        <v>2594</v>
      </c>
      <c r="B217" s="400" t="s">
        <v>937</v>
      </c>
      <c r="C217" s="346" t="s">
        <v>303</v>
      </c>
      <c r="D217" s="333">
        <v>188</v>
      </c>
      <c r="E217" s="328">
        <v>5000</v>
      </c>
      <c r="F217" s="406">
        <f t="shared" si="33"/>
        <v>0.0376</v>
      </c>
      <c r="G217" s="407"/>
      <c r="H217" s="328"/>
      <c r="I217" s="407">
        <f t="shared" si="36"/>
        <v>0.0376</v>
      </c>
      <c r="J217" s="330">
        <v>1</v>
      </c>
      <c r="K217" s="328" t="s">
        <v>35</v>
      </c>
      <c r="L217" s="406" t="s">
        <v>26</v>
      </c>
      <c r="P217" s="7"/>
      <c r="Q217" s="7"/>
      <c r="R217" s="7"/>
      <c r="S217" s="7"/>
      <c r="T217" s="7"/>
      <c r="U217" s="7"/>
      <c r="V217" s="7"/>
      <c r="W217" s="7"/>
      <c r="X217" s="7"/>
      <c r="Y217" s="7"/>
      <c r="Z217" s="7"/>
    </row>
    <row r="218" spans="1:26" ht="12.75">
      <c r="A218" s="334">
        <v>2595</v>
      </c>
      <c r="B218" s="400" t="s">
        <v>937</v>
      </c>
      <c r="C218" s="346" t="s">
        <v>107</v>
      </c>
      <c r="D218" s="333">
        <v>600</v>
      </c>
      <c r="E218" s="328">
        <v>1000</v>
      </c>
      <c r="F218" s="406">
        <f>D218/E218</f>
        <v>0.6</v>
      </c>
      <c r="G218" s="407">
        <v>12.5</v>
      </c>
      <c r="H218" s="328">
        <v>50</v>
      </c>
      <c r="I218" s="407">
        <f>G218/H218</f>
        <v>0.25</v>
      </c>
      <c r="J218" s="330">
        <v>0.05</v>
      </c>
      <c r="K218" s="328" t="s">
        <v>24</v>
      </c>
      <c r="L218" s="406" t="s">
        <v>26</v>
      </c>
      <c r="P218" s="7"/>
      <c r="Q218" s="7"/>
      <c r="R218" s="7"/>
      <c r="S218" s="7"/>
      <c r="T218" s="7"/>
      <c r="U218" s="7"/>
      <c r="V218" s="7"/>
      <c r="W218" s="7"/>
      <c r="X218" s="7"/>
      <c r="Y218" s="7"/>
      <c r="Z218" s="7"/>
    </row>
    <row r="219" spans="1:26" ht="12.75">
      <c r="A219" s="334">
        <v>2596</v>
      </c>
      <c r="B219" s="400" t="s">
        <v>937</v>
      </c>
      <c r="C219" s="346" t="s">
        <v>108</v>
      </c>
      <c r="D219" s="333">
        <v>490</v>
      </c>
      <c r="E219" s="328">
        <v>1000</v>
      </c>
      <c r="F219" s="406">
        <f t="shared" si="33"/>
        <v>0.49</v>
      </c>
      <c r="G219" s="407"/>
      <c r="H219" s="328"/>
      <c r="I219" s="407">
        <f t="shared" si="36"/>
        <v>0.49</v>
      </c>
      <c r="J219" s="330">
        <v>0.05</v>
      </c>
      <c r="K219" s="328" t="s">
        <v>24</v>
      </c>
      <c r="L219" s="406" t="s">
        <v>26</v>
      </c>
      <c r="P219" s="7"/>
      <c r="Q219" s="7"/>
      <c r="R219" s="7"/>
      <c r="S219" s="7"/>
      <c r="T219" s="7"/>
      <c r="U219" s="7"/>
      <c r="V219" s="7"/>
      <c r="W219" s="7"/>
      <c r="X219" s="7"/>
      <c r="Y219" s="7"/>
      <c r="Z219" s="7"/>
    </row>
    <row r="220" spans="1:26" ht="12.75">
      <c r="A220" s="334">
        <v>2597</v>
      </c>
      <c r="B220" s="400" t="s">
        <v>937</v>
      </c>
      <c r="C220" s="346" t="s">
        <v>304</v>
      </c>
      <c r="D220" s="333">
        <v>18</v>
      </c>
      <c r="E220" s="328">
        <v>1000</v>
      </c>
      <c r="F220" s="406">
        <f t="shared" si="33"/>
        <v>0.018</v>
      </c>
      <c r="G220" s="407">
        <v>3.3</v>
      </c>
      <c r="H220" s="328">
        <v>100</v>
      </c>
      <c r="I220" s="407">
        <f>G220/H220</f>
        <v>0.033</v>
      </c>
      <c r="J220" s="330">
        <v>0.05</v>
      </c>
      <c r="K220" s="328" t="s">
        <v>24</v>
      </c>
      <c r="L220" s="406" t="s">
        <v>26</v>
      </c>
      <c r="M220" s="294"/>
      <c r="N220" s="294"/>
      <c r="O220" s="183"/>
      <c r="P220" s="7"/>
      <c r="Q220" s="7"/>
      <c r="R220" s="7"/>
      <c r="S220" s="7"/>
      <c r="T220" s="7"/>
      <c r="U220" s="7"/>
      <c r="V220" s="7"/>
      <c r="W220" s="7"/>
      <c r="X220" s="7"/>
      <c r="Y220" s="7"/>
      <c r="Z220" s="7"/>
    </row>
    <row r="221" spans="1:26" ht="12.75">
      <c r="A221" s="334">
        <v>2598</v>
      </c>
      <c r="B221" s="400" t="s">
        <v>937</v>
      </c>
      <c r="C221" s="346" t="s">
        <v>109</v>
      </c>
      <c r="D221" s="333">
        <v>75</v>
      </c>
      <c r="E221" s="328">
        <v>1000</v>
      </c>
      <c r="F221" s="406">
        <f>D221/E221</f>
        <v>0.075</v>
      </c>
      <c r="G221" s="407">
        <v>5.6</v>
      </c>
      <c r="H221" s="328">
        <v>50</v>
      </c>
      <c r="I221" s="407">
        <f>G221/H221</f>
        <v>0.11199999999999999</v>
      </c>
      <c r="J221" s="330">
        <v>1</v>
      </c>
      <c r="K221" s="328" t="s">
        <v>35</v>
      </c>
      <c r="L221" s="406" t="s">
        <v>26</v>
      </c>
      <c r="M221" s="294"/>
      <c r="N221" s="294"/>
      <c r="O221" s="183"/>
      <c r="P221" s="7"/>
      <c r="Q221" s="7"/>
      <c r="R221" s="7"/>
      <c r="S221" s="7"/>
      <c r="T221" s="7"/>
      <c r="U221" s="7"/>
      <c r="V221" s="7"/>
      <c r="W221" s="7"/>
      <c r="X221" s="7"/>
      <c r="Y221" s="7"/>
      <c r="Z221" s="7"/>
    </row>
    <row r="222" spans="1:26" ht="12.75">
      <c r="A222" s="415">
        <v>2599</v>
      </c>
      <c r="B222" s="400" t="s">
        <v>937</v>
      </c>
      <c r="C222" s="346" t="s">
        <v>110</v>
      </c>
      <c r="D222" s="330">
        <v>100</v>
      </c>
      <c r="E222" s="328">
        <v>1000</v>
      </c>
      <c r="F222" s="331">
        <f t="shared" si="33"/>
        <v>0.1</v>
      </c>
      <c r="G222" s="332">
        <v>120</v>
      </c>
      <c r="H222" s="328">
        <v>100</v>
      </c>
      <c r="I222" s="329">
        <f>G222/H222</f>
        <v>1.2</v>
      </c>
      <c r="J222" s="330">
        <v>0.5</v>
      </c>
      <c r="K222" s="328" t="s">
        <v>28</v>
      </c>
      <c r="L222" s="406" t="s">
        <v>26</v>
      </c>
      <c r="M222" s="294"/>
      <c r="N222" s="294"/>
      <c r="O222" s="183"/>
      <c r="P222" s="7"/>
      <c r="Q222" s="7"/>
      <c r="R222" s="7"/>
      <c r="S222" s="7"/>
      <c r="T222" s="7"/>
      <c r="U222" s="7"/>
      <c r="V222" s="7"/>
      <c r="W222" s="7"/>
      <c r="X222" s="7"/>
      <c r="Y222" s="7"/>
      <c r="Z222" s="7"/>
    </row>
    <row r="223" spans="1:26" ht="12.75">
      <c r="A223" s="415">
        <v>2600</v>
      </c>
      <c r="B223" s="400" t="s">
        <v>937</v>
      </c>
      <c r="C223" s="346" t="s">
        <v>111</v>
      </c>
      <c r="D223" s="330">
        <v>120</v>
      </c>
      <c r="E223" s="328">
        <v>1000</v>
      </c>
      <c r="F223" s="331">
        <f t="shared" si="33"/>
        <v>0.12</v>
      </c>
      <c r="G223" s="332">
        <v>120</v>
      </c>
      <c r="H223" s="328">
        <v>100</v>
      </c>
      <c r="I223" s="329">
        <f>G223/H223</f>
        <v>1.2</v>
      </c>
      <c r="J223" s="330">
        <v>1</v>
      </c>
      <c r="K223" s="328" t="s">
        <v>35</v>
      </c>
      <c r="L223" s="406" t="s">
        <v>26</v>
      </c>
      <c r="M223" s="294"/>
      <c r="N223" s="294"/>
      <c r="O223" s="183"/>
      <c r="P223" s="7"/>
      <c r="Q223" s="7"/>
      <c r="R223" s="7"/>
      <c r="S223" s="7"/>
      <c r="T223" s="7"/>
      <c r="U223" s="7"/>
      <c r="V223" s="7"/>
      <c r="W223" s="7"/>
      <c r="X223" s="7"/>
      <c r="Y223" s="7"/>
      <c r="Z223" s="7"/>
    </row>
    <row r="224" spans="1:26" ht="12.75">
      <c r="A224" s="415">
        <v>2601</v>
      </c>
      <c r="B224" s="400" t="s">
        <v>937</v>
      </c>
      <c r="C224" s="346" t="s">
        <v>112</v>
      </c>
      <c r="D224" s="330">
        <v>120</v>
      </c>
      <c r="E224" s="328">
        <v>1000</v>
      </c>
      <c r="F224" s="331">
        <f t="shared" si="33"/>
        <v>0.12</v>
      </c>
      <c r="G224" s="332">
        <v>120</v>
      </c>
      <c r="H224" s="328">
        <v>100</v>
      </c>
      <c r="I224" s="329">
        <f>G224/H224</f>
        <v>1.2</v>
      </c>
      <c r="J224" s="330">
        <v>0.5</v>
      </c>
      <c r="K224" s="328" t="s">
        <v>28</v>
      </c>
      <c r="L224" s="406" t="s">
        <v>26</v>
      </c>
      <c r="M224" s="294"/>
      <c r="N224" s="294"/>
      <c r="O224" s="183"/>
      <c r="P224" s="7"/>
      <c r="Q224" s="7"/>
      <c r="R224" s="7"/>
      <c r="S224" s="7"/>
      <c r="T224" s="7"/>
      <c r="U224" s="7"/>
      <c r="V224" s="7"/>
      <c r="W224" s="7"/>
      <c r="X224" s="7"/>
      <c r="Y224" s="7"/>
      <c r="Z224" s="7"/>
    </row>
    <row r="225" spans="1:26" ht="12.75">
      <c r="A225" s="415">
        <v>2602</v>
      </c>
      <c r="B225" s="400" t="s">
        <v>937</v>
      </c>
      <c r="C225" s="346" t="s">
        <v>113</v>
      </c>
      <c r="D225" s="330">
        <v>38</v>
      </c>
      <c r="E225" s="328">
        <v>1000</v>
      </c>
      <c r="F225" s="331">
        <f t="shared" si="33"/>
        <v>0.038</v>
      </c>
      <c r="G225" s="332"/>
      <c r="H225" s="328"/>
      <c r="I225" s="329">
        <f aca="true" t="shared" si="40" ref="I225:I229">F225</f>
        <v>0.038</v>
      </c>
      <c r="J225" s="330">
        <v>1</v>
      </c>
      <c r="K225" s="328" t="s">
        <v>35</v>
      </c>
      <c r="L225" s="406" t="s">
        <v>26</v>
      </c>
      <c r="P225" s="7"/>
      <c r="Q225" s="7"/>
      <c r="R225" s="7"/>
      <c r="S225" s="7"/>
      <c r="T225" s="7"/>
      <c r="U225" s="7"/>
      <c r="V225" s="7"/>
      <c r="W225" s="7"/>
      <c r="X225" s="7"/>
      <c r="Y225" s="7"/>
      <c r="Z225" s="7"/>
    </row>
    <row r="226" spans="1:26" ht="12.75">
      <c r="A226" s="334">
        <v>2603</v>
      </c>
      <c r="B226" s="400" t="s">
        <v>937</v>
      </c>
      <c r="C226" s="346" t="s">
        <v>305</v>
      </c>
      <c r="D226" s="330">
        <v>100</v>
      </c>
      <c r="E226" s="328">
        <v>5000</v>
      </c>
      <c r="F226" s="331">
        <f t="shared" si="33"/>
        <v>0.02</v>
      </c>
      <c r="G226" s="332"/>
      <c r="H226" s="328"/>
      <c r="I226" s="329">
        <f t="shared" si="40"/>
        <v>0.02</v>
      </c>
      <c r="J226" s="330">
        <v>1</v>
      </c>
      <c r="K226" s="328" t="s">
        <v>35</v>
      </c>
      <c r="L226" s="406" t="s">
        <v>25</v>
      </c>
      <c r="M226" s="294"/>
      <c r="N226" s="294"/>
      <c r="O226" s="183"/>
      <c r="P226" s="7"/>
      <c r="Q226" s="7"/>
      <c r="R226" s="7"/>
      <c r="S226" s="7"/>
      <c r="T226" s="7"/>
      <c r="U226" s="7"/>
      <c r="V226" s="7"/>
      <c r="W226" s="7"/>
      <c r="X226" s="7"/>
      <c r="Y226" s="7"/>
      <c r="Z226" s="7"/>
    </row>
    <row r="227" spans="1:26" ht="12.75">
      <c r="A227" s="334">
        <v>2604</v>
      </c>
      <c r="B227" s="400" t="s">
        <v>937</v>
      </c>
      <c r="C227" s="346" t="s">
        <v>114</v>
      </c>
      <c r="D227" s="330">
        <v>13</v>
      </c>
      <c r="E227" s="328">
        <v>5000</v>
      </c>
      <c r="F227" s="331">
        <f>D227/E227</f>
        <v>0.0026</v>
      </c>
      <c r="G227" s="332"/>
      <c r="H227" s="328"/>
      <c r="I227" s="329">
        <f t="shared" si="40"/>
        <v>0.0026</v>
      </c>
      <c r="J227" s="330">
        <v>1</v>
      </c>
      <c r="K227" s="328" t="s">
        <v>26</v>
      </c>
      <c r="L227" s="406" t="s">
        <v>26</v>
      </c>
      <c r="M227" s="294"/>
      <c r="N227" s="294"/>
      <c r="O227" s="183"/>
      <c r="P227" s="7"/>
      <c r="Q227" s="7"/>
      <c r="R227" s="7"/>
      <c r="S227" s="7"/>
      <c r="T227" s="7"/>
      <c r="U227" s="7"/>
      <c r="V227" s="7"/>
      <c r="W227" s="7"/>
      <c r="X227" s="7"/>
      <c r="Y227" s="7"/>
      <c r="Z227" s="7"/>
    </row>
    <row r="228" spans="1:26" ht="12.75">
      <c r="A228" s="334">
        <v>2605</v>
      </c>
      <c r="B228" s="400" t="s">
        <v>937</v>
      </c>
      <c r="C228" s="346" t="s">
        <v>115</v>
      </c>
      <c r="D228" s="333">
        <v>40.7</v>
      </c>
      <c r="E228" s="328">
        <v>1000</v>
      </c>
      <c r="F228" s="406">
        <f>D228/E228</f>
        <v>0.0407</v>
      </c>
      <c r="G228" s="407"/>
      <c r="H228" s="328"/>
      <c r="I228" s="407">
        <f>F228</f>
        <v>0.0407</v>
      </c>
      <c r="J228" s="330">
        <v>0.05</v>
      </c>
      <c r="K228" s="328" t="s">
        <v>24</v>
      </c>
      <c r="L228" s="406" t="s">
        <v>26</v>
      </c>
      <c r="P228" s="7"/>
      <c r="Q228" s="7"/>
      <c r="R228" s="7"/>
      <c r="S228" s="7"/>
      <c r="T228" s="7"/>
      <c r="U228" s="7"/>
      <c r="V228" s="7"/>
      <c r="W228" s="7"/>
      <c r="X228" s="7"/>
      <c r="Y228" s="7"/>
      <c r="Z228" s="7"/>
    </row>
    <row r="229" spans="1:26" ht="12.75">
      <c r="A229" s="334">
        <v>2606</v>
      </c>
      <c r="B229" s="400" t="s">
        <v>937</v>
      </c>
      <c r="C229" s="346" t="s">
        <v>116</v>
      </c>
      <c r="D229" s="330">
        <v>528</v>
      </c>
      <c r="E229" s="328">
        <v>1000</v>
      </c>
      <c r="F229" s="331">
        <f aca="true" t="shared" si="41" ref="F229:F243">D229/E229</f>
        <v>0.528</v>
      </c>
      <c r="G229" s="407"/>
      <c r="H229" s="328"/>
      <c r="I229" s="407">
        <f t="shared" si="40"/>
        <v>0.528</v>
      </c>
      <c r="J229" s="330">
        <v>0.05</v>
      </c>
      <c r="K229" s="328" t="s">
        <v>24</v>
      </c>
      <c r="L229" s="406" t="s">
        <v>25</v>
      </c>
      <c r="P229" s="7"/>
      <c r="Q229" s="7"/>
      <c r="R229" s="7"/>
      <c r="S229" s="7"/>
      <c r="T229" s="7"/>
      <c r="U229" s="7"/>
      <c r="V229" s="7"/>
      <c r="W229" s="7"/>
      <c r="X229" s="7"/>
      <c r="Y229" s="7"/>
      <c r="Z229" s="7"/>
    </row>
    <row r="230" spans="1:26" ht="12.75">
      <c r="A230" s="334">
        <v>2607</v>
      </c>
      <c r="B230" s="400" t="s">
        <v>937</v>
      </c>
      <c r="C230" s="408" t="s">
        <v>306</v>
      </c>
      <c r="D230" s="330">
        <v>39</v>
      </c>
      <c r="E230" s="328">
        <v>1000</v>
      </c>
      <c r="F230" s="331">
        <f t="shared" si="41"/>
        <v>0.039</v>
      </c>
      <c r="G230" s="407">
        <v>4.3</v>
      </c>
      <c r="H230" s="328">
        <v>100</v>
      </c>
      <c r="I230" s="407">
        <f>+G230/H230</f>
        <v>0.043</v>
      </c>
      <c r="J230" s="330">
        <v>0.5</v>
      </c>
      <c r="K230" s="328" t="s">
        <v>28</v>
      </c>
      <c r="L230" s="406" t="s">
        <v>26</v>
      </c>
      <c r="M230" s="294"/>
      <c r="N230" s="294"/>
      <c r="O230" s="183"/>
      <c r="P230" s="7"/>
      <c r="Q230" s="7"/>
      <c r="R230" s="7"/>
      <c r="S230" s="7"/>
      <c r="T230" s="7"/>
      <c r="U230" s="7"/>
      <c r="V230" s="7"/>
      <c r="W230" s="7"/>
      <c r="X230" s="7"/>
      <c r="Y230" s="7"/>
      <c r="Z230" s="7"/>
    </row>
    <row r="231" spans="1:26" ht="12.75">
      <c r="A231" s="334">
        <v>2608</v>
      </c>
      <c r="B231" s="400" t="s">
        <v>937</v>
      </c>
      <c r="C231" s="408" t="s">
        <v>307</v>
      </c>
      <c r="D231" s="330">
        <v>100</v>
      </c>
      <c r="E231" s="328">
        <v>1000</v>
      </c>
      <c r="F231" s="331">
        <f t="shared" si="41"/>
        <v>0.1</v>
      </c>
      <c r="G231" s="332">
        <v>100</v>
      </c>
      <c r="H231" s="328">
        <v>10</v>
      </c>
      <c r="I231" s="329">
        <f>+G231/H231</f>
        <v>10</v>
      </c>
      <c r="J231" s="330">
        <v>0.05</v>
      </c>
      <c r="K231" s="328" t="s">
        <v>24</v>
      </c>
      <c r="L231" s="406" t="s">
        <v>27</v>
      </c>
      <c r="M231" s="294"/>
      <c r="N231" s="294"/>
      <c r="O231" s="183"/>
      <c r="P231" s="7"/>
      <c r="Q231" s="7"/>
      <c r="R231" s="7"/>
      <c r="S231" s="7"/>
      <c r="T231" s="7"/>
      <c r="U231" s="7"/>
      <c r="V231" s="7"/>
      <c r="W231" s="7"/>
      <c r="X231" s="7"/>
      <c r="Y231" s="7"/>
      <c r="Z231" s="7"/>
    </row>
    <row r="232" spans="1:26" ht="12.75">
      <c r="A232" s="334">
        <v>2609</v>
      </c>
      <c r="B232" s="400" t="s">
        <v>937</v>
      </c>
      <c r="C232" s="432" t="s">
        <v>308</v>
      </c>
      <c r="D232" s="330">
        <v>100</v>
      </c>
      <c r="E232" s="328">
        <v>1000</v>
      </c>
      <c r="F232" s="331">
        <f t="shared" si="41"/>
        <v>0.1</v>
      </c>
      <c r="G232" s="332">
        <v>100</v>
      </c>
      <c r="H232" s="328">
        <v>50</v>
      </c>
      <c r="I232" s="329">
        <f aca="true" t="shared" si="42" ref="I232">G232/H232</f>
        <v>2</v>
      </c>
      <c r="J232" s="330">
        <v>1</v>
      </c>
      <c r="K232" s="328" t="s">
        <v>35</v>
      </c>
      <c r="L232" s="406" t="s">
        <v>26</v>
      </c>
      <c r="M232" s="294"/>
      <c r="N232" s="294"/>
      <c r="O232" s="183"/>
      <c r="P232" s="7"/>
      <c r="Q232" s="7"/>
      <c r="R232" s="7"/>
      <c r="S232" s="7"/>
      <c r="T232" s="7"/>
      <c r="U232" s="7"/>
      <c r="V232" s="7"/>
      <c r="W232" s="7"/>
      <c r="X232" s="7"/>
      <c r="Y232" s="7"/>
      <c r="Z232" s="7"/>
    </row>
    <row r="233" spans="1:26" ht="12.75">
      <c r="A233" s="415">
        <v>2610</v>
      </c>
      <c r="B233" s="400" t="s">
        <v>937</v>
      </c>
      <c r="C233" s="433" t="s">
        <v>309</v>
      </c>
      <c r="D233" s="330">
        <v>100</v>
      </c>
      <c r="E233" s="328">
        <v>1000</v>
      </c>
      <c r="F233" s="331">
        <f t="shared" si="41"/>
        <v>0.1</v>
      </c>
      <c r="G233" s="332"/>
      <c r="H233" s="328"/>
      <c r="I233" s="329">
        <v>0.1</v>
      </c>
      <c r="J233" s="330">
        <v>0.05</v>
      </c>
      <c r="K233" s="328" t="s">
        <v>24</v>
      </c>
      <c r="L233" s="406" t="s">
        <v>26</v>
      </c>
      <c r="M233" s="294"/>
      <c r="N233" s="294"/>
      <c r="O233" s="183"/>
      <c r="P233" s="7"/>
      <c r="Q233" s="7"/>
      <c r="R233" s="7"/>
      <c r="S233" s="7"/>
      <c r="T233" s="7"/>
      <c r="U233" s="7"/>
      <c r="V233" s="7"/>
      <c r="W233" s="7"/>
      <c r="X233" s="7"/>
      <c r="Y233" s="7"/>
      <c r="Z233" s="7"/>
    </row>
    <row r="234" spans="1:26" ht="12.75">
      <c r="A234" s="415">
        <v>2611</v>
      </c>
      <c r="B234" s="400" t="s">
        <v>937</v>
      </c>
      <c r="C234" s="334" t="s">
        <v>310</v>
      </c>
      <c r="D234" s="330">
        <v>100</v>
      </c>
      <c r="E234" s="328">
        <v>1000</v>
      </c>
      <c r="F234" s="331">
        <f t="shared" si="41"/>
        <v>0.1</v>
      </c>
      <c r="G234" s="332"/>
      <c r="H234" s="328"/>
      <c r="I234" s="329">
        <v>0.1</v>
      </c>
      <c r="J234" s="330">
        <v>1</v>
      </c>
      <c r="K234" s="328" t="s">
        <v>35</v>
      </c>
      <c r="L234" s="406" t="s">
        <v>26</v>
      </c>
      <c r="M234" s="294"/>
      <c r="N234" s="294"/>
      <c r="O234" s="183"/>
      <c r="P234" s="7"/>
      <c r="Q234" s="7"/>
      <c r="R234" s="7"/>
      <c r="S234" s="7"/>
      <c r="T234" s="7"/>
      <c r="U234" s="7"/>
      <c r="V234" s="7"/>
      <c r="W234" s="7"/>
      <c r="X234" s="7"/>
      <c r="Y234" s="7"/>
      <c r="Z234" s="7"/>
    </row>
    <row r="235" spans="1:26" ht="12.75">
      <c r="A235" s="415">
        <v>2612</v>
      </c>
      <c r="B235" s="400" t="s">
        <v>937</v>
      </c>
      <c r="C235" s="434" t="s">
        <v>311</v>
      </c>
      <c r="D235" s="330">
        <v>100</v>
      </c>
      <c r="E235" s="328">
        <v>1000</v>
      </c>
      <c r="F235" s="331">
        <f t="shared" si="41"/>
        <v>0.1</v>
      </c>
      <c r="G235" s="332"/>
      <c r="H235" s="328"/>
      <c r="I235" s="329">
        <v>0.1</v>
      </c>
      <c r="J235" s="330">
        <v>1</v>
      </c>
      <c r="K235" s="328" t="s">
        <v>35</v>
      </c>
      <c r="L235" s="406" t="s">
        <v>26</v>
      </c>
      <c r="M235" s="294"/>
      <c r="N235" s="294"/>
      <c r="O235" s="183"/>
      <c r="P235" s="7"/>
      <c r="Q235" s="7"/>
      <c r="R235" s="7"/>
      <c r="S235" s="7"/>
      <c r="T235" s="7"/>
      <c r="U235" s="7"/>
      <c r="V235" s="7"/>
      <c r="W235" s="7"/>
      <c r="X235" s="7"/>
      <c r="Y235" s="7"/>
      <c r="Z235" s="7"/>
    </row>
    <row r="236" spans="1:26" ht="12.75">
      <c r="A236" s="415">
        <v>2613</v>
      </c>
      <c r="B236" s="400" t="s">
        <v>937</v>
      </c>
      <c r="C236" s="434" t="s">
        <v>312</v>
      </c>
      <c r="D236" s="330">
        <v>100</v>
      </c>
      <c r="E236" s="328">
        <v>1000</v>
      </c>
      <c r="F236" s="331">
        <f t="shared" si="41"/>
        <v>0.1</v>
      </c>
      <c r="G236" s="332"/>
      <c r="H236" s="328"/>
      <c r="I236" s="329">
        <v>0.1</v>
      </c>
      <c r="J236" s="330">
        <v>1</v>
      </c>
      <c r="K236" s="328" t="s">
        <v>35</v>
      </c>
      <c r="L236" s="406" t="s">
        <v>26</v>
      </c>
      <c r="P236" s="7"/>
      <c r="Q236" s="7"/>
      <c r="R236" s="7"/>
      <c r="S236" s="7"/>
      <c r="T236" s="7"/>
      <c r="U236" s="7"/>
      <c r="V236" s="7"/>
      <c r="W236" s="7"/>
      <c r="X236" s="7"/>
      <c r="Y236" s="7"/>
      <c r="Z236" s="7"/>
    </row>
    <row r="237" spans="1:26" ht="12.75">
      <c r="A237" s="415">
        <v>2614</v>
      </c>
      <c r="B237" s="400" t="s">
        <v>937</v>
      </c>
      <c r="C237" s="433" t="s">
        <v>313</v>
      </c>
      <c r="D237" s="330">
        <v>100</v>
      </c>
      <c r="E237" s="328">
        <v>1000</v>
      </c>
      <c r="F237" s="331">
        <f t="shared" si="41"/>
        <v>0.1</v>
      </c>
      <c r="G237" s="332"/>
      <c r="H237" s="328"/>
      <c r="I237" s="329">
        <v>0.1</v>
      </c>
      <c r="J237" s="330">
        <v>1</v>
      </c>
      <c r="K237" s="328" t="s">
        <v>35</v>
      </c>
      <c r="L237" s="406" t="s">
        <v>26</v>
      </c>
      <c r="P237" s="7"/>
      <c r="Q237" s="7"/>
      <c r="R237" s="7"/>
      <c r="S237" s="7"/>
      <c r="T237" s="7"/>
      <c r="U237" s="7"/>
      <c r="V237" s="7"/>
      <c r="W237" s="7"/>
      <c r="X237" s="7"/>
      <c r="Y237" s="7"/>
      <c r="Z237" s="7"/>
    </row>
    <row r="238" spans="1:26" ht="12.75">
      <c r="A238" s="435">
        <v>2615</v>
      </c>
      <c r="B238" s="400" t="s">
        <v>937</v>
      </c>
      <c r="C238" s="327" t="s">
        <v>314</v>
      </c>
      <c r="D238" s="330">
        <v>0.59</v>
      </c>
      <c r="E238" s="328">
        <v>5000</v>
      </c>
      <c r="F238" s="331">
        <f t="shared" si="41"/>
        <v>0.000118</v>
      </c>
      <c r="G238" s="332"/>
      <c r="H238" s="328"/>
      <c r="I238" s="329">
        <f aca="true" t="shared" si="43" ref="I238:I242">F238</f>
        <v>0.000118</v>
      </c>
      <c r="J238" s="333">
        <v>0.05</v>
      </c>
      <c r="K238" s="328" t="s">
        <v>24</v>
      </c>
      <c r="L238" s="406" t="s">
        <v>26</v>
      </c>
      <c r="P238" s="7"/>
      <c r="Q238" s="7"/>
      <c r="R238" s="7"/>
      <c r="S238" s="7"/>
      <c r="T238" s="7"/>
      <c r="U238" s="7"/>
      <c r="V238" s="7"/>
      <c r="W238" s="7"/>
      <c r="X238" s="7"/>
      <c r="Y238" s="7"/>
      <c r="Z238" s="7"/>
    </row>
    <row r="239" spans="1:26" ht="12.75">
      <c r="A239" s="435">
        <v>2616</v>
      </c>
      <c r="B239" s="400" t="s">
        <v>937</v>
      </c>
      <c r="C239" s="327" t="s">
        <v>700</v>
      </c>
      <c r="D239" s="333">
        <v>7.4</v>
      </c>
      <c r="E239" s="328">
        <v>1000</v>
      </c>
      <c r="F239" s="406">
        <f t="shared" si="41"/>
        <v>0.0074</v>
      </c>
      <c r="G239" s="407"/>
      <c r="H239" s="328"/>
      <c r="I239" s="406">
        <f t="shared" si="43"/>
        <v>0.0074</v>
      </c>
      <c r="J239" s="333">
        <v>0.05</v>
      </c>
      <c r="K239" s="328" t="s">
        <v>24</v>
      </c>
      <c r="L239" s="406" t="s">
        <v>26</v>
      </c>
      <c r="P239" s="7"/>
      <c r="Q239" s="7"/>
      <c r="R239" s="7"/>
      <c r="S239" s="7"/>
      <c r="T239" s="7"/>
      <c r="U239" s="7"/>
      <c r="V239" s="7"/>
      <c r="W239" s="7"/>
      <c r="X239" s="7"/>
      <c r="Y239" s="7"/>
      <c r="Z239" s="7"/>
    </row>
    <row r="240" spans="1:26" ht="12.75">
      <c r="A240" s="435">
        <v>2617</v>
      </c>
      <c r="B240" s="400" t="s">
        <v>937</v>
      </c>
      <c r="C240" s="327" t="s">
        <v>701</v>
      </c>
      <c r="D240" s="333">
        <v>100</v>
      </c>
      <c r="E240" s="328">
        <v>5000</v>
      </c>
      <c r="F240" s="406">
        <f t="shared" si="41"/>
        <v>0.02</v>
      </c>
      <c r="G240" s="407"/>
      <c r="H240" s="328"/>
      <c r="I240" s="406">
        <f t="shared" si="43"/>
        <v>0.02</v>
      </c>
      <c r="J240" s="333">
        <v>0.05</v>
      </c>
      <c r="K240" s="328" t="s">
        <v>24</v>
      </c>
      <c r="L240" s="406" t="s">
        <v>26</v>
      </c>
      <c r="P240" s="7"/>
      <c r="Q240" s="7"/>
      <c r="R240" s="7"/>
      <c r="S240" s="7"/>
      <c r="T240" s="7"/>
      <c r="U240" s="7"/>
      <c r="V240" s="7"/>
      <c r="W240" s="7"/>
      <c r="X240" s="7"/>
      <c r="Y240" s="7"/>
      <c r="Z240" s="7"/>
    </row>
    <row r="241" spans="1:26" ht="12.75">
      <c r="A241" s="435">
        <v>2618</v>
      </c>
      <c r="B241" s="400" t="s">
        <v>937</v>
      </c>
      <c r="C241" s="327" t="s">
        <v>702</v>
      </c>
      <c r="D241" s="333">
        <v>100</v>
      </c>
      <c r="E241" s="328">
        <v>1000</v>
      </c>
      <c r="F241" s="406">
        <f t="shared" si="41"/>
        <v>0.1</v>
      </c>
      <c r="G241" s="407"/>
      <c r="H241" s="328"/>
      <c r="I241" s="406">
        <f t="shared" si="43"/>
        <v>0.1</v>
      </c>
      <c r="J241" s="333">
        <v>0.05</v>
      </c>
      <c r="K241" s="328" t="s">
        <v>24</v>
      </c>
      <c r="L241" s="406" t="s">
        <v>26</v>
      </c>
      <c r="M241" s="295"/>
      <c r="N241" s="295"/>
      <c r="O241" s="185"/>
      <c r="P241" s="7"/>
      <c r="Q241" s="7"/>
      <c r="R241" s="7"/>
      <c r="S241" s="7"/>
      <c r="T241" s="7"/>
      <c r="U241" s="7"/>
      <c r="V241" s="7"/>
      <c r="W241" s="7"/>
      <c r="X241" s="7"/>
      <c r="Y241" s="7"/>
      <c r="Z241" s="7"/>
    </row>
    <row r="242" spans="1:26" ht="12.75">
      <c r="A242" s="345">
        <v>2619</v>
      </c>
      <c r="B242" s="400" t="s">
        <v>937</v>
      </c>
      <c r="C242" s="327" t="s">
        <v>703</v>
      </c>
      <c r="D242" s="333">
        <v>2.2</v>
      </c>
      <c r="E242" s="328">
        <v>1000</v>
      </c>
      <c r="F242" s="406">
        <f t="shared" si="41"/>
        <v>0.0022</v>
      </c>
      <c r="G242" s="407"/>
      <c r="H242" s="328"/>
      <c r="I242" s="406">
        <f t="shared" si="43"/>
        <v>0.0022</v>
      </c>
      <c r="J242" s="333">
        <v>0.05</v>
      </c>
      <c r="K242" s="328" t="s">
        <v>24</v>
      </c>
      <c r="L242" s="406" t="s">
        <v>27</v>
      </c>
      <c r="M242" s="295"/>
      <c r="N242" s="295"/>
      <c r="O242" s="185"/>
      <c r="P242" s="7"/>
      <c r="Q242" s="7"/>
      <c r="R242" s="7"/>
      <c r="S242" s="7"/>
      <c r="T242" s="7"/>
      <c r="U242" s="7"/>
      <c r="V242" s="7"/>
      <c r="W242" s="7"/>
      <c r="X242" s="7"/>
      <c r="Y242" s="7"/>
      <c r="Z242" s="7"/>
    </row>
    <row r="243" spans="1:26" ht="12.75">
      <c r="A243" s="436">
        <v>2620</v>
      </c>
      <c r="B243" s="400" t="s">
        <v>937</v>
      </c>
      <c r="C243" s="437" t="s">
        <v>704</v>
      </c>
      <c r="D243" s="333">
        <v>100</v>
      </c>
      <c r="E243" s="328">
        <v>1000</v>
      </c>
      <c r="F243" s="406">
        <f t="shared" si="41"/>
        <v>0.1</v>
      </c>
      <c r="G243" s="407">
        <v>100</v>
      </c>
      <c r="H243" s="328">
        <v>50</v>
      </c>
      <c r="I243" s="406">
        <f>+G243/H243</f>
        <v>2</v>
      </c>
      <c r="J243" s="333">
        <v>0.05</v>
      </c>
      <c r="K243" s="328" t="s">
        <v>24</v>
      </c>
      <c r="L243" s="406" t="s">
        <v>26</v>
      </c>
      <c r="M243" s="295"/>
      <c r="N243" s="295"/>
      <c r="O243" s="185"/>
      <c r="P243" s="7"/>
      <c r="Q243" s="7"/>
      <c r="R243" s="7"/>
      <c r="S243" s="7"/>
      <c r="T243" s="7"/>
      <c r="U243" s="7"/>
      <c r="V243" s="7"/>
      <c r="W243" s="7"/>
      <c r="X243" s="7"/>
      <c r="Y243" s="7"/>
      <c r="Z243" s="7"/>
    </row>
    <row r="244" spans="1:26" ht="13" thickBot="1">
      <c r="A244" s="374">
        <v>2621</v>
      </c>
      <c r="B244" s="438" t="s">
        <v>937</v>
      </c>
      <c r="C244" s="371" t="s">
        <v>688</v>
      </c>
      <c r="D244" s="439">
        <v>100</v>
      </c>
      <c r="E244" s="440">
        <v>1000</v>
      </c>
      <c r="F244" s="441">
        <f>D244/E244</f>
        <v>0.1</v>
      </c>
      <c r="G244" s="442"/>
      <c r="H244" s="443"/>
      <c r="I244" s="444">
        <f>F244</f>
        <v>0.1</v>
      </c>
      <c r="J244" s="445">
        <v>1</v>
      </c>
      <c r="K244" s="440" t="s">
        <v>35</v>
      </c>
      <c r="L244" s="446" t="s">
        <v>25</v>
      </c>
      <c r="M244" s="295"/>
      <c r="N244" s="295"/>
      <c r="O244" s="185"/>
      <c r="P244" s="7"/>
      <c r="Q244" s="7"/>
      <c r="R244" s="7"/>
      <c r="S244" s="7"/>
      <c r="T244" s="7"/>
      <c r="U244" s="7"/>
      <c r="V244" s="7"/>
      <c r="W244" s="7"/>
      <c r="X244" s="7"/>
      <c r="Y244" s="7"/>
      <c r="Z244" s="7"/>
    </row>
    <row r="245" spans="1:26" ht="12.75">
      <c r="A245" s="183"/>
      <c r="B245" s="447"/>
      <c r="M245" s="295"/>
      <c r="N245" s="295"/>
      <c r="O245" s="185"/>
      <c r="P245" s="7"/>
      <c r="Q245" s="7"/>
      <c r="R245" s="7"/>
      <c r="S245" s="7"/>
      <c r="T245" s="7"/>
      <c r="U245" s="7"/>
      <c r="V245" s="7"/>
      <c r="W245" s="7"/>
      <c r="X245" s="7"/>
      <c r="Y245" s="7"/>
      <c r="Z245" s="7"/>
    </row>
    <row r="246" spans="1:26" ht="12.75">
      <c r="A246" s="180"/>
      <c r="B246" s="447"/>
      <c r="M246" s="295"/>
      <c r="N246" s="295"/>
      <c r="O246" s="185"/>
      <c r="P246" s="7"/>
      <c r="Q246" s="7"/>
      <c r="R246" s="7"/>
      <c r="S246" s="7"/>
      <c r="T246" s="7"/>
      <c r="U246" s="7"/>
      <c r="V246" s="7"/>
      <c r="W246" s="7"/>
      <c r="X246" s="7"/>
      <c r="Y246" s="7"/>
      <c r="Z246" s="7"/>
    </row>
    <row r="247" spans="1:26" ht="12.75">
      <c r="A247" s="447" t="s">
        <v>315</v>
      </c>
      <c r="B247" s="447"/>
      <c r="C247" s="448"/>
      <c r="D247" s="449"/>
      <c r="E247" s="449"/>
      <c r="F247" s="449"/>
      <c r="G247" s="449"/>
      <c r="H247" s="449"/>
      <c r="I247" s="449"/>
      <c r="J247" s="449"/>
      <c r="P247" s="7"/>
      <c r="Q247" s="7"/>
      <c r="R247" s="7"/>
      <c r="S247" s="7"/>
      <c r="T247" s="7"/>
      <c r="U247" s="7"/>
      <c r="V247" s="7"/>
      <c r="W247" s="7"/>
      <c r="X247" s="7"/>
      <c r="Y247" s="7"/>
      <c r="Z247" s="7"/>
    </row>
    <row r="248" spans="1:26" ht="12.75">
      <c r="A248" s="450" t="s">
        <v>118</v>
      </c>
      <c r="B248" s="451"/>
      <c r="C248" s="452" t="s">
        <v>316</v>
      </c>
      <c r="D248" s="449"/>
      <c r="E248" s="449"/>
      <c r="F248" s="449"/>
      <c r="G248" s="449"/>
      <c r="H248" s="449"/>
      <c r="I248" s="449"/>
      <c r="J248" s="449"/>
      <c r="P248" s="7"/>
      <c r="Q248" s="7"/>
      <c r="R248" s="7"/>
      <c r="S248" s="7"/>
      <c r="T248" s="7"/>
      <c r="U248" s="7"/>
      <c r="V248" s="7"/>
      <c r="W248" s="7"/>
      <c r="X248" s="7"/>
      <c r="Y248" s="7"/>
      <c r="Z248" s="7"/>
    </row>
    <row r="249" spans="1:26" ht="12.75">
      <c r="A249" s="448" t="s">
        <v>119</v>
      </c>
      <c r="B249" s="447"/>
      <c r="C249" s="448" t="s">
        <v>317</v>
      </c>
      <c r="D249" s="449"/>
      <c r="E249" s="449"/>
      <c r="F249" s="449"/>
      <c r="G249" s="449"/>
      <c r="H249" s="449"/>
      <c r="I249" s="449"/>
      <c r="J249" s="449"/>
      <c r="P249" s="7"/>
      <c r="Q249" s="7"/>
      <c r="R249" s="7"/>
      <c r="S249" s="7"/>
      <c r="T249" s="7"/>
      <c r="U249" s="7"/>
      <c r="V249" s="7"/>
      <c r="W249" s="7"/>
      <c r="X249" s="7"/>
      <c r="Y249" s="7"/>
      <c r="Z249" s="7"/>
    </row>
    <row r="250" spans="1:26" ht="12.75">
      <c r="A250" s="448"/>
      <c r="B250" s="447"/>
      <c r="C250" s="448" t="s">
        <v>318</v>
      </c>
      <c r="D250" s="449"/>
      <c r="E250" s="449"/>
      <c r="F250" s="449"/>
      <c r="G250" s="449"/>
      <c r="H250" s="449"/>
      <c r="I250" s="449"/>
      <c r="J250" s="449"/>
      <c r="P250" s="7"/>
      <c r="Q250" s="7"/>
      <c r="R250" s="7"/>
      <c r="S250" s="7"/>
      <c r="T250" s="7"/>
      <c r="U250" s="7"/>
      <c r="V250" s="7"/>
      <c r="W250" s="7"/>
      <c r="X250" s="7"/>
      <c r="Y250" s="7"/>
      <c r="Z250" s="7"/>
    </row>
    <row r="251" spans="1:26" ht="12.75">
      <c r="A251" s="450" t="s">
        <v>319</v>
      </c>
      <c r="B251" s="447"/>
      <c r="C251" s="452" t="s">
        <v>320</v>
      </c>
      <c r="D251" s="449"/>
      <c r="E251" s="449"/>
      <c r="F251" s="449"/>
      <c r="G251" s="449"/>
      <c r="H251" s="449"/>
      <c r="I251" s="449"/>
      <c r="J251" s="449"/>
      <c r="P251" s="7"/>
      <c r="Q251" s="7"/>
      <c r="R251" s="7"/>
      <c r="S251" s="7"/>
      <c r="T251" s="7"/>
      <c r="U251" s="7"/>
      <c r="V251" s="7"/>
      <c r="W251" s="7"/>
      <c r="X251" s="7"/>
      <c r="Y251" s="7"/>
      <c r="Z251" s="7"/>
    </row>
    <row r="252" spans="1:26" ht="12.75">
      <c r="A252" s="450" t="s">
        <v>938</v>
      </c>
      <c r="B252" s="447"/>
      <c r="C252" s="453" t="s">
        <v>939</v>
      </c>
      <c r="D252" s="449"/>
      <c r="E252" s="449"/>
      <c r="F252" s="449"/>
      <c r="G252" s="449"/>
      <c r="H252" s="449"/>
      <c r="I252" s="449"/>
      <c r="J252" s="449"/>
      <c r="P252" s="7"/>
      <c r="Q252" s="7"/>
      <c r="R252" s="7"/>
      <c r="S252" s="7"/>
      <c r="T252" s="7"/>
      <c r="U252" s="7"/>
      <c r="V252" s="7"/>
      <c r="W252" s="7"/>
      <c r="X252" s="7"/>
      <c r="Y252" s="7"/>
      <c r="Z252" s="7"/>
    </row>
    <row r="253" spans="1:26" ht="12.75">
      <c r="A253" s="450"/>
      <c r="B253" s="447"/>
      <c r="C253" s="453" t="s">
        <v>940</v>
      </c>
      <c r="D253" s="449"/>
      <c r="E253" s="449"/>
      <c r="F253" s="449"/>
      <c r="G253" s="449"/>
      <c r="H253" s="449"/>
      <c r="I253" s="449"/>
      <c r="J253" s="449"/>
      <c r="P253" s="7"/>
      <c r="Q253" s="7"/>
      <c r="R253" s="7"/>
      <c r="S253" s="7"/>
      <c r="T253" s="7"/>
      <c r="U253" s="7"/>
      <c r="V253" s="7"/>
      <c r="W253" s="7"/>
      <c r="X253" s="7"/>
      <c r="Y253" s="7"/>
      <c r="Z253" s="7"/>
    </row>
    <row r="254" spans="1:26" ht="12.75">
      <c r="A254" s="450" t="s">
        <v>321</v>
      </c>
      <c r="B254" s="451"/>
      <c r="C254" s="452" t="s">
        <v>322</v>
      </c>
      <c r="D254" s="449"/>
      <c r="E254" s="449"/>
      <c r="F254" s="449"/>
      <c r="G254" s="449"/>
      <c r="H254" s="449"/>
      <c r="I254" s="449"/>
      <c r="J254" s="449"/>
      <c r="P254" s="7"/>
      <c r="Q254" s="7"/>
      <c r="R254" s="7"/>
      <c r="S254" s="7"/>
      <c r="T254" s="7"/>
      <c r="U254" s="7"/>
      <c r="V254" s="7"/>
      <c r="W254" s="7"/>
      <c r="X254" s="7"/>
      <c r="Y254" s="7"/>
      <c r="Z254" s="7"/>
    </row>
    <row r="255" spans="1:26" ht="15.5">
      <c r="A255" s="454" t="s">
        <v>323</v>
      </c>
      <c r="B255" s="447"/>
      <c r="P255" s="7"/>
      <c r="Q255" s="7"/>
      <c r="R255" s="7"/>
      <c r="S255" s="7"/>
      <c r="T255" s="7"/>
      <c r="U255" s="7"/>
      <c r="V255" s="7"/>
      <c r="W255" s="7"/>
      <c r="X255" s="7"/>
      <c r="Y255" s="7"/>
      <c r="Z255" s="7"/>
    </row>
    <row r="256" spans="1:26" ht="12.75">
      <c r="A256" s="447" t="s">
        <v>324</v>
      </c>
      <c r="B256" s="447"/>
      <c r="C256" s="448" t="s">
        <v>120</v>
      </c>
      <c r="P256" s="7"/>
      <c r="Q256" s="7"/>
      <c r="R256" s="7"/>
      <c r="S256" s="7"/>
      <c r="T256" s="7"/>
      <c r="U256" s="7"/>
      <c r="V256" s="7"/>
      <c r="W256" s="7"/>
      <c r="X256" s="7"/>
      <c r="Y256" s="7"/>
      <c r="Z256" s="7"/>
    </row>
    <row r="257" spans="1:26" ht="12.75">
      <c r="A257" s="447" t="s">
        <v>325</v>
      </c>
      <c r="B257" s="447"/>
      <c r="C257" s="448" t="s">
        <v>121</v>
      </c>
      <c r="P257" s="7"/>
      <c r="Q257" s="7"/>
      <c r="R257" s="7"/>
      <c r="S257" s="7"/>
      <c r="T257" s="7"/>
      <c r="U257" s="7"/>
      <c r="V257" s="7"/>
      <c r="W257" s="7"/>
      <c r="X257" s="7"/>
      <c r="Y257" s="7"/>
      <c r="Z257" s="7"/>
    </row>
    <row r="258" spans="1:26" ht="12.75">
      <c r="A258" s="447" t="s">
        <v>326</v>
      </c>
      <c r="B258" s="447"/>
      <c r="C258" s="448" t="s">
        <v>122</v>
      </c>
      <c r="D258" s="455"/>
      <c r="E258" s="455"/>
      <c r="P258" s="7"/>
      <c r="Q258" s="7"/>
      <c r="R258" s="7"/>
      <c r="S258" s="7"/>
      <c r="T258" s="7"/>
      <c r="U258" s="7"/>
      <c r="V258" s="7"/>
      <c r="W258" s="7"/>
      <c r="X258" s="7"/>
      <c r="Y258" s="7"/>
      <c r="Z258" s="7"/>
    </row>
    <row r="259" spans="1:26" ht="12.75">
      <c r="A259" s="447" t="s">
        <v>327</v>
      </c>
      <c r="B259" s="183"/>
      <c r="C259" s="448" t="s">
        <v>123</v>
      </c>
      <c r="P259" s="7"/>
      <c r="Q259" s="7"/>
      <c r="R259" s="7"/>
      <c r="S259" s="7"/>
      <c r="T259" s="7"/>
      <c r="U259" s="7"/>
      <c r="V259" s="7"/>
      <c r="W259" s="7"/>
      <c r="X259" s="7"/>
      <c r="Y259" s="7"/>
      <c r="Z259" s="7"/>
    </row>
    <row r="260" spans="1:26" ht="12.75">
      <c r="A260" s="447" t="s">
        <v>328</v>
      </c>
      <c r="B260" s="183"/>
      <c r="C260" s="448" t="s">
        <v>329</v>
      </c>
      <c r="P260" s="7"/>
      <c r="Q260" s="7"/>
      <c r="R260" s="7"/>
      <c r="S260" s="7"/>
      <c r="T260" s="7"/>
      <c r="U260" s="7"/>
      <c r="V260" s="7"/>
      <c r="W260" s="7"/>
      <c r="X260" s="7"/>
      <c r="Y260" s="7"/>
      <c r="Z260" s="7"/>
    </row>
    <row r="261" spans="1:26" ht="12.75">
      <c r="A261" s="451" t="s">
        <v>330</v>
      </c>
      <c r="B261" s="183"/>
      <c r="D261" s="456" t="s">
        <v>130</v>
      </c>
      <c r="P261" s="7"/>
      <c r="Q261" s="7"/>
      <c r="R261" s="7"/>
      <c r="S261" s="7"/>
      <c r="T261" s="7"/>
      <c r="U261" s="7"/>
      <c r="V261" s="7"/>
      <c r="W261" s="7"/>
      <c r="X261" s="7"/>
      <c r="Y261" s="7"/>
      <c r="Z261" s="7"/>
    </row>
    <row r="262" spans="1:26" ht="12.75">
      <c r="A262" s="447" t="s">
        <v>331</v>
      </c>
      <c r="B262" s="183"/>
      <c r="C262" s="448" t="s">
        <v>124</v>
      </c>
      <c r="D262" s="457" t="s">
        <v>131</v>
      </c>
      <c r="P262" s="7"/>
      <c r="Q262" s="7"/>
      <c r="R262" s="7"/>
      <c r="S262" s="7"/>
      <c r="T262" s="7"/>
      <c r="U262" s="7"/>
      <c r="V262" s="7"/>
      <c r="W262" s="7"/>
      <c r="X262" s="7"/>
      <c r="Y262" s="7"/>
      <c r="Z262" s="7"/>
    </row>
    <row r="263" spans="1:26" ht="12.75">
      <c r="A263" s="447" t="s">
        <v>28</v>
      </c>
      <c r="B263" s="183"/>
      <c r="C263" s="448" t="s">
        <v>332</v>
      </c>
      <c r="D263" s="458" t="s">
        <v>28</v>
      </c>
      <c r="P263" s="7"/>
      <c r="Q263" s="7"/>
      <c r="R263" s="7"/>
      <c r="S263" s="7"/>
      <c r="T263" s="7"/>
      <c r="U263" s="7"/>
      <c r="V263" s="7"/>
      <c r="W263" s="7"/>
      <c r="X263" s="7"/>
      <c r="Y263" s="7"/>
      <c r="Z263" s="7"/>
    </row>
    <row r="264" spans="1:26" ht="12.75">
      <c r="A264" s="447" t="s">
        <v>333</v>
      </c>
      <c r="B264" s="183"/>
      <c r="C264" s="448" t="s">
        <v>125</v>
      </c>
      <c r="D264" s="457" t="s">
        <v>132</v>
      </c>
      <c r="P264" s="7"/>
      <c r="Q264" s="7"/>
      <c r="R264" s="7"/>
      <c r="S264" s="7"/>
      <c r="T264" s="7"/>
      <c r="U264" s="7"/>
      <c r="V264" s="7"/>
      <c r="W264" s="7"/>
      <c r="X264" s="7"/>
      <c r="Y264" s="7"/>
      <c r="Z264" s="7"/>
    </row>
    <row r="265" spans="1:26" ht="12.75">
      <c r="A265" s="447" t="s">
        <v>334</v>
      </c>
      <c r="B265" s="183"/>
      <c r="C265" s="448" t="s">
        <v>126</v>
      </c>
      <c r="D265" s="457" t="s">
        <v>26</v>
      </c>
      <c r="P265" s="7"/>
      <c r="Q265" s="7"/>
      <c r="R265" s="7"/>
      <c r="S265" s="7"/>
      <c r="T265" s="7"/>
      <c r="U265" s="7"/>
      <c r="V265" s="7"/>
      <c r="W265" s="7"/>
      <c r="X265" s="7"/>
      <c r="Y265" s="7"/>
      <c r="Z265" s="7"/>
    </row>
    <row r="266" spans="1:26" ht="12.75">
      <c r="A266" s="447" t="s">
        <v>335</v>
      </c>
      <c r="B266" s="183"/>
      <c r="C266" s="448" t="s">
        <v>127</v>
      </c>
      <c r="D266" s="459" t="s">
        <v>45</v>
      </c>
      <c r="P266" s="7"/>
      <c r="Q266" s="7"/>
      <c r="R266" s="7"/>
      <c r="S266" s="7"/>
      <c r="T266" s="7"/>
      <c r="U266" s="7"/>
      <c r="V266" s="7"/>
      <c r="W266" s="7"/>
      <c r="X266" s="7"/>
      <c r="Y266" s="7"/>
      <c r="Z266" s="7"/>
    </row>
    <row r="267" spans="1:26" ht="12.75">
      <c r="A267" s="451" t="s">
        <v>336</v>
      </c>
      <c r="B267" s="183"/>
      <c r="D267" s="459"/>
      <c r="P267" s="7"/>
      <c r="Q267" s="7"/>
      <c r="R267" s="7"/>
      <c r="S267" s="7"/>
      <c r="T267" s="7"/>
      <c r="U267" s="7"/>
      <c r="V267" s="7"/>
      <c r="W267" s="7"/>
      <c r="X267" s="7"/>
      <c r="Y267" s="7"/>
      <c r="Z267" s="7"/>
    </row>
    <row r="268" spans="1:26" ht="12.75">
      <c r="A268" s="447" t="s">
        <v>337</v>
      </c>
      <c r="B268" s="183"/>
      <c r="C268" s="448" t="s">
        <v>128</v>
      </c>
      <c r="D268" s="459" t="s">
        <v>133</v>
      </c>
      <c r="P268" s="7"/>
      <c r="Q268" s="7"/>
      <c r="R268" s="7"/>
      <c r="S268" s="7"/>
      <c r="T268" s="7"/>
      <c r="U268" s="7"/>
      <c r="V268" s="7"/>
      <c r="W268" s="7"/>
      <c r="X268" s="7"/>
      <c r="Y268" s="7"/>
      <c r="Z268" s="7"/>
    </row>
    <row r="269" spans="1:26" ht="12.75">
      <c r="A269" s="447" t="s">
        <v>338</v>
      </c>
      <c r="B269" s="183"/>
      <c r="C269" s="448" t="s">
        <v>129</v>
      </c>
      <c r="D269" s="459" t="s">
        <v>25</v>
      </c>
      <c r="P269" s="7"/>
      <c r="Q269" s="7"/>
      <c r="R269" s="7"/>
      <c r="S269" s="7"/>
      <c r="T269" s="7"/>
      <c r="U269" s="7"/>
      <c r="V269" s="7"/>
      <c r="W269" s="7"/>
      <c r="X269" s="7"/>
      <c r="Y269" s="7"/>
      <c r="Z269" s="7"/>
    </row>
    <row r="270" spans="1:26" ht="12.75">
      <c r="A270" s="447" t="s">
        <v>334</v>
      </c>
      <c r="B270" s="183"/>
      <c r="C270" s="448" t="s">
        <v>126</v>
      </c>
      <c r="D270" s="459" t="s">
        <v>26</v>
      </c>
      <c r="P270" s="7"/>
      <c r="Q270" s="7"/>
      <c r="R270" s="7"/>
      <c r="S270" s="7"/>
      <c r="T270" s="7"/>
      <c r="U270" s="7"/>
      <c r="V270" s="7"/>
      <c r="W270" s="7"/>
      <c r="X270" s="7"/>
      <c r="Y270" s="7"/>
      <c r="Z270" s="7"/>
    </row>
    <row r="271" spans="1:26" ht="12.75">
      <c r="A271" s="447" t="s">
        <v>335</v>
      </c>
      <c r="B271" s="183"/>
      <c r="C271" s="448" t="s">
        <v>127</v>
      </c>
      <c r="D271" s="459" t="s">
        <v>45</v>
      </c>
      <c r="P271" s="7"/>
      <c r="Q271" s="7"/>
      <c r="R271" s="7"/>
      <c r="S271" s="7"/>
      <c r="T271" s="7"/>
      <c r="U271" s="7"/>
      <c r="V271" s="7"/>
      <c r="W271" s="7"/>
      <c r="X271" s="7"/>
      <c r="Y271" s="7"/>
      <c r="Z271" s="7"/>
    </row>
    <row r="272" spans="1:26" ht="12.75">
      <c r="A272" s="183"/>
      <c r="B272" s="183"/>
      <c r="P272" s="7"/>
      <c r="Q272" s="7"/>
      <c r="R272" s="7"/>
      <c r="S272" s="7"/>
      <c r="T272" s="7"/>
      <c r="U272" s="7"/>
      <c r="V272" s="7"/>
      <c r="W272" s="7"/>
      <c r="X272" s="7"/>
      <c r="Y272" s="7"/>
      <c r="Z272" s="7"/>
    </row>
    <row r="273" spans="1:26" ht="12.75">
      <c r="A273" s="183"/>
      <c r="B273" s="183"/>
      <c r="P273" s="7"/>
      <c r="Q273" s="7"/>
      <c r="R273" s="7"/>
      <c r="S273" s="7"/>
      <c r="T273" s="7"/>
      <c r="U273" s="7"/>
      <c r="V273" s="7"/>
      <c r="W273" s="7"/>
      <c r="X273" s="7"/>
      <c r="Y273" s="7"/>
      <c r="Z273" s="7"/>
    </row>
    <row r="274" spans="1:26" ht="409.6" customHeight="1">
      <c r="A274" s="183"/>
      <c r="B274" s="183"/>
      <c r="P274" s="7"/>
      <c r="Q274" s="7"/>
      <c r="R274" s="7"/>
      <c r="S274" s="7"/>
      <c r="T274" s="7"/>
      <c r="U274" s="7"/>
      <c r="V274" s="7"/>
      <c r="W274" s="7"/>
      <c r="X274" s="7"/>
      <c r="Y274" s="7"/>
      <c r="Z274" s="7"/>
    </row>
    <row r="275" spans="1:26" ht="409.6" customHeight="1">
      <c r="A275" s="183"/>
      <c r="B275" s="183"/>
      <c r="P275" s="7"/>
      <c r="Q275" s="7"/>
      <c r="R275" s="7"/>
      <c r="S275" s="7"/>
      <c r="T275" s="7"/>
      <c r="U275" s="7"/>
      <c r="V275" s="7"/>
      <c r="W275" s="7"/>
      <c r="X275" s="7"/>
      <c r="Y275" s="7"/>
      <c r="Z275" s="7"/>
    </row>
    <row r="276" spans="1:26" ht="409.6" customHeight="1">
      <c r="A276" s="183"/>
      <c r="B276" s="183"/>
      <c r="P276" s="7"/>
      <c r="Q276" s="7"/>
      <c r="R276" s="7"/>
      <c r="S276" s="7"/>
      <c r="T276" s="7"/>
      <c r="U276" s="7"/>
      <c r="V276" s="7"/>
      <c r="W276" s="7"/>
      <c r="X276" s="7"/>
      <c r="Y276" s="7"/>
      <c r="Z276" s="7"/>
    </row>
    <row r="277" spans="1:26" ht="409.6" customHeight="1">
      <c r="A277" s="183"/>
      <c r="B277" s="183"/>
      <c r="P277" s="7"/>
      <c r="Q277" s="7"/>
      <c r="R277" s="7"/>
      <c r="S277" s="7"/>
      <c r="T277" s="7"/>
      <c r="U277" s="7"/>
      <c r="V277" s="7"/>
      <c r="W277" s="7"/>
      <c r="X277" s="7"/>
      <c r="Y277" s="7"/>
      <c r="Z277" s="7"/>
    </row>
    <row r="278" spans="1:26" ht="409.6" customHeight="1">
      <c r="A278" s="183"/>
      <c r="B278" s="183"/>
      <c r="P278" s="7"/>
      <c r="Q278" s="7"/>
      <c r="R278" s="7"/>
      <c r="S278" s="7"/>
      <c r="T278" s="7"/>
      <c r="U278" s="7"/>
      <c r="V278" s="7"/>
      <c r="W278" s="7"/>
      <c r="X278" s="7"/>
      <c r="Y278" s="7"/>
      <c r="Z278" s="7"/>
    </row>
    <row r="279" spans="1:26" ht="409.6" customHeight="1">
      <c r="A279" s="183"/>
      <c r="B279" s="183"/>
      <c r="P279" s="7"/>
      <c r="Q279" s="7"/>
      <c r="R279" s="7"/>
      <c r="S279" s="7"/>
      <c r="T279" s="7"/>
      <c r="U279" s="7"/>
      <c r="V279" s="7"/>
      <c r="W279" s="7"/>
      <c r="X279" s="7"/>
      <c r="Y279" s="7"/>
      <c r="Z279" s="7"/>
    </row>
    <row r="280" spans="1:26" ht="409.6" customHeight="1">
      <c r="A280" s="183"/>
      <c r="B280" s="183"/>
      <c r="P280" s="7"/>
      <c r="Q280" s="7"/>
      <c r="R280" s="7"/>
      <c r="S280" s="7"/>
      <c r="T280" s="7"/>
      <c r="U280" s="7"/>
      <c r="V280" s="7"/>
      <c r="W280" s="7"/>
      <c r="X280" s="7"/>
      <c r="Y280" s="7"/>
      <c r="Z280" s="7"/>
    </row>
    <row r="281" spans="1:26" ht="409.6" customHeight="1">
      <c r="A281" s="183"/>
      <c r="B281" s="183"/>
      <c r="P281" s="7"/>
      <c r="Q281" s="7"/>
      <c r="R281" s="7"/>
      <c r="S281" s="7"/>
      <c r="T281" s="7"/>
      <c r="U281" s="7"/>
      <c r="V281" s="7"/>
      <c r="W281" s="7"/>
      <c r="X281" s="7"/>
      <c r="Y281" s="7"/>
      <c r="Z281" s="7"/>
    </row>
    <row r="282" spans="1:26" ht="409.6" customHeight="1">
      <c r="A282" s="183"/>
      <c r="B282" s="183"/>
      <c r="P282" s="7"/>
      <c r="Q282" s="7"/>
      <c r="R282" s="7"/>
      <c r="S282" s="7"/>
      <c r="T282" s="7"/>
      <c r="U282" s="7"/>
      <c r="V282" s="7"/>
      <c r="W282" s="7"/>
      <c r="X282" s="7"/>
      <c r="Y282" s="7"/>
      <c r="Z282" s="7"/>
    </row>
    <row r="283" spans="1:26" ht="409.6" customHeight="1">
      <c r="A283" s="183"/>
      <c r="B283" s="183"/>
      <c r="P283" s="7"/>
      <c r="Q283" s="7"/>
      <c r="R283" s="7"/>
      <c r="S283" s="7"/>
      <c r="T283" s="7"/>
      <c r="U283" s="7"/>
      <c r="V283" s="7"/>
      <c r="W283" s="7"/>
      <c r="X283" s="7"/>
      <c r="Y283" s="7"/>
      <c r="Z283" s="7"/>
    </row>
    <row r="284" spans="1:26" ht="409.6" customHeight="1">
      <c r="A284" s="183"/>
      <c r="B284" s="183"/>
      <c r="P284" s="7"/>
      <c r="Q284" s="7"/>
      <c r="R284" s="7"/>
      <c r="S284" s="7"/>
      <c r="T284" s="7"/>
      <c r="U284" s="7"/>
      <c r="V284" s="7"/>
      <c r="W284" s="7"/>
      <c r="X284" s="7"/>
      <c r="Y284" s="7"/>
      <c r="Z284" s="7"/>
    </row>
    <row r="285" spans="1:26" ht="409.6" customHeight="1">
      <c r="A285" s="183"/>
      <c r="B285" s="183"/>
      <c r="P285" s="7"/>
      <c r="Q285" s="7"/>
      <c r="R285" s="7"/>
      <c r="S285" s="7"/>
      <c r="T285" s="7"/>
      <c r="U285" s="7"/>
      <c r="V285" s="7"/>
      <c r="W285" s="7"/>
      <c r="X285" s="7"/>
      <c r="Y285" s="7"/>
      <c r="Z285" s="7"/>
    </row>
    <row r="286" spans="1:26" ht="409.6" customHeight="1">
      <c r="A286" s="183"/>
      <c r="B286" s="183"/>
      <c r="P286" s="7"/>
      <c r="Q286" s="7"/>
      <c r="R286" s="7"/>
      <c r="S286" s="7"/>
      <c r="T286" s="7"/>
      <c r="U286" s="7"/>
      <c r="V286" s="7"/>
      <c r="W286" s="7"/>
      <c r="X286" s="7"/>
      <c r="Y286" s="7"/>
      <c r="Z286" s="7"/>
    </row>
    <row r="287" spans="1:26" ht="409.6" customHeight="1">
      <c r="A287" s="183"/>
      <c r="B287" s="183"/>
      <c r="P287" s="7"/>
      <c r="Q287" s="7"/>
      <c r="R287" s="7"/>
      <c r="S287" s="7"/>
      <c r="T287" s="7"/>
      <c r="U287" s="7"/>
      <c r="V287" s="7"/>
      <c r="W287" s="7"/>
      <c r="X287" s="7"/>
      <c r="Y287" s="7"/>
      <c r="Z287" s="7"/>
    </row>
    <row r="288" spans="1:26" ht="409.6" customHeight="1">
      <c r="A288" s="183"/>
      <c r="B288" s="183"/>
      <c r="P288" s="7"/>
      <c r="Q288" s="7"/>
      <c r="R288" s="7"/>
      <c r="S288" s="7"/>
      <c r="T288" s="7"/>
      <c r="U288" s="7"/>
      <c r="V288" s="7"/>
      <c r="W288" s="7"/>
      <c r="X288" s="7"/>
      <c r="Y288" s="7"/>
      <c r="Z288" s="7"/>
    </row>
    <row r="289" spans="1:26" ht="409.6" customHeight="1">
      <c r="A289" s="183"/>
      <c r="B289" s="183"/>
      <c r="P289" s="7"/>
      <c r="Q289" s="7"/>
      <c r="R289" s="7"/>
      <c r="S289" s="7"/>
      <c r="T289" s="7"/>
      <c r="U289" s="7"/>
      <c r="V289" s="7"/>
      <c r="W289" s="7"/>
      <c r="X289" s="7"/>
      <c r="Y289" s="7"/>
      <c r="Z289" s="7"/>
    </row>
    <row r="290" spans="1:26" ht="409.6" customHeight="1">
      <c r="A290" s="183"/>
      <c r="B290" s="183"/>
      <c r="P290" s="7"/>
      <c r="Q290" s="7"/>
      <c r="R290" s="7"/>
      <c r="S290" s="7"/>
      <c r="T290" s="7"/>
      <c r="U290" s="7"/>
      <c r="V290" s="7"/>
      <c r="W290" s="7"/>
      <c r="X290" s="7"/>
      <c r="Y290" s="7"/>
      <c r="Z290" s="7"/>
    </row>
    <row r="291" spans="1:26" ht="409.6" customHeight="1">
      <c r="A291" s="183"/>
      <c r="B291" s="183"/>
      <c r="P291" s="7"/>
      <c r="Q291" s="7"/>
      <c r="R291" s="7"/>
      <c r="S291" s="7"/>
      <c r="T291" s="7"/>
      <c r="U291" s="7"/>
      <c r="V291" s="7"/>
      <c r="W291" s="7"/>
      <c r="X291" s="7"/>
      <c r="Y291" s="7"/>
      <c r="Z291" s="7"/>
    </row>
    <row r="292" spans="1:26" ht="409.6" customHeight="1">
      <c r="A292" s="183"/>
      <c r="B292" s="183"/>
      <c r="P292" s="7"/>
      <c r="Q292" s="7"/>
      <c r="R292" s="7"/>
      <c r="S292" s="7"/>
      <c r="T292" s="7"/>
      <c r="U292" s="7"/>
      <c r="V292" s="7"/>
      <c r="W292" s="7"/>
      <c r="X292" s="7"/>
      <c r="Y292" s="7"/>
      <c r="Z292" s="7"/>
    </row>
    <row r="293" spans="1:26" ht="409.6" customHeight="1">
      <c r="A293" s="183"/>
      <c r="B293" s="183"/>
      <c r="P293" s="7"/>
      <c r="Q293" s="7"/>
      <c r="R293" s="7"/>
      <c r="S293" s="7"/>
      <c r="T293" s="7"/>
      <c r="U293" s="7"/>
      <c r="V293" s="7"/>
      <c r="W293" s="7"/>
      <c r="X293" s="7"/>
      <c r="Y293" s="7"/>
      <c r="Z293" s="7"/>
    </row>
    <row r="294" spans="1:26" ht="409.6" customHeight="1">
      <c r="A294" s="183"/>
      <c r="B294" s="183"/>
      <c r="P294" s="7"/>
      <c r="Q294" s="7"/>
      <c r="R294" s="7"/>
      <c r="S294" s="7"/>
      <c r="T294" s="7"/>
      <c r="U294" s="7"/>
      <c r="V294" s="7"/>
      <c r="W294" s="7"/>
      <c r="X294" s="7"/>
      <c r="Y294" s="7"/>
      <c r="Z294" s="7"/>
    </row>
    <row r="295" spans="1:26" ht="409.6" customHeight="1">
      <c r="A295" s="183"/>
      <c r="B295" s="183"/>
      <c r="P295" s="7"/>
      <c r="Q295" s="7"/>
      <c r="R295" s="7"/>
      <c r="S295" s="7"/>
      <c r="T295" s="7"/>
      <c r="U295" s="7"/>
      <c r="V295" s="7"/>
      <c r="W295" s="7"/>
      <c r="X295" s="7"/>
      <c r="Y295" s="7"/>
      <c r="Z295" s="7"/>
    </row>
    <row r="296" spans="1:26" ht="409.6" customHeight="1">
      <c r="A296" s="183"/>
      <c r="B296" s="183"/>
      <c r="P296" s="7"/>
      <c r="Q296" s="7"/>
      <c r="R296" s="7"/>
      <c r="S296" s="7"/>
      <c r="T296" s="7"/>
      <c r="U296" s="7"/>
      <c r="V296" s="7"/>
      <c r="W296" s="7"/>
      <c r="X296" s="7"/>
      <c r="Y296" s="7"/>
      <c r="Z296" s="7"/>
    </row>
    <row r="297" spans="1:26" ht="409.6" customHeight="1">
      <c r="A297" s="183"/>
      <c r="B297" s="183"/>
      <c r="P297" s="7"/>
      <c r="Q297" s="7"/>
      <c r="R297" s="7"/>
      <c r="S297" s="7"/>
      <c r="T297" s="7"/>
      <c r="U297" s="7"/>
      <c r="V297" s="7"/>
      <c r="W297" s="7"/>
      <c r="X297" s="7"/>
      <c r="Y297" s="7"/>
      <c r="Z297" s="7"/>
    </row>
    <row r="298" spans="1:26" ht="409.6" customHeight="1">
      <c r="A298" s="183"/>
      <c r="B298" s="183"/>
      <c r="P298" s="7"/>
      <c r="Q298" s="7"/>
      <c r="R298" s="7"/>
      <c r="S298" s="7"/>
      <c r="T298" s="7"/>
      <c r="U298" s="7"/>
      <c r="V298" s="7"/>
      <c r="W298" s="7"/>
      <c r="X298" s="7"/>
      <c r="Y298" s="7"/>
      <c r="Z298" s="7"/>
    </row>
    <row r="299" spans="1:26" ht="409.6" customHeight="1">
      <c r="A299" s="183"/>
      <c r="B299" s="183"/>
      <c r="P299" s="7"/>
      <c r="Q299" s="7"/>
      <c r="R299" s="7"/>
      <c r="S299" s="7"/>
      <c r="T299" s="7"/>
      <c r="U299" s="7"/>
      <c r="V299" s="7"/>
      <c r="W299" s="7"/>
      <c r="X299" s="7"/>
      <c r="Y299" s="7"/>
      <c r="Z299" s="7"/>
    </row>
    <row r="300" spans="1:26" ht="409.6" customHeight="1">
      <c r="A300" s="183"/>
      <c r="B300" s="183"/>
      <c r="P300" s="7"/>
      <c r="Q300" s="7"/>
      <c r="R300" s="7"/>
      <c r="S300" s="7"/>
      <c r="T300" s="7"/>
      <c r="U300" s="7"/>
      <c r="V300" s="7"/>
      <c r="W300" s="7"/>
      <c r="X300" s="7"/>
      <c r="Y300" s="7"/>
      <c r="Z300" s="7"/>
    </row>
    <row r="301" spans="1:26" ht="409.6" customHeight="1">
      <c r="A301" s="183"/>
      <c r="B301" s="183"/>
      <c r="P301" s="7"/>
      <c r="Q301" s="7"/>
      <c r="R301" s="7"/>
      <c r="S301" s="7"/>
      <c r="T301" s="7"/>
      <c r="U301" s="7"/>
      <c r="V301" s="7"/>
      <c r="W301" s="7"/>
      <c r="X301" s="7"/>
      <c r="Y301" s="7"/>
      <c r="Z301" s="7"/>
    </row>
    <row r="302" spans="1:26" ht="409.6" customHeight="1">
      <c r="A302" s="183"/>
      <c r="B302" s="183"/>
      <c r="P302" s="7"/>
      <c r="Q302" s="7"/>
      <c r="R302" s="7"/>
      <c r="S302" s="7"/>
      <c r="T302" s="7"/>
      <c r="U302" s="7"/>
      <c r="V302" s="7"/>
      <c r="W302" s="7"/>
      <c r="X302" s="7"/>
      <c r="Y302" s="7"/>
      <c r="Z302" s="7"/>
    </row>
    <row r="303" spans="1:26" ht="409.6" customHeight="1">
      <c r="A303" s="183"/>
      <c r="B303" s="183"/>
      <c r="P303" s="7"/>
      <c r="Q303" s="7"/>
      <c r="R303" s="7"/>
      <c r="S303" s="7"/>
      <c r="T303" s="7"/>
      <c r="U303" s="7"/>
      <c r="V303" s="7"/>
      <c r="W303" s="7"/>
      <c r="X303" s="7"/>
      <c r="Y303" s="7"/>
      <c r="Z303" s="7"/>
    </row>
    <row r="304" spans="1:26" ht="409.6" customHeight="1">
      <c r="A304" s="183"/>
      <c r="B304" s="183"/>
      <c r="P304" s="7"/>
      <c r="Q304" s="7"/>
      <c r="R304" s="7"/>
      <c r="S304" s="7"/>
      <c r="T304" s="7"/>
      <c r="U304" s="7"/>
      <c r="V304" s="7"/>
      <c r="W304" s="7"/>
      <c r="X304" s="7"/>
      <c r="Y304" s="7"/>
      <c r="Z304" s="7"/>
    </row>
    <row r="305" spans="1:26" ht="409.6" customHeight="1">
      <c r="A305" s="183"/>
      <c r="B305" s="183"/>
      <c r="P305" s="7"/>
      <c r="Q305" s="7"/>
      <c r="R305" s="7"/>
      <c r="S305" s="7"/>
      <c r="T305" s="7"/>
      <c r="U305" s="7"/>
      <c r="V305" s="7"/>
      <c r="W305" s="7"/>
      <c r="X305" s="7"/>
      <c r="Y305" s="7"/>
      <c r="Z305" s="7"/>
    </row>
    <row r="306" spans="1:26" ht="409.6" customHeight="1">
      <c r="A306" s="183"/>
      <c r="B306" s="183"/>
      <c r="P306" s="7"/>
      <c r="Q306" s="7"/>
      <c r="R306" s="7"/>
      <c r="S306" s="7"/>
      <c r="T306" s="7"/>
      <c r="U306" s="7"/>
      <c r="V306" s="7"/>
      <c r="W306" s="7"/>
      <c r="X306" s="7"/>
      <c r="Y306" s="7"/>
      <c r="Z306" s="7"/>
    </row>
    <row r="307" spans="1:26" ht="409.6" customHeight="1">
      <c r="A307" s="183"/>
      <c r="B307" s="183"/>
      <c r="P307" s="7"/>
      <c r="Q307" s="7"/>
      <c r="R307" s="7"/>
      <c r="S307" s="7"/>
      <c r="T307" s="7"/>
      <c r="U307" s="7"/>
      <c r="V307" s="7"/>
      <c r="W307" s="7"/>
      <c r="X307" s="7"/>
      <c r="Y307" s="7"/>
      <c r="Z307" s="7"/>
    </row>
    <row r="308" spans="1:26" ht="409.6" customHeight="1">
      <c r="A308" s="183"/>
      <c r="B308" s="183"/>
      <c r="P308" s="7"/>
      <c r="Q308" s="7"/>
      <c r="R308" s="7"/>
      <c r="S308" s="7"/>
      <c r="T308" s="7"/>
      <c r="U308" s="7"/>
      <c r="V308" s="7"/>
      <c r="W308" s="7"/>
      <c r="X308" s="7"/>
      <c r="Y308" s="7"/>
      <c r="Z308" s="7"/>
    </row>
    <row r="309" spans="1:26" ht="409.6" customHeight="1">
      <c r="A309" s="183"/>
      <c r="B309" s="183"/>
      <c r="P309" s="7"/>
      <c r="Q309" s="7"/>
      <c r="R309" s="7"/>
      <c r="S309" s="7"/>
      <c r="T309" s="7"/>
      <c r="U309" s="7"/>
      <c r="V309" s="7"/>
      <c r="W309" s="7"/>
      <c r="X309" s="7"/>
      <c r="Y309" s="7"/>
      <c r="Z309" s="7"/>
    </row>
    <row r="310" spans="1:26" ht="409.6" customHeight="1">
      <c r="A310" s="183"/>
      <c r="B310" s="183"/>
      <c r="P310" s="7"/>
      <c r="Q310" s="7"/>
      <c r="R310" s="7"/>
      <c r="S310" s="7"/>
      <c r="T310" s="7"/>
      <c r="U310" s="7"/>
      <c r="V310" s="7"/>
      <c r="W310" s="7"/>
      <c r="X310" s="7"/>
      <c r="Y310" s="7"/>
      <c r="Z310" s="7"/>
    </row>
    <row r="311" spans="1:26" ht="409.6" customHeight="1">
      <c r="A311" s="183"/>
      <c r="B311" s="183"/>
      <c r="P311" s="7"/>
      <c r="Q311" s="7"/>
      <c r="R311" s="7"/>
      <c r="S311" s="7"/>
      <c r="T311" s="7"/>
      <c r="U311" s="7"/>
      <c r="V311" s="7"/>
      <c r="W311" s="7"/>
      <c r="X311" s="7"/>
      <c r="Y311" s="7"/>
      <c r="Z311" s="7"/>
    </row>
    <row r="312" spans="1:26" ht="409.6" customHeight="1">
      <c r="A312" s="183"/>
      <c r="B312" s="183"/>
      <c r="P312" s="7"/>
      <c r="Q312" s="7"/>
      <c r="R312" s="7"/>
      <c r="S312" s="7"/>
      <c r="T312" s="7"/>
      <c r="U312" s="7"/>
      <c r="V312" s="7"/>
      <c r="W312" s="7"/>
      <c r="X312" s="7"/>
      <c r="Y312" s="7"/>
      <c r="Z312" s="7"/>
    </row>
    <row r="313" spans="1:26" ht="409.6" customHeight="1">
      <c r="A313" s="183"/>
      <c r="B313" s="183"/>
      <c r="P313" s="7"/>
      <c r="Q313" s="7"/>
      <c r="R313" s="7"/>
      <c r="S313" s="7"/>
      <c r="T313" s="7"/>
      <c r="U313" s="7"/>
      <c r="V313" s="7"/>
      <c r="W313" s="7"/>
      <c r="X313" s="7"/>
      <c r="Y313" s="7"/>
      <c r="Z313" s="7"/>
    </row>
    <row r="314" spans="1:26" ht="409.6" customHeight="1">
      <c r="A314" s="183"/>
      <c r="B314" s="183"/>
      <c r="P314" s="7"/>
      <c r="Q314" s="7"/>
      <c r="R314" s="7"/>
      <c r="S314" s="7"/>
      <c r="T314" s="7"/>
      <c r="U314" s="7"/>
      <c r="V314" s="7"/>
      <c r="W314" s="7"/>
      <c r="X314" s="7"/>
      <c r="Y314" s="7"/>
      <c r="Z314" s="7"/>
    </row>
    <row r="315" spans="1:26" ht="409.6" customHeight="1">
      <c r="A315" s="183"/>
      <c r="B315" s="183"/>
      <c r="P315" s="7"/>
      <c r="Q315" s="7"/>
      <c r="R315" s="7"/>
      <c r="S315" s="7"/>
      <c r="T315" s="7"/>
      <c r="U315" s="7"/>
      <c r="V315" s="7"/>
      <c r="W315" s="7"/>
      <c r="X315" s="7"/>
      <c r="Y315" s="7"/>
      <c r="Z315" s="7"/>
    </row>
    <row r="316" spans="1:26" ht="409.6" customHeight="1">
      <c r="A316" s="183"/>
      <c r="B316" s="183"/>
      <c r="P316" s="7"/>
      <c r="Q316" s="7"/>
      <c r="R316" s="7"/>
      <c r="S316" s="7"/>
      <c r="T316" s="7"/>
      <c r="U316" s="7"/>
      <c r="V316" s="7"/>
      <c r="W316" s="7"/>
      <c r="X316" s="7"/>
      <c r="Y316" s="7"/>
      <c r="Z316" s="7"/>
    </row>
    <row r="317" spans="1:26" ht="409.6" customHeight="1">
      <c r="A317" s="183"/>
      <c r="B317" s="183"/>
      <c r="P317" s="7"/>
      <c r="Q317" s="7"/>
      <c r="R317" s="7"/>
      <c r="S317" s="7"/>
      <c r="T317" s="7"/>
      <c r="U317" s="7"/>
      <c r="V317" s="7"/>
      <c r="W317" s="7"/>
      <c r="X317" s="7"/>
      <c r="Y317" s="7"/>
      <c r="Z317" s="7"/>
    </row>
    <row r="318" spans="1:26" ht="409.6" customHeight="1">
      <c r="A318" s="183"/>
      <c r="B318" s="183"/>
      <c r="P318" s="7"/>
      <c r="Q318" s="7"/>
      <c r="R318" s="7"/>
      <c r="S318" s="7"/>
      <c r="T318" s="7"/>
      <c r="U318" s="7"/>
      <c r="V318" s="7"/>
      <c r="W318" s="7"/>
      <c r="X318" s="7"/>
      <c r="Y318" s="7"/>
      <c r="Z318" s="7"/>
    </row>
    <row r="319" spans="1:26" ht="409.6" customHeight="1">
      <c r="A319" s="183"/>
      <c r="B319" s="183"/>
      <c r="P319" s="7"/>
      <c r="Q319" s="7"/>
      <c r="R319" s="7"/>
      <c r="S319" s="7"/>
      <c r="T319" s="7"/>
      <c r="U319" s="7"/>
      <c r="V319" s="7"/>
      <c r="W319" s="7"/>
      <c r="X319" s="7"/>
      <c r="Y319" s="7"/>
      <c r="Z319" s="7"/>
    </row>
    <row r="320" spans="1:26" ht="409.6" customHeight="1">
      <c r="A320" s="183"/>
      <c r="B320" s="183"/>
      <c r="P320" s="7"/>
      <c r="Q320" s="7"/>
      <c r="R320" s="7"/>
      <c r="S320" s="7"/>
      <c r="T320" s="7"/>
      <c r="U320" s="7"/>
      <c r="V320" s="7"/>
      <c r="W320" s="7"/>
      <c r="X320" s="7"/>
      <c r="Y320" s="7"/>
      <c r="Z320" s="7"/>
    </row>
    <row r="321" spans="1:26" ht="409.6" customHeight="1">
      <c r="A321" s="183"/>
      <c r="B321" s="183"/>
      <c r="P321" s="7"/>
      <c r="Q321" s="7"/>
      <c r="R321" s="7"/>
      <c r="S321" s="7"/>
      <c r="T321" s="7"/>
      <c r="U321" s="7"/>
      <c r="V321" s="7"/>
      <c r="W321" s="7"/>
      <c r="X321" s="7"/>
      <c r="Y321" s="7"/>
      <c r="Z321" s="7"/>
    </row>
    <row r="322" spans="1:26" ht="409.6" customHeight="1">
      <c r="A322" s="183"/>
      <c r="B322" s="183"/>
      <c r="P322" s="7"/>
      <c r="Q322" s="7"/>
      <c r="R322" s="7"/>
      <c r="S322" s="7"/>
      <c r="T322" s="7"/>
      <c r="U322" s="7"/>
      <c r="V322" s="7"/>
      <c r="W322" s="7"/>
      <c r="X322" s="7"/>
      <c r="Y322" s="7"/>
      <c r="Z322" s="7"/>
    </row>
    <row r="323" spans="1:26" ht="409.6" customHeight="1">
      <c r="A323" s="183"/>
      <c r="B323" s="183"/>
      <c r="P323" s="7"/>
      <c r="Q323" s="7"/>
      <c r="R323" s="7"/>
      <c r="S323" s="7"/>
      <c r="T323" s="7"/>
      <c r="U323" s="7"/>
      <c r="V323" s="7"/>
      <c r="W323" s="7"/>
      <c r="X323" s="7"/>
      <c r="Y323" s="7"/>
      <c r="Z323" s="7"/>
    </row>
    <row r="324" spans="1:26" ht="409.6" customHeight="1">
      <c r="A324" s="183"/>
      <c r="B324" s="183"/>
      <c r="P324" s="7"/>
      <c r="Q324" s="7"/>
      <c r="R324" s="7"/>
      <c r="S324" s="7"/>
      <c r="T324" s="7"/>
      <c r="U324" s="7"/>
      <c r="V324" s="7"/>
      <c r="W324" s="7"/>
      <c r="X324" s="7"/>
      <c r="Y324" s="7"/>
      <c r="Z324" s="7"/>
    </row>
    <row r="325" spans="1:26" ht="409.6" customHeight="1">
      <c r="A325" s="183"/>
      <c r="B325" s="183"/>
      <c r="P325" s="7"/>
      <c r="Q325" s="7"/>
      <c r="R325" s="7"/>
      <c r="S325" s="7"/>
      <c r="T325" s="7"/>
      <c r="U325" s="7"/>
      <c r="V325" s="7"/>
      <c r="W325" s="7"/>
      <c r="X325" s="7"/>
      <c r="Y325" s="7"/>
      <c r="Z325" s="7"/>
    </row>
    <row r="326" spans="1:26" ht="409.6" customHeight="1">
      <c r="A326" s="183"/>
      <c r="B326" s="183"/>
      <c r="P326" s="7"/>
      <c r="Q326" s="7"/>
      <c r="R326" s="7"/>
      <c r="S326" s="7"/>
      <c r="T326" s="7"/>
      <c r="U326" s="7"/>
      <c r="V326" s="7"/>
      <c r="W326" s="7"/>
      <c r="X326" s="7"/>
      <c r="Y326" s="7"/>
      <c r="Z326" s="7"/>
    </row>
    <row r="327" spans="1:26" ht="409.6" customHeight="1">
      <c r="A327" s="183"/>
      <c r="B327" s="183"/>
      <c r="P327" s="7"/>
      <c r="Q327" s="7"/>
      <c r="R327" s="7"/>
      <c r="S327" s="7"/>
      <c r="T327" s="7"/>
      <c r="U327" s="7"/>
      <c r="V327" s="7"/>
      <c r="W327" s="7"/>
      <c r="X327" s="7"/>
      <c r="Y327" s="7"/>
      <c r="Z327" s="7"/>
    </row>
    <row r="328" spans="1:26" ht="409.6" customHeight="1">
      <c r="A328" s="183"/>
      <c r="B328" s="183"/>
      <c r="P328" s="7"/>
      <c r="Q328" s="7"/>
      <c r="R328" s="7"/>
      <c r="S328" s="7"/>
      <c r="T328" s="7"/>
      <c r="U328" s="7"/>
      <c r="V328" s="7"/>
      <c r="W328" s="7"/>
      <c r="X328" s="7"/>
      <c r="Y328" s="7"/>
      <c r="Z328" s="7"/>
    </row>
    <row r="329" spans="1:26" ht="409.6" customHeight="1">
      <c r="A329" s="183"/>
      <c r="B329" s="183"/>
      <c r="P329" s="7"/>
      <c r="Q329" s="7"/>
      <c r="R329" s="7"/>
      <c r="S329" s="7"/>
      <c r="T329" s="7"/>
      <c r="U329" s="7"/>
      <c r="V329" s="7"/>
      <c r="W329" s="7"/>
      <c r="X329" s="7"/>
      <c r="Y329" s="7"/>
      <c r="Z329" s="7"/>
    </row>
    <row r="330" spans="1:26" ht="409.6" customHeight="1">
      <c r="A330" s="183"/>
      <c r="B330" s="183"/>
      <c r="P330" s="7"/>
      <c r="Q330" s="7"/>
      <c r="R330" s="7"/>
      <c r="S330" s="7"/>
      <c r="T330" s="7"/>
      <c r="U330" s="7"/>
      <c r="V330" s="7"/>
      <c r="W330" s="7"/>
      <c r="X330" s="7"/>
      <c r="Y330" s="7"/>
      <c r="Z330" s="7"/>
    </row>
    <row r="331" spans="1:26" ht="409.6" customHeight="1">
      <c r="A331" s="183"/>
      <c r="B331" s="183"/>
      <c r="P331" s="7"/>
      <c r="Q331" s="7"/>
      <c r="R331" s="7"/>
      <c r="S331" s="7"/>
      <c r="T331" s="7"/>
      <c r="U331" s="7"/>
      <c r="V331" s="7"/>
      <c r="W331" s="7"/>
      <c r="X331" s="7"/>
      <c r="Y331" s="7"/>
      <c r="Z331" s="7"/>
    </row>
    <row r="332" spans="1:26" ht="409.6" customHeight="1">
      <c r="A332" s="183"/>
      <c r="B332" s="183"/>
      <c r="P332" s="7"/>
      <c r="Q332" s="7"/>
      <c r="R332" s="7"/>
      <c r="S332" s="7"/>
      <c r="T332" s="7"/>
      <c r="U332" s="7"/>
      <c r="V332" s="7"/>
      <c r="W332" s="7"/>
      <c r="X332" s="7"/>
      <c r="Y332" s="7"/>
      <c r="Z332" s="7"/>
    </row>
    <row r="333" spans="1:26" ht="409.6" customHeight="1">
      <c r="A333" s="183"/>
      <c r="B333" s="183"/>
      <c r="P333" s="7"/>
      <c r="Q333" s="7"/>
      <c r="R333" s="7"/>
      <c r="S333" s="7"/>
      <c r="T333" s="7"/>
      <c r="U333" s="7"/>
      <c r="V333" s="7"/>
      <c r="W333" s="7"/>
      <c r="X333" s="7"/>
      <c r="Y333" s="7"/>
      <c r="Z333" s="7"/>
    </row>
    <row r="334" spans="1:26" ht="409.6" customHeight="1">
      <c r="A334" s="183"/>
      <c r="B334" s="183"/>
      <c r="P334" s="7"/>
      <c r="Q334" s="7"/>
      <c r="R334" s="7"/>
      <c r="S334" s="7"/>
      <c r="T334" s="7"/>
      <c r="U334" s="7"/>
      <c r="V334" s="7"/>
      <c r="W334" s="7"/>
      <c r="X334" s="7"/>
      <c r="Y334" s="7"/>
      <c r="Z334" s="7"/>
    </row>
    <row r="335" spans="1:26" ht="409.6" customHeight="1">
      <c r="A335" s="183"/>
      <c r="B335" s="183"/>
      <c r="P335" s="7"/>
      <c r="Q335" s="7"/>
      <c r="R335" s="7"/>
      <c r="S335" s="7"/>
      <c r="T335" s="7"/>
      <c r="U335" s="7"/>
      <c r="V335" s="7"/>
      <c r="W335" s="7"/>
      <c r="X335" s="7"/>
      <c r="Y335" s="7"/>
      <c r="Z335" s="7"/>
    </row>
    <row r="336" spans="1:26" ht="409.6" customHeight="1">
      <c r="A336" s="183"/>
      <c r="B336" s="183"/>
      <c r="P336" s="7"/>
      <c r="Q336" s="7"/>
      <c r="R336" s="7"/>
      <c r="S336" s="7"/>
      <c r="T336" s="7"/>
      <c r="U336" s="7"/>
      <c r="V336" s="7"/>
      <c r="W336" s="7"/>
      <c r="X336" s="7"/>
      <c r="Y336" s="7"/>
      <c r="Z336" s="7"/>
    </row>
    <row r="337" spans="1:26" ht="409.6" customHeight="1">
      <c r="A337" s="183"/>
      <c r="B337" s="183"/>
      <c r="P337" s="7"/>
      <c r="Q337" s="7"/>
      <c r="R337" s="7"/>
      <c r="S337" s="7"/>
      <c r="T337" s="7"/>
      <c r="U337" s="7"/>
      <c r="V337" s="7"/>
      <c r="W337" s="7"/>
      <c r="X337" s="7"/>
      <c r="Y337" s="7"/>
      <c r="Z337" s="7"/>
    </row>
    <row r="338" spans="1:26" ht="409.6" customHeight="1">
      <c r="A338" s="183"/>
      <c r="B338" s="183"/>
      <c r="P338" s="7"/>
      <c r="Q338" s="7"/>
      <c r="R338" s="7"/>
      <c r="S338" s="7"/>
      <c r="T338" s="7"/>
      <c r="U338" s="7"/>
      <c r="V338" s="7"/>
      <c r="W338" s="7"/>
      <c r="X338" s="7"/>
      <c r="Y338" s="7"/>
      <c r="Z338" s="7"/>
    </row>
    <row r="339" spans="1:26" ht="409.6" customHeight="1">
      <c r="A339" s="183"/>
      <c r="B339" s="183"/>
      <c r="P339" s="7"/>
      <c r="Q339" s="7"/>
      <c r="R339" s="7"/>
      <c r="S339" s="7"/>
      <c r="T339" s="7"/>
      <c r="U339" s="7"/>
      <c r="V339" s="7"/>
      <c r="W339" s="7"/>
      <c r="X339" s="7"/>
      <c r="Y339" s="7"/>
      <c r="Z339" s="7"/>
    </row>
    <row r="340" spans="1:26" ht="409.6" customHeight="1">
      <c r="A340" s="183"/>
      <c r="B340" s="183"/>
      <c r="P340" s="7"/>
      <c r="Q340" s="7"/>
      <c r="R340" s="7"/>
      <c r="S340" s="7"/>
      <c r="T340" s="7"/>
      <c r="U340" s="7"/>
      <c r="V340" s="7"/>
      <c r="W340" s="7"/>
      <c r="X340" s="7"/>
      <c r="Y340" s="7"/>
      <c r="Z340" s="7"/>
    </row>
    <row r="341" spans="1:26" ht="409.6" customHeight="1">
      <c r="A341" s="183"/>
      <c r="B341" s="183"/>
      <c r="P341" s="7"/>
      <c r="Q341" s="7"/>
      <c r="R341" s="7"/>
      <c r="S341" s="7"/>
      <c r="T341" s="7"/>
      <c r="U341" s="7"/>
      <c r="V341" s="7"/>
      <c r="W341" s="7"/>
      <c r="X341" s="7"/>
      <c r="Y341" s="7"/>
      <c r="Z341" s="7"/>
    </row>
    <row r="342" spans="1:26" ht="409.6" customHeight="1">
      <c r="A342" s="183"/>
      <c r="B342" s="183"/>
      <c r="P342" s="7"/>
      <c r="Q342" s="7"/>
      <c r="R342" s="7"/>
      <c r="S342" s="7"/>
      <c r="T342" s="7"/>
      <c r="U342" s="7"/>
      <c r="V342" s="7"/>
      <c r="W342" s="7"/>
      <c r="X342" s="7"/>
      <c r="Y342" s="7"/>
      <c r="Z342" s="7"/>
    </row>
    <row r="343" spans="1:26" ht="409.6" customHeight="1">
      <c r="A343" s="183"/>
      <c r="B343" s="183"/>
      <c r="P343" s="7"/>
      <c r="Q343" s="7"/>
      <c r="R343" s="7"/>
      <c r="S343" s="7"/>
      <c r="T343" s="7"/>
      <c r="U343" s="7"/>
      <c r="V343" s="7"/>
      <c r="W343" s="7"/>
      <c r="X343" s="7"/>
      <c r="Y343" s="7"/>
      <c r="Z343" s="7"/>
    </row>
    <row r="344" spans="1:26" ht="409.6" customHeight="1">
      <c r="A344" s="183"/>
      <c r="B344" s="183"/>
      <c r="P344" s="7"/>
      <c r="Q344" s="7"/>
      <c r="R344" s="7"/>
      <c r="S344" s="7"/>
      <c r="T344" s="7"/>
      <c r="U344" s="7"/>
      <c r="V344" s="7"/>
      <c r="W344" s="7"/>
      <c r="X344" s="7"/>
      <c r="Y344" s="7"/>
      <c r="Z344" s="7"/>
    </row>
    <row r="345" spans="1:26" ht="409.6" customHeight="1">
      <c r="A345" s="183"/>
      <c r="B345" s="183"/>
      <c r="P345" s="7"/>
      <c r="Q345" s="7"/>
      <c r="R345" s="7"/>
      <c r="S345" s="7"/>
      <c r="T345" s="7"/>
      <c r="U345" s="7"/>
      <c r="V345" s="7"/>
      <c r="W345" s="7"/>
      <c r="X345" s="7"/>
      <c r="Y345" s="7"/>
      <c r="Z345" s="7"/>
    </row>
    <row r="346" spans="1:26" ht="409.6" customHeight="1">
      <c r="A346" s="183"/>
      <c r="B346" s="183"/>
      <c r="P346" s="7"/>
      <c r="Q346" s="7"/>
      <c r="R346" s="7"/>
      <c r="S346" s="7"/>
      <c r="T346" s="7"/>
      <c r="U346" s="7"/>
      <c r="V346" s="7"/>
      <c r="W346" s="7"/>
      <c r="X346" s="7"/>
      <c r="Y346" s="7"/>
      <c r="Z346" s="7"/>
    </row>
    <row r="347" spans="1:26" ht="409.6" customHeight="1">
      <c r="A347" s="183"/>
      <c r="B347" s="183"/>
      <c r="P347" s="7"/>
      <c r="Q347" s="7"/>
      <c r="R347" s="7"/>
      <c r="S347" s="7"/>
      <c r="T347" s="7"/>
      <c r="U347" s="7"/>
      <c r="V347" s="7"/>
      <c r="W347" s="7"/>
      <c r="X347" s="7"/>
      <c r="Y347" s="7"/>
      <c r="Z347" s="7"/>
    </row>
    <row r="348" spans="1:26" ht="409.6" customHeight="1">
      <c r="A348" s="183"/>
      <c r="B348" s="183"/>
      <c r="P348" s="7"/>
      <c r="Q348" s="7"/>
      <c r="R348" s="7"/>
      <c r="S348" s="7"/>
      <c r="T348" s="7"/>
      <c r="U348" s="7"/>
      <c r="V348" s="7"/>
      <c r="W348" s="7"/>
      <c r="X348" s="7"/>
      <c r="Y348" s="7"/>
      <c r="Z348" s="7"/>
    </row>
    <row r="349" spans="1:26" ht="409.6" customHeight="1">
      <c r="A349" s="183"/>
      <c r="B349" s="183"/>
      <c r="P349" s="7"/>
      <c r="Q349" s="7"/>
      <c r="R349" s="7"/>
      <c r="S349" s="7"/>
      <c r="T349" s="7"/>
      <c r="U349" s="7"/>
      <c r="V349" s="7"/>
      <c r="W349" s="7"/>
      <c r="X349" s="7"/>
      <c r="Y349" s="7"/>
      <c r="Z349" s="7"/>
    </row>
    <row r="350" spans="1:26" ht="409.6" customHeight="1">
      <c r="A350" s="183"/>
      <c r="B350" s="183"/>
      <c r="P350" s="7"/>
      <c r="Q350" s="7"/>
      <c r="R350" s="7"/>
      <c r="S350" s="7"/>
      <c r="T350" s="7"/>
      <c r="U350" s="7"/>
      <c r="V350" s="7"/>
      <c r="W350" s="7"/>
      <c r="X350" s="7"/>
      <c r="Y350" s="7"/>
      <c r="Z350" s="7"/>
    </row>
    <row r="351" spans="1:26" ht="409.6" customHeight="1">
      <c r="A351" s="183"/>
      <c r="B351" s="183"/>
      <c r="P351" s="7"/>
      <c r="Q351" s="7"/>
      <c r="R351" s="7"/>
      <c r="S351" s="7"/>
      <c r="T351" s="7"/>
      <c r="U351" s="7"/>
      <c r="V351" s="7"/>
      <c r="W351" s="7"/>
      <c r="X351" s="7"/>
      <c r="Y351" s="7"/>
      <c r="Z351" s="7"/>
    </row>
    <row r="352" spans="1:26" ht="409.6" customHeight="1">
      <c r="A352" s="183"/>
      <c r="B352" s="183"/>
      <c r="P352" s="7"/>
      <c r="Q352" s="7"/>
      <c r="R352" s="7"/>
      <c r="S352" s="7"/>
      <c r="T352" s="7"/>
      <c r="U352" s="7"/>
      <c r="V352" s="7"/>
      <c r="W352" s="7"/>
      <c r="X352" s="7"/>
      <c r="Y352" s="7"/>
      <c r="Z352" s="7"/>
    </row>
    <row r="353" spans="1:26" ht="409.6" customHeight="1">
      <c r="A353" s="183"/>
      <c r="B353" s="183"/>
      <c r="P353" s="7"/>
      <c r="Q353" s="7"/>
      <c r="R353" s="7"/>
      <c r="S353" s="7"/>
      <c r="T353" s="7"/>
      <c r="U353" s="7"/>
      <c r="V353" s="7"/>
      <c r="W353" s="7"/>
      <c r="X353" s="7"/>
      <c r="Y353" s="7"/>
      <c r="Z353" s="7"/>
    </row>
    <row r="354" spans="1:26" ht="409.6" customHeight="1">
      <c r="A354" s="183"/>
      <c r="B354" s="183"/>
      <c r="P354" s="7"/>
      <c r="Q354" s="7"/>
      <c r="R354" s="7"/>
      <c r="S354" s="7"/>
      <c r="T354" s="7"/>
      <c r="U354" s="7"/>
      <c r="V354" s="7"/>
      <c r="W354" s="7"/>
      <c r="X354" s="7"/>
      <c r="Y354" s="7"/>
      <c r="Z354" s="7"/>
    </row>
    <row r="355" spans="1:26" ht="409.6" customHeight="1">
      <c r="A355" s="183"/>
      <c r="B355" s="183"/>
      <c r="P355" s="7"/>
      <c r="Q355" s="7"/>
      <c r="R355" s="7"/>
      <c r="S355" s="7"/>
      <c r="T355" s="7"/>
      <c r="U355" s="7"/>
      <c r="V355" s="7"/>
      <c r="W355" s="7"/>
      <c r="X355" s="7"/>
      <c r="Y355" s="7"/>
      <c r="Z355" s="7"/>
    </row>
    <row r="356" spans="1:26" ht="409.6" customHeight="1">
      <c r="A356" s="183"/>
      <c r="B356" s="183"/>
      <c r="P356" s="7"/>
      <c r="Q356" s="7"/>
      <c r="R356" s="7"/>
      <c r="S356" s="7"/>
      <c r="T356" s="7"/>
      <c r="U356" s="7"/>
      <c r="V356" s="7"/>
      <c r="W356" s="7"/>
      <c r="X356" s="7"/>
      <c r="Y356" s="7"/>
      <c r="Z356" s="7"/>
    </row>
    <row r="357" spans="1:26" ht="409.6" customHeight="1">
      <c r="A357" s="183"/>
      <c r="B357" s="183"/>
      <c r="P357" s="7"/>
      <c r="Q357" s="7"/>
      <c r="R357" s="7"/>
      <c r="S357" s="7"/>
      <c r="T357" s="7"/>
      <c r="U357" s="7"/>
      <c r="V357" s="7"/>
      <c r="W357" s="7"/>
      <c r="X357" s="7"/>
      <c r="Y357" s="7"/>
      <c r="Z357" s="7"/>
    </row>
    <row r="358" spans="1:26" ht="409.6" customHeight="1">
      <c r="A358" s="183"/>
      <c r="B358" s="183"/>
      <c r="P358" s="7"/>
      <c r="Q358" s="7"/>
      <c r="R358" s="7"/>
      <c r="S358" s="7"/>
      <c r="T358" s="7"/>
      <c r="U358" s="7"/>
      <c r="V358" s="7"/>
      <c r="W358" s="7"/>
      <c r="X358" s="7"/>
      <c r="Y358" s="7"/>
      <c r="Z358" s="7"/>
    </row>
    <row r="359" spans="1:26" ht="409.6" customHeight="1">
      <c r="A359" s="183"/>
      <c r="B359" s="183"/>
      <c r="P359" s="7"/>
      <c r="Q359" s="7"/>
      <c r="R359" s="7"/>
      <c r="S359" s="7"/>
      <c r="T359" s="7"/>
      <c r="U359" s="7"/>
      <c r="V359" s="7"/>
      <c r="W359" s="7"/>
      <c r="X359" s="7"/>
      <c r="Y359" s="7"/>
      <c r="Z359" s="7"/>
    </row>
    <row r="360" spans="1:26" ht="409.6" customHeight="1">
      <c r="A360" s="183"/>
      <c r="B360" s="183"/>
      <c r="P360" s="7"/>
      <c r="Q360" s="7"/>
      <c r="R360" s="7"/>
      <c r="S360" s="7"/>
      <c r="T360" s="7"/>
      <c r="U360" s="7"/>
      <c r="V360" s="7"/>
      <c r="W360" s="7"/>
      <c r="X360" s="7"/>
      <c r="Y360" s="7"/>
      <c r="Z360" s="7"/>
    </row>
    <row r="361" spans="1:26" ht="409.6" customHeight="1">
      <c r="A361" s="183"/>
      <c r="B361" s="183"/>
      <c r="P361" s="7"/>
      <c r="Q361" s="7"/>
      <c r="R361" s="7"/>
      <c r="S361" s="7"/>
      <c r="T361" s="7"/>
      <c r="U361" s="7"/>
      <c r="V361" s="7"/>
      <c r="W361" s="7"/>
      <c r="X361" s="7"/>
      <c r="Y361" s="7"/>
      <c r="Z361" s="7"/>
    </row>
    <row r="362" spans="1:26" ht="409.6" customHeight="1">
      <c r="A362" s="183"/>
      <c r="B362" s="183"/>
      <c r="P362" s="7"/>
      <c r="Q362" s="7"/>
      <c r="R362" s="7"/>
      <c r="S362" s="7"/>
      <c r="T362" s="7"/>
      <c r="U362" s="7"/>
      <c r="V362" s="7"/>
      <c r="W362" s="7"/>
      <c r="X362" s="7"/>
      <c r="Y362" s="7"/>
      <c r="Z362" s="7"/>
    </row>
    <row r="363" spans="1:26" ht="409.6" customHeight="1">
      <c r="A363" s="183"/>
      <c r="B363" s="183"/>
      <c r="P363" s="7"/>
      <c r="Q363" s="7"/>
      <c r="R363" s="7"/>
      <c r="S363" s="7"/>
      <c r="T363" s="7"/>
      <c r="U363" s="7"/>
      <c r="V363" s="7"/>
      <c r="W363" s="7"/>
      <c r="X363" s="7"/>
      <c r="Y363" s="7"/>
      <c r="Z363" s="7"/>
    </row>
    <row r="364" spans="1:26" ht="409.6" customHeight="1">
      <c r="A364" s="183"/>
      <c r="B364" s="183"/>
      <c r="P364" s="7"/>
      <c r="Q364" s="7"/>
      <c r="R364" s="7"/>
      <c r="S364" s="7"/>
      <c r="T364" s="7"/>
      <c r="U364" s="7"/>
      <c r="V364" s="7"/>
      <c r="W364" s="7"/>
      <c r="X364" s="7"/>
      <c r="Y364" s="7"/>
      <c r="Z364" s="7"/>
    </row>
    <row r="365" spans="1:26" ht="409.6" customHeight="1">
      <c r="A365" s="183"/>
      <c r="B365" s="183"/>
      <c r="P365" s="7"/>
      <c r="Q365" s="7"/>
      <c r="R365" s="7"/>
      <c r="S365" s="7"/>
      <c r="T365" s="7"/>
      <c r="U365" s="7"/>
      <c r="V365" s="7"/>
      <c r="W365" s="7"/>
      <c r="X365" s="7"/>
      <c r="Y365" s="7"/>
      <c r="Z365" s="7"/>
    </row>
    <row r="366" spans="1:26" ht="409.6" customHeight="1">
      <c r="A366" s="183"/>
      <c r="B366" s="183"/>
      <c r="P366" s="7"/>
      <c r="Q366" s="7"/>
      <c r="R366" s="7"/>
      <c r="S366" s="7"/>
      <c r="T366" s="7"/>
      <c r="U366" s="7"/>
      <c r="V366" s="7"/>
      <c r="W366" s="7"/>
      <c r="X366" s="7"/>
      <c r="Y366" s="7"/>
      <c r="Z366" s="7"/>
    </row>
    <row r="367" spans="1:26" ht="409.6" customHeight="1">
      <c r="A367" s="183"/>
      <c r="B367" s="183"/>
      <c r="P367" s="7"/>
      <c r="Q367" s="7"/>
      <c r="R367" s="7"/>
      <c r="S367" s="7"/>
      <c r="T367" s="7"/>
      <c r="U367" s="7"/>
      <c r="V367" s="7"/>
      <c r="W367" s="7"/>
      <c r="X367" s="7"/>
      <c r="Y367" s="7"/>
      <c r="Z367" s="7"/>
    </row>
    <row r="368" spans="1:26" ht="409.6" customHeight="1">
      <c r="A368" s="183"/>
      <c r="B368" s="183"/>
      <c r="P368" s="7"/>
      <c r="Q368" s="7"/>
      <c r="R368" s="7"/>
      <c r="S368" s="7"/>
      <c r="T368" s="7"/>
      <c r="U368" s="7"/>
      <c r="V368" s="7"/>
      <c r="W368" s="7"/>
      <c r="X368" s="7"/>
      <c r="Y368" s="7"/>
      <c r="Z368" s="7"/>
    </row>
    <row r="369" spans="1:26" ht="409.6" customHeight="1">
      <c r="A369" s="183"/>
      <c r="B369" s="183"/>
      <c r="P369" s="7"/>
      <c r="Q369" s="7"/>
      <c r="R369" s="7"/>
      <c r="S369" s="7"/>
      <c r="T369" s="7"/>
      <c r="U369" s="7"/>
      <c r="V369" s="7"/>
      <c r="W369" s="7"/>
      <c r="X369" s="7"/>
      <c r="Y369" s="7"/>
      <c r="Z369" s="7"/>
    </row>
    <row r="370" spans="1:26" ht="409.6" customHeight="1">
      <c r="A370" s="183"/>
      <c r="B370" s="183"/>
      <c r="P370" s="7"/>
      <c r="Q370" s="7"/>
      <c r="R370" s="7"/>
      <c r="S370" s="7"/>
      <c r="T370" s="7"/>
      <c r="U370" s="7"/>
      <c r="V370" s="7"/>
      <c r="W370" s="7"/>
      <c r="X370" s="7"/>
      <c r="Y370" s="7"/>
      <c r="Z370" s="7"/>
    </row>
    <row r="371" spans="1:26" ht="409.6" customHeight="1">
      <c r="A371" s="183"/>
      <c r="B371" s="183"/>
      <c r="P371" s="7"/>
      <c r="Q371" s="7"/>
      <c r="R371" s="7"/>
      <c r="S371" s="7"/>
      <c r="T371" s="7"/>
      <c r="U371" s="7"/>
      <c r="V371" s="7"/>
      <c r="W371" s="7"/>
      <c r="X371" s="7"/>
      <c r="Y371" s="7"/>
      <c r="Z371" s="7"/>
    </row>
    <row r="372" spans="1:26" ht="409.6" customHeight="1">
      <c r="A372" s="183"/>
      <c r="B372" s="183"/>
      <c r="P372" s="7"/>
      <c r="Q372" s="7"/>
      <c r="R372" s="7"/>
      <c r="S372" s="7"/>
      <c r="T372" s="7"/>
      <c r="U372" s="7"/>
      <c r="V372" s="7"/>
      <c r="W372" s="7"/>
      <c r="X372" s="7"/>
      <c r="Y372" s="7"/>
      <c r="Z372" s="7"/>
    </row>
    <row r="373" spans="1:26" ht="409.6" customHeight="1">
      <c r="A373" s="183"/>
      <c r="B373" s="183"/>
      <c r="P373" s="7"/>
      <c r="Q373" s="7"/>
      <c r="R373" s="7"/>
      <c r="S373" s="7"/>
      <c r="T373" s="7"/>
      <c r="U373" s="7"/>
      <c r="V373" s="7"/>
      <c r="W373" s="7"/>
      <c r="X373" s="7"/>
      <c r="Y373" s="7"/>
      <c r="Z373" s="7"/>
    </row>
    <row r="374" spans="1:2" ht="12.75">
      <c r="A374" s="183"/>
      <c r="B374" s="183"/>
    </row>
    <row r="375" spans="1:2" ht="12.75">
      <c r="A375" s="183"/>
      <c r="B375" s="183"/>
    </row>
    <row r="376" spans="1:2" ht="12.75">
      <c r="A376" s="183"/>
      <c r="B376" s="183"/>
    </row>
    <row r="377" spans="1:2" ht="12.75">
      <c r="A377" s="183"/>
      <c r="B377" s="183"/>
    </row>
    <row r="378" spans="1:2" ht="12.75">
      <c r="A378" s="183"/>
      <c r="B378" s="183"/>
    </row>
    <row r="379" spans="1:2" ht="12.75">
      <c r="A379" s="183"/>
      <c r="B379" s="183"/>
    </row>
    <row r="380" spans="1:2" ht="12.75">
      <c r="A380" s="183"/>
      <c r="B380" s="183"/>
    </row>
    <row r="381" spans="1:2" ht="12.75">
      <c r="A381" s="183"/>
      <c r="B381" s="183"/>
    </row>
    <row r="382" spans="1:2" ht="12.75">
      <c r="A382" s="183"/>
      <c r="B382" s="183"/>
    </row>
    <row r="383" spans="1:2" ht="12.75">
      <c r="A383" s="183"/>
      <c r="B383" s="183"/>
    </row>
    <row r="384" spans="1:2" ht="12.75">
      <c r="A384" s="183"/>
      <c r="B384" s="183"/>
    </row>
    <row r="385" spans="1:2" ht="12.75">
      <c r="A385" s="183"/>
      <c r="B385" s="183"/>
    </row>
    <row r="386" spans="1:2" ht="12.75">
      <c r="A386" s="183"/>
      <c r="B386" s="183"/>
    </row>
    <row r="387" spans="1:2" ht="12.75">
      <c r="A387" s="183"/>
      <c r="B387" s="183"/>
    </row>
    <row r="388" spans="1:2" ht="12.75">
      <c r="A388" s="183"/>
      <c r="B388" s="183"/>
    </row>
    <row r="389" spans="1:2" ht="12.75">
      <c r="A389" s="183"/>
      <c r="B389" s="183"/>
    </row>
    <row r="390" spans="1:2" ht="12.75">
      <c r="A390" s="183"/>
      <c r="B390" s="183"/>
    </row>
    <row r="391" spans="1:2" ht="12.75">
      <c r="A391" s="183"/>
      <c r="B391" s="183"/>
    </row>
    <row r="392" spans="1:2" ht="12.75">
      <c r="A392" s="183"/>
      <c r="B392" s="183"/>
    </row>
    <row r="393" spans="1:2" ht="12.75">
      <c r="A393" s="183"/>
      <c r="B393" s="183"/>
    </row>
    <row r="394" spans="1:2" ht="12.75">
      <c r="A394" s="183"/>
      <c r="B394" s="183"/>
    </row>
    <row r="395" spans="1:2" ht="12.75">
      <c r="A395" s="183"/>
      <c r="B395" s="183"/>
    </row>
    <row r="396" spans="1:2" ht="12.75">
      <c r="A396" s="183"/>
      <c r="B396" s="183"/>
    </row>
    <row r="397" spans="1:2" ht="12.75">
      <c r="A397" s="183"/>
      <c r="B397" s="183"/>
    </row>
    <row r="398" spans="1:2" ht="12.75">
      <c r="A398" s="183"/>
      <c r="B398" s="183"/>
    </row>
    <row r="399" spans="1:2" ht="12.75">
      <c r="A399" s="183"/>
      <c r="B399" s="183"/>
    </row>
    <row r="400" spans="1:2" ht="12.75">
      <c r="A400" s="183"/>
      <c r="B400" s="183"/>
    </row>
    <row r="401" spans="1:2" ht="12.75">
      <c r="A401" s="183"/>
      <c r="B401" s="183"/>
    </row>
    <row r="402" spans="1:2" ht="12.75">
      <c r="A402" s="183"/>
      <c r="B402" s="183"/>
    </row>
    <row r="403" spans="1:2" ht="12.75">
      <c r="A403" s="183"/>
      <c r="B403" s="183"/>
    </row>
    <row r="404" spans="1:2" ht="12.75">
      <c r="A404" s="183"/>
      <c r="B404" s="183"/>
    </row>
    <row r="405" spans="1:2" ht="12.75">
      <c r="A405" s="183"/>
      <c r="B405" s="183"/>
    </row>
    <row r="406" spans="1:2" ht="12.75">
      <c r="A406" s="183"/>
      <c r="B406" s="183"/>
    </row>
    <row r="407" spans="1:2" ht="12.75">
      <c r="A407" s="183"/>
      <c r="B407" s="183"/>
    </row>
    <row r="408" spans="1:2" ht="12.75">
      <c r="A408" s="183"/>
      <c r="B408" s="183"/>
    </row>
    <row r="409" spans="1:2" ht="12.75">
      <c r="A409" s="183"/>
      <c r="B409" s="183"/>
    </row>
    <row r="410" spans="1:2" ht="12.75">
      <c r="A410" s="183"/>
      <c r="B410" s="183"/>
    </row>
    <row r="411" spans="1:2" ht="12.75">
      <c r="A411" s="183"/>
      <c r="B411" s="183"/>
    </row>
    <row r="412" spans="1:2" ht="12.75">
      <c r="A412" s="183"/>
      <c r="B412" s="183"/>
    </row>
    <row r="413" spans="1:2" ht="12.75">
      <c r="A413" s="183"/>
      <c r="B413" s="183"/>
    </row>
    <row r="414" spans="1:2" ht="12.75">
      <c r="A414" s="183"/>
      <c r="B414" s="183"/>
    </row>
    <row r="415" spans="1:2" ht="12.75">
      <c r="A415" s="183"/>
      <c r="B415" s="183"/>
    </row>
    <row r="416" spans="1:2" ht="12.75">
      <c r="A416" s="183"/>
      <c r="B416" s="183"/>
    </row>
    <row r="417" spans="1:2" ht="12.75">
      <c r="A417" s="183"/>
      <c r="B417" s="183"/>
    </row>
    <row r="418" spans="1:2" ht="12.75">
      <c r="A418" s="183"/>
      <c r="B418" s="183"/>
    </row>
    <row r="419" spans="1:2" ht="12.75">
      <c r="A419" s="183"/>
      <c r="B419" s="183"/>
    </row>
    <row r="420" spans="1:2" ht="12.75">
      <c r="A420" s="183"/>
      <c r="B420" s="183"/>
    </row>
    <row r="421" spans="1:2" ht="12.75">
      <c r="A421" s="183"/>
      <c r="B421" s="183"/>
    </row>
    <row r="422" spans="1:2" ht="12.75">
      <c r="A422" s="183"/>
      <c r="B422" s="183"/>
    </row>
    <row r="423" spans="1:2" ht="12.75">
      <c r="A423" s="183"/>
      <c r="B423" s="183"/>
    </row>
    <row r="424" spans="1:2" ht="12.75">
      <c r="A424" s="183"/>
      <c r="B424" s="183"/>
    </row>
    <row r="425" spans="1:2" ht="12.75">
      <c r="A425" s="183"/>
      <c r="B425" s="183"/>
    </row>
    <row r="426" spans="1:2" ht="12.75">
      <c r="A426" s="183"/>
      <c r="B426" s="183"/>
    </row>
    <row r="427" spans="1:2" ht="12.75">
      <c r="A427" s="183"/>
      <c r="B427" s="183"/>
    </row>
    <row r="428" spans="1:2" ht="12.75">
      <c r="A428" s="183"/>
      <c r="B428" s="183"/>
    </row>
    <row r="429" spans="1:2" ht="12.75">
      <c r="A429" s="183"/>
      <c r="B429" s="183"/>
    </row>
    <row r="430" spans="1:2" ht="12.75">
      <c r="A430" s="183"/>
      <c r="B430" s="183"/>
    </row>
    <row r="431" spans="1:2" ht="12.75">
      <c r="A431" s="183"/>
      <c r="B431" s="183"/>
    </row>
    <row r="432" spans="1:2" ht="12.75">
      <c r="A432" s="183"/>
      <c r="B432" s="183"/>
    </row>
    <row r="433" spans="1:2" ht="12.75">
      <c r="A433" s="183"/>
      <c r="B433" s="183"/>
    </row>
    <row r="434" spans="1:2" ht="12.75">
      <c r="A434" s="183"/>
      <c r="B434" s="183"/>
    </row>
    <row r="435" spans="1:2" ht="12.75">
      <c r="A435" s="183"/>
      <c r="B435" s="183"/>
    </row>
    <row r="436" spans="1:2" ht="12.75">
      <c r="A436" s="183"/>
      <c r="B436" s="183"/>
    </row>
    <row r="437" spans="1:2" ht="12.75">
      <c r="A437" s="183"/>
      <c r="B437" s="183"/>
    </row>
    <row r="438" spans="1:2" ht="12.75">
      <c r="A438" s="183"/>
      <c r="B438" s="183"/>
    </row>
    <row r="439" spans="1:2" ht="12.75">
      <c r="A439" s="183"/>
      <c r="B439" s="183"/>
    </row>
    <row r="440" spans="1:2" ht="12.75">
      <c r="A440" s="183"/>
      <c r="B440" s="183"/>
    </row>
    <row r="441" spans="1:2" ht="12.75">
      <c r="A441" s="183"/>
      <c r="B441" s="183"/>
    </row>
    <row r="442" spans="1:2" ht="12.75">
      <c r="A442" s="183"/>
      <c r="B442" s="183"/>
    </row>
    <row r="443" spans="1:2" ht="12.75">
      <c r="A443" s="183"/>
      <c r="B443" s="183"/>
    </row>
    <row r="444" spans="1:2" ht="12.75">
      <c r="A444" s="183"/>
      <c r="B444" s="183"/>
    </row>
    <row r="445" spans="1:2" ht="12.75">
      <c r="A445" s="183"/>
      <c r="B445" s="183"/>
    </row>
    <row r="446" spans="1:2" ht="12.75">
      <c r="A446" s="183"/>
      <c r="B446" s="183"/>
    </row>
    <row r="447" spans="1:2" ht="12.75">
      <c r="A447" s="183"/>
      <c r="B447" s="183"/>
    </row>
    <row r="448" spans="1:2" ht="12.75">
      <c r="A448" s="183"/>
      <c r="B448" s="183"/>
    </row>
    <row r="449" ht="12.75">
      <c r="A449" s="183"/>
    </row>
    <row r="450" ht="12.75">
      <c r="A450" s="183"/>
    </row>
    <row r="451" ht="12.75">
      <c r="A451" s="183"/>
    </row>
    <row r="452" ht="12.75">
      <c r="A452" s="183"/>
    </row>
    <row r="453" ht="12.75">
      <c r="A453" s="183"/>
    </row>
    <row r="454" ht="12.75">
      <c r="A454" s="183"/>
    </row>
    <row r="455" ht="12.75">
      <c r="A455" s="183"/>
    </row>
    <row r="456" ht="12.75">
      <c r="A456" s="183"/>
    </row>
    <row r="457" ht="12.75">
      <c r="A457" s="183"/>
    </row>
    <row r="458" ht="12.75">
      <c r="A458" s="183"/>
    </row>
    <row r="459" ht="12.75">
      <c r="A459" s="183"/>
    </row>
    <row r="460" ht="12.75">
      <c r="A460" s="183"/>
    </row>
    <row r="461" ht="12.75">
      <c r="A461" s="183"/>
    </row>
  </sheetData>
  <sheetProtection algorithmName="SHA-512" hashValue="6ziBOX5xuQ26cg7Pe1lw+sYSLGklvHi5wI2oXG8W9eqsObMAFO+DF9PbPAAatWjb5FZiRzVp/QWFFSk14sAe3Q==" saltValue="Et2/HmgnhLTB3LZpSNWcgA==" spinCount="100000" sheet="1" objects="1" scenarios="1" selectLockedCells="1" selectUnlockedCells="1"/>
  <mergeCells count="3">
    <mergeCell ref="J5:L5"/>
    <mergeCell ref="D5:F5"/>
    <mergeCell ref="G5:I5"/>
  </mergeCells>
  <hyperlinks>
    <hyperlink ref="C124" r:id="rId1" display="N-(3-Aminopropyl)-N-dodecylpropane-1,3-diamine"/>
    <hyperlink ref="C152" r:id="rId2" display="H2O2"/>
  </hyperlinks>
  <printOptions/>
  <pageMargins left="0.787401575" right="0.787401575" top="0.984251969" bottom="0.984251969" header="0.4921259845" footer="0.4921259845"/>
  <pageSetup orientation="portrait" paperSize="9"/>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M776"/>
  <sheetViews>
    <sheetView zoomScaleSheetLayoutView="100" workbookViewId="0" topLeftCell="B673">
      <selection activeCell="C444" sqref="C444"/>
    </sheetView>
  </sheetViews>
  <sheetFormatPr defaultColWidth="11.421875" defaultRowHeight="12.75"/>
  <cols>
    <col min="1" max="1" width="40.00390625" style="497" customWidth="1"/>
    <col min="2" max="2" width="71.421875" style="497" customWidth="1"/>
    <col min="3" max="3" width="80.421875" style="764" customWidth="1"/>
    <col min="4" max="16384" width="11.421875" style="497" customWidth="1"/>
  </cols>
  <sheetData>
    <row r="1" spans="2:3" ht="12.75">
      <c r="B1" s="767"/>
      <c r="C1" s="577"/>
    </row>
    <row r="2" spans="2:3" ht="12.75">
      <c r="B2" s="767"/>
      <c r="C2" s="577"/>
    </row>
    <row r="3" spans="1:3" ht="13">
      <c r="A3" s="768" t="s">
        <v>130</v>
      </c>
      <c r="B3" s="769" t="s">
        <v>149</v>
      </c>
      <c r="C3" s="821" t="s">
        <v>979</v>
      </c>
    </row>
    <row r="4" spans="1:3" ht="12.75">
      <c r="A4" s="770" t="s">
        <v>486</v>
      </c>
      <c r="B4" s="767" t="s">
        <v>758</v>
      </c>
      <c r="C4" s="577" t="s">
        <v>980</v>
      </c>
    </row>
    <row r="5" spans="1:3" ht="12.75">
      <c r="A5" s="770" t="s">
        <v>857</v>
      </c>
      <c r="B5" s="767" t="s">
        <v>858</v>
      </c>
      <c r="C5" s="577" t="s">
        <v>988</v>
      </c>
    </row>
    <row r="6" spans="1:3" ht="12.75">
      <c r="A6" s="770" t="s">
        <v>484</v>
      </c>
      <c r="B6" s="767" t="s">
        <v>485</v>
      </c>
      <c r="C6" s="577" t="s">
        <v>981</v>
      </c>
    </row>
    <row r="7" spans="1:3" ht="12.75">
      <c r="A7" s="770" t="s">
        <v>150</v>
      </c>
      <c r="B7" s="767" t="s">
        <v>151</v>
      </c>
      <c r="C7" s="775" t="s">
        <v>1043</v>
      </c>
    </row>
    <row r="8" spans="1:3" ht="12.75">
      <c r="A8" s="770" t="s">
        <v>8</v>
      </c>
      <c r="B8" s="767" t="s">
        <v>152</v>
      </c>
      <c r="C8" s="577" t="s">
        <v>982</v>
      </c>
    </row>
    <row r="9" spans="1:3" ht="12.75">
      <c r="A9" s="770" t="s">
        <v>11</v>
      </c>
      <c r="B9" s="767" t="s">
        <v>11</v>
      </c>
      <c r="C9" s="775" t="s">
        <v>1044</v>
      </c>
    </row>
    <row r="10" spans="1:3" ht="12.75">
      <c r="A10" s="770" t="s">
        <v>1</v>
      </c>
      <c r="B10" s="772" t="s">
        <v>158</v>
      </c>
      <c r="C10" s="784" t="s">
        <v>1</v>
      </c>
    </row>
    <row r="11" spans="1:3" ht="12.75">
      <c r="A11" s="770" t="s">
        <v>0</v>
      </c>
      <c r="B11" s="767" t="s">
        <v>159</v>
      </c>
      <c r="C11" s="784" t="s">
        <v>1197</v>
      </c>
    </row>
    <row r="12" spans="1:3" ht="12.75">
      <c r="A12" s="770" t="s">
        <v>3</v>
      </c>
      <c r="B12" s="767" t="s">
        <v>160</v>
      </c>
      <c r="C12" s="577" t="s">
        <v>1298</v>
      </c>
    </row>
    <row r="13" spans="1:3" ht="12.75">
      <c r="A13" s="770" t="s">
        <v>800</v>
      </c>
      <c r="B13" s="767" t="s">
        <v>801</v>
      </c>
      <c r="C13" s="577" t="s">
        <v>983</v>
      </c>
    </row>
    <row r="14" spans="1:3" ht="12.75">
      <c r="A14" s="770" t="s">
        <v>139</v>
      </c>
      <c r="B14" s="767" t="s">
        <v>161</v>
      </c>
      <c r="C14" s="775" t="s">
        <v>1268</v>
      </c>
    </row>
    <row r="15" spans="1:3" ht="12.75">
      <c r="A15" s="770" t="s">
        <v>341</v>
      </c>
      <c r="B15" s="767" t="s">
        <v>383</v>
      </c>
      <c r="C15" s="577" t="s">
        <v>989</v>
      </c>
    </row>
    <row r="16" spans="1:3" ht="25">
      <c r="A16" s="773" t="s">
        <v>12</v>
      </c>
      <c r="B16" s="767" t="s">
        <v>153</v>
      </c>
      <c r="C16" s="774" t="s">
        <v>1208</v>
      </c>
    </row>
    <row r="17" spans="1:3" ht="25">
      <c r="A17" s="770" t="s">
        <v>135</v>
      </c>
      <c r="B17" s="767" t="s">
        <v>154</v>
      </c>
      <c r="C17" s="577" t="s">
        <v>1295</v>
      </c>
    </row>
    <row r="18" spans="1:3" ht="12.75">
      <c r="A18" s="770" t="s">
        <v>6</v>
      </c>
      <c r="B18" s="767" t="s">
        <v>155</v>
      </c>
      <c r="C18" s="577" t="s">
        <v>1316</v>
      </c>
    </row>
    <row r="19" spans="1:3" ht="12.75">
      <c r="A19" s="770" t="s">
        <v>5</v>
      </c>
      <c r="B19" s="767" t="s">
        <v>162</v>
      </c>
      <c r="C19" s="577" t="s">
        <v>1315</v>
      </c>
    </row>
    <row r="20" spans="1:3" ht="12.75">
      <c r="A20" s="770" t="s">
        <v>156</v>
      </c>
      <c r="B20" s="767" t="s">
        <v>156</v>
      </c>
      <c r="C20" s="577" t="s">
        <v>984</v>
      </c>
    </row>
    <row r="21" spans="1:3" ht="25">
      <c r="A21" s="773" t="s">
        <v>175</v>
      </c>
      <c r="B21" s="767" t="s">
        <v>1619</v>
      </c>
      <c r="C21" s="775" t="s">
        <v>1622</v>
      </c>
    </row>
    <row r="22" spans="1:3" ht="25">
      <c r="A22" s="773" t="s">
        <v>176</v>
      </c>
      <c r="B22" s="767" t="s">
        <v>171</v>
      </c>
      <c r="C22" s="775" t="s">
        <v>1045</v>
      </c>
    </row>
    <row r="23" spans="1:3" ht="12.75">
      <c r="A23" s="770" t="s">
        <v>4</v>
      </c>
      <c r="B23" s="767" t="s">
        <v>157</v>
      </c>
      <c r="C23" s="577" t="s">
        <v>985</v>
      </c>
    </row>
    <row r="24" spans="1:3" ht="12.75">
      <c r="A24" s="770" t="s">
        <v>9</v>
      </c>
      <c r="B24" s="767" t="s">
        <v>164</v>
      </c>
      <c r="C24" s="775" t="s">
        <v>1046</v>
      </c>
    </row>
    <row r="25" spans="1:3" ht="12.75">
      <c r="A25" s="770" t="s">
        <v>10</v>
      </c>
      <c r="B25" s="767" t="s">
        <v>163</v>
      </c>
      <c r="C25" s="577" t="s">
        <v>986</v>
      </c>
    </row>
    <row r="26" spans="1:3" ht="12.75">
      <c r="A26" s="770" t="s">
        <v>148</v>
      </c>
      <c r="B26" s="767" t="s">
        <v>165</v>
      </c>
      <c r="C26" s="577" t="s">
        <v>987</v>
      </c>
    </row>
    <row r="27" spans="1:3" ht="25">
      <c r="A27" s="773" t="s">
        <v>208</v>
      </c>
      <c r="B27" s="577" t="s">
        <v>210</v>
      </c>
      <c r="C27" s="775" t="s">
        <v>1666</v>
      </c>
    </row>
    <row r="28" spans="1:3" ht="26.5">
      <c r="A28" s="773" t="s">
        <v>209</v>
      </c>
      <c r="B28" s="577" t="s">
        <v>211</v>
      </c>
      <c r="C28" s="775" t="s">
        <v>1667</v>
      </c>
    </row>
    <row r="29" spans="1:3" ht="82.5" customHeight="1">
      <c r="A29" s="776" t="s">
        <v>1989</v>
      </c>
      <c r="B29" s="777" t="s">
        <v>1963</v>
      </c>
      <c r="C29" s="778" t="s">
        <v>2133</v>
      </c>
    </row>
    <row r="30" spans="1:3" ht="12.75">
      <c r="A30" s="770" t="s">
        <v>512</v>
      </c>
      <c r="B30" s="767" t="s">
        <v>513</v>
      </c>
      <c r="C30" s="775" t="s">
        <v>1047</v>
      </c>
    </row>
    <row r="31" spans="1:3" ht="12.75">
      <c r="A31" s="770" t="s">
        <v>144</v>
      </c>
      <c r="B31" s="767" t="s">
        <v>1970</v>
      </c>
      <c r="C31" s="775" t="s">
        <v>1971</v>
      </c>
    </row>
    <row r="32" spans="1:3" ht="12.75">
      <c r="A32" s="770" t="s">
        <v>542</v>
      </c>
      <c r="B32" s="767" t="s">
        <v>543</v>
      </c>
      <c r="C32" s="775" t="s">
        <v>1048</v>
      </c>
    </row>
    <row r="33" spans="1:3" ht="25">
      <c r="A33" s="501" t="s">
        <v>511</v>
      </c>
      <c r="B33" s="777" t="s">
        <v>1964</v>
      </c>
      <c r="C33" s="779" t="s">
        <v>1965</v>
      </c>
    </row>
    <row r="34" spans="1:13" ht="73.5" customHeight="1">
      <c r="A34" s="773" t="s">
        <v>179</v>
      </c>
      <c r="B34" s="777" t="s">
        <v>224</v>
      </c>
      <c r="C34" s="778" t="s">
        <v>1050</v>
      </c>
      <c r="D34" s="764"/>
      <c r="E34" s="764"/>
      <c r="F34" s="764"/>
      <c r="G34" s="764"/>
      <c r="H34" s="764"/>
      <c r="I34" s="764"/>
      <c r="J34" s="764"/>
      <c r="K34" s="764"/>
      <c r="L34" s="764"/>
      <c r="M34" s="764"/>
    </row>
    <row r="35" spans="1:3" ht="12.75">
      <c r="A35" s="770" t="s">
        <v>180</v>
      </c>
      <c r="B35" s="767" t="s">
        <v>183</v>
      </c>
      <c r="C35" s="775" t="s">
        <v>1049</v>
      </c>
    </row>
    <row r="36" spans="1:3" ht="12.75">
      <c r="A36" s="770" t="s">
        <v>181</v>
      </c>
      <c r="B36" s="767" t="s">
        <v>20</v>
      </c>
      <c r="C36" s="775" t="s">
        <v>1051</v>
      </c>
    </row>
    <row r="37" spans="1:3" ht="15.5">
      <c r="A37" s="770" t="s">
        <v>182</v>
      </c>
      <c r="B37" s="767" t="s">
        <v>184</v>
      </c>
      <c r="C37" s="775" t="s">
        <v>1052</v>
      </c>
    </row>
    <row r="38" spans="1:3" ht="12.75">
      <c r="A38" s="770" t="s">
        <v>225</v>
      </c>
      <c r="B38" s="767" t="s">
        <v>1346</v>
      </c>
      <c r="C38" s="775" t="s">
        <v>1345</v>
      </c>
    </row>
    <row r="39" spans="1:3" ht="12.75">
      <c r="A39" s="770" t="s">
        <v>226</v>
      </c>
      <c r="B39" s="767" t="s">
        <v>1393</v>
      </c>
      <c r="C39" s="775" t="s">
        <v>1394</v>
      </c>
    </row>
    <row r="40" spans="1:3" ht="12.75">
      <c r="A40" s="770" t="s">
        <v>134</v>
      </c>
      <c r="B40" s="767" t="s">
        <v>185</v>
      </c>
      <c r="C40" s="775" t="s">
        <v>1180</v>
      </c>
    </row>
    <row r="41" spans="1:3" ht="12.75">
      <c r="A41" s="770" t="s">
        <v>612</v>
      </c>
      <c r="B41" s="767" t="s">
        <v>613</v>
      </c>
      <c r="C41" s="577" t="s">
        <v>1303</v>
      </c>
    </row>
    <row r="42" spans="1:3" ht="12.75">
      <c r="A42" s="770" t="s">
        <v>521</v>
      </c>
      <c r="B42" s="767" t="s">
        <v>1620</v>
      </c>
      <c r="C42" s="577" t="s">
        <v>1621</v>
      </c>
    </row>
    <row r="43" spans="1:3" ht="25">
      <c r="A43" s="773" t="s">
        <v>534</v>
      </c>
      <c r="B43" s="577" t="s">
        <v>532</v>
      </c>
      <c r="C43" s="775" t="s">
        <v>1304</v>
      </c>
    </row>
    <row r="44" spans="1:3" ht="25">
      <c r="A44" s="773" t="s">
        <v>535</v>
      </c>
      <c r="B44" s="577" t="s">
        <v>533</v>
      </c>
      <c r="C44" s="775" t="s">
        <v>1305</v>
      </c>
    </row>
    <row r="45" spans="1:3" ht="12.75">
      <c r="A45" s="773" t="s">
        <v>530</v>
      </c>
      <c r="B45" s="577" t="s">
        <v>531</v>
      </c>
      <c r="C45" s="775" t="s">
        <v>1053</v>
      </c>
    </row>
    <row r="46" spans="1:3" ht="12.75">
      <c r="A46" s="770" t="s">
        <v>344</v>
      </c>
      <c r="B46" s="767" t="s">
        <v>390</v>
      </c>
      <c r="C46" s="784" t="s">
        <v>1171</v>
      </c>
    </row>
    <row r="47" spans="1:3" ht="12.75">
      <c r="A47" s="780" t="s">
        <v>347</v>
      </c>
      <c r="B47" s="781" t="s">
        <v>348</v>
      </c>
      <c r="C47" s="786" t="s">
        <v>1054</v>
      </c>
    </row>
    <row r="48" spans="1:3" ht="12.75">
      <c r="A48" s="780" t="s">
        <v>895</v>
      </c>
      <c r="B48" s="781" t="s">
        <v>896</v>
      </c>
      <c r="C48" s="786" t="s">
        <v>1055</v>
      </c>
    </row>
    <row r="49" spans="1:3" ht="12.75">
      <c r="A49" s="780" t="s">
        <v>351</v>
      </c>
      <c r="B49" s="781" t="s">
        <v>384</v>
      </c>
      <c r="C49" s="786" t="s">
        <v>1056</v>
      </c>
    </row>
    <row r="50" spans="1:3" ht="12.75">
      <c r="A50" s="780" t="s">
        <v>352</v>
      </c>
      <c r="B50" s="781" t="s">
        <v>385</v>
      </c>
      <c r="C50" s="786" t="s">
        <v>1057</v>
      </c>
    </row>
    <row r="51" spans="1:3" ht="12.75">
      <c r="A51" s="773" t="s">
        <v>528</v>
      </c>
      <c r="B51" s="577" t="s">
        <v>529</v>
      </c>
      <c r="C51" s="577" t="s">
        <v>1058</v>
      </c>
    </row>
    <row r="52" spans="1:3" ht="12.75">
      <c r="A52" s="773" t="s">
        <v>806</v>
      </c>
      <c r="B52" s="577" t="s">
        <v>806</v>
      </c>
      <c r="C52" s="775" t="s">
        <v>1059</v>
      </c>
    </row>
    <row r="53" spans="1:3" ht="40.5" customHeight="1">
      <c r="A53" s="776" t="s">
        <v>166</v>
      </c>
      <c r="B53" s="777" t="s">
        <v>168</v>
      </c>
      <c r="C53" s="778" t="s">
        <v>1060</v>
      </c>
    </row>
    <row r="54" spans="1:3" ht="50">
      <c r="A54" s="773" t="s">
        <v>167</v>
      </c>
      <c r="B54" s="577" t="s">
        <v>169</v>
      </c>
      <c r="C54" s="775" t="s">
        <v>1061</v>
      </c>
    </row>
    <row r="55" spans="1:3" ht="14.5">
      <c r="A55" s="770" t="s">
        <v>476</v>
      </c>
      <c r="B55" s="767" t="s">
        <v>1962</v>
      </c>
      <c r="C55" s="775" t="s">
        <v>1966</v>
      </c>
    </row>
    <row r="56" spans="1:3" ht="12.75">
      <c r="A56" s="770" t="s">
        <v>398</v>
      </c>
      <c r="B56" s="767" t="s">
        <v>399</v>
      </c>
      <c r="C56" s="775" t="s">
        <v>1297</v>
      </c>
    </row>
    <row r="57" spans="1:3" ht="12.75">
      <c r="A57" s="770" t="s">
        <v>495</v>
      </c>
      <c r="B57" s="767" t="s">
        <v>496</v>
      </c>
      <c r="C57" s="775" t="s">
        <v>1293</v>
      </c>
    </row>
    <row r="58" spans="1:3" ht="12.75">
      <c r="A58" s="773" t="s">
        <v>400</v>
      </c>
      <c r="B58" s="767" t="s">
        <v>497</v>
      </c>
      <c r="C58" s="775" t="s">
        <v>1062</v>
      </c>
    </row>
    <row r="59" spans="1:3" ht="12.75">
      <c r="A59" s="770" t="s">
        <v>213</v>
      </c>
      <c r="B59" s="767" t="s">
        <v>214</v>
      </c>
      <c r="C59" s="784" t="s">
        <v>1063</v>
      </c>
    </row>
    <row r="60" spans="1:3" ht="12.75">
      <c r="A60" s="782" t="s">
        <v>340</v>
      </c>
      <c r="B60" s="767" t="s">
        <v>472</v>
      </c>
      <c r="C60" s="797" t="s">
        <v>1145</v>
      </c>
    </row>
    <row r="61" spans="1:3" ht="12.75">
      <c r="A61" s="782" t="s">
        <v>339</v>
      </c>
      <c r="B61" s="767" t="s">
        <v>473</v>
      </c>
      <c r="C61" s="797" t="s">
        <v>1146</v>
      </c>
    </row>
    <row r="62" spans="1:3" ht="12.75">
      <c r="A62" s="782" t="s">
        <v>140</v>
      </c>
      <c r="B62" s="767" t="s">
        <v>173</v>
      </c>
      <c r="C62" s="797" t="s">
        <v>1064</v>
      </c>
    </row>
    <row r="63" spans="1:3" ht="12.75">
      <c r="A63" s="782" t="s">
        <v>216</v>
      </c>
      <c r="B63" s="767" t="s">
        <v>217</v>
      </c>
      <c r="C63" s="796" t="s">
        <v>1198</v>
      </c>
    </row>
    <row r="64" spans="1:3" ht="12.75">
      <c r="A64" s="782" t="s">
        <v>137</v>
      </c>
      <c r="B64" s="767" t="s">
        <v>174</v>
      </c>
      <c r="C64" s="796" t="s">
        <v>990</v>
      </c>
    </row>
    <row r="65" spans="1:3" ht="12.75">
      <c r="A65" s="782"/>
      <c r="B65" s="767" t="s">
        <v>1292</v>
      </c>
      <c r="C65" s="796" t="s">
        <v>1291</v>
      </c>
    </row>
    <row r="66" spans="1:3" ht="12.75">
      <c r="A66" s="782" t="s">
        <v>522</v>
      </c>
      <c r="B66" s="767" t="s">
        <v>523</v>
      </c>
      <c r="C66" s="797" t="s">
        <v>1065</v>
      </c>
    </row>
    <row r="67" spans="1:3" ht="12.75">
      <c r="A67" s="782" t="s">
        <v>524</v>
      </c>
      <c r="B67" s="767" t="s">
        <v>525</v>
      </c>
      <c r="C67" s="797" t="s">
        <v>1066</v>
      </c>
    </row>
    <row r="68" spans="1:3" ht="12.75">
      <c r="A68" s="782" t="s">
        <v>527</v>
      </c>
      <c r="B68" s="767" t="s">
        <v>526</v>
      </c>
      <c r="C68" s="797" t="s">
        <v>1199</v>
      </c>
    </row>
    <row r="69" spans="1:3" ht="12.75">
      <c r="A69" s="782" t="s">
        <v>409</v>
      </c>
      <c r="B69" s="767" t="s">
        <v>410</v>
      </c>
      <c r="C69" s="797" t="s">
        <v>1019</v>
      </c>
    </row>
    <row r="70" spans="1:3" ht="12.75">
      <c r="A70" s="782" t="s">
        <v>138</v>
      </c>
      <c r="B70" s="767" t="s">
        <v>172</v>
      </c>
      <c r="C70" s="797" t="s">
        <v>991</v>
      </c>
    </row>
    <row r="71" spans="1:3" ht="12.75">
      <c r="A71" s="782" t="s">
        <v>131</v>
      </c>
      <c r="B71" s="767" t="s">
        <v>24</v>
      </c>
      <c r="C71" s="797" t="s">
        <v>1172</v>
      </c>
    </row>
    <row r="72" spans="1:3" ht="12.75">
      <c r="A72" s="782" t="s">
        <v>28</v>
      </c>
      <c r="B72" s="767" t="s">
        <v>28</v>
      </c>
      <c r="C72" s="797" t="s">
        <v>1173</v>
      </c>
    </row>
    <row r="73" spans="1:3" ht="12.75">
      <c r="A73" s="782" t="s">
        <v>132</v>
      </c>
      <c r="B73" s="767" t="s">
        <v>35</v>
      </c>
      <c r="C73" s="797" t="s">
        <v>1289</v>
      </c>
    </row>
    <row r="74" spans="1:3" ht="12.75">
      <c r="A74" s="782" t="s">
        <v>26</v>
      </c>
      <c r="B74" s="767" t="s">
        <v>26</v>
      </c>
      <c r="C74" s="822" t="s">
        <v>1205</v>
      </c>
    </row>
    <row r="75" spans="1:3" ht="12.75">
      <c r="A75" s="782" t="s">
        <v>45</v>
      </c>
      <c r="B75" s="767" t="s">
        <v>45</v>
      </c>
      <c r="C75" s="822" t="s">
        <v>1174</v>
      </c>
    </row>
    <row r="76" spans="1:3" ht="12.75">
      <c r="A76" s="782" t="s">
        <v>133</v>
      </c>
      <c r="B76" s="767" t="s">
        <v>27</v>
      </c>
      <c r="C76" s="797" t="s">
        <v>961</v>
      </c>
    </row>
    <row r="77" spans="1:3" ht="12.75">
      <c r="A77" s="782" t="s">
        <v>25</v>
      </c>
      <c r="B77" s="767" t="s">
        <v>25</v>
      </c>
      <c r="C77" s="797" t="s">
        <v>962</v>
      </c>
    </row>
    <row r="78" spans="1:3" ht="12.75">
      <c r="A78" s="782" t="s">
        <v>26</v>
      </c>
      <c r="B78" s="767" t="s">
        <v>26</v>
      </c>
      <c r="C78" s="822" t="s">
        <v>1205</v>
      </c>
    </row>
    <row r="79" spans="1:3" ht="12.75">
      <c r="A79" s="782" t="s">
        <v>45</v>
      </c>
      <c r="B79" s="767" t="s">
        <v>45</v>
      </c>
      <c r="C79" s="822" t="s">
        <v>1174</v>
      </c>
    </row>
    <row r="80" spans="1:3" ht="12.75">
      <c r="A80" s="782" t="s">
        <v>898</v>
      </c>
      <c r="B80" s="767" t="s">
        <v>124</v>
      </c>
      <c r="C80" s="796" t="s">
        <v>1175</v>
      </c>
    </row>
    <row r="81" spans="1:3" ht="12.75">
      <c r="A81" s="782" t="s">
        <v>899</v>
      </c>
      <c r="B81" s="767" t="s">
        <v>900</v>
      </c>
      <c r="C81" s="797" t="s">
        <v>1176</v>
      </c>
    </row>
    <row r="82" spans="1:3" ht="25">
      <c r="A82" s="770" t="s">
        <v>187</v>
      </c>
      <c r="B82" s="767" t="s">
        <v>125</v>
      </c>
      <c r="C82" s="775" t="s">
        <v>1177</v>
      </c>
    </row>
    <row r="83" spans="1:3" ht="12.75">
      <c r="A83" s="770" t="s">
        <v>188</v>
      </c>
      <c r="B83" s="767" t="s">
        <v>126</v>
      </c>
      <c r="C83" s="775" t="s">
        <v>1178</v>
      </c>
    </row>
    <row r="84" spans="1:3" ht="12.75">
      <c r="A84" s="770" t="s">
        <v>189</v>
      </c>
      <c r="B84" s="767" t="s">
        <v>127</v>
      </c>
      <c r="C84" s="775" t="s">
        <v>1179</v>
      </c>
    </row>
    <row r="85" spans="1:3" ht="12.75">
      <c r="A85" s="770" t="s">
        <v>186</v>
      </c>
      <c r="B85" s="767" t="s">
        <v>128</v>
      </c>
      <c r="C85" s="775" t="s">
        <v>1370</v>
      </c>
    </row>
    <row r="86" spans="1:3" ht="12.75">
      <c r="A86" s="770" t="s">
        <v>195</v>
      </c>
      <c r="B86" s="767" t="s">
        <v>129</v>
      </c>
      <c r="C86" s="775" t="s">
        <v>2191</v>
      </c>
    </row>
    <row r="87" spans="1:3" ht="12.75">
      <c r="A87" s="770" t="s">
        <v>188</v>
      </c>
      <c r="B87" s="767" t="s">
        <v>126</v>
      </c>
      <c r="C87" s="775" t="s">
        <v>1178</v>
      </c>
    </row>
    <row r="88" spans="1:3" ht="12.75">
      <c r="A88" s="770" t="s">
        <v>189</v>
      </c>
      <c r="B88" s="767" t="s">
        <v>127</v>
      </c>
      <c r="C88" s="775" t="s">
        <v>1174</v>
      </c>
    </row>
    <row r="89" spans="1:3" ht="12.75">
      <c r="A89" s="770" t="s">
        <v>147</v>
      </c>
      <c r="B89" s="767" t="s">
        <v>201</v>
      </c>
      <c r="C89" s="577" t="s">
        <v>1020</v>
      </c>
    </row>
    <row r="90" spans="1:3" ht="12.75">
      <c r="A90" s="783" t="s">
        <v>136</v>
      </c>
      <c r="B90" s="771" t="s">
        <v>202</v>
      </c>
      <c r="C90" s="775" t="s">
        <v>1017</v>
      </c>
    </row>
    <row r="91" spans="1:3" ht="15.5">
      <c r="A91" s="770" t="s">
        <v>200</v>
      </c>
      <c r="B91" s="767" t="s">
        <v>203</v>
      </c>
      <c r="C91" s="775" t="s">
        <v>1322</v>
      </c>
    </row>
    <row r="92" spans="1:3" ht="15.5">
      <c r="A92" s="770" t="s">
        <v>345</v>
      </c>
      <c r="B92" s="767" t="s">
        <v>346</v>
      </c>
      <c r="C92" s="784" t="s">
        <v>1990</v>
      </c>
    </row>
    <row r="93" spans="1:3" ht="12.75">
      <c r="A93" s="770" t="s">
        <v>205</v>
      </c>
      <c r="B93" s="767" t="s">
        <v>215</v>
      </c>
      <c r="C93" s="775" t="s">
        <v>1181</v>
      </c>
    </row>
    <row r="94" spans="1:3" ht="25">
      <c r="A94" s="773" t="s">
        <v>361</v>
      </c>
      <c r="B94" s="767" t="s">
        <v>356</v>
      </c>
      <c r="C94" s="775" t="s">
        <v>1182</v>
      </c>
    </row>
    <row r="95" spans="1:3" ht="26.5">
      <c r="A95" s="773" t="s">
        <v>362</v>
      </c>
      <c r="B95" s="767" t="s">
        <v>360</v>
      </c>
      <c r="C95" s="775" t="s">
        <v>1991</v>
      </c>
    </row>
    <row r="96" spans="1:3" ht="50">
      <c r="A96" s="773" t="s">
        <v>392</v>
      </c>
      <c r="B96" s="577" t="s">
        <v>391</v>
      </c>
      <c r="C96" s="775" t="s">
        <v>1183</v>
      </c>
    </row>
    <row r="97" spans="1:3" ht="12.75">
      <c r="A97" s="773" t="s">
        <v>388</v>
      </c>
      <c r="B97" s="777" t="s">
        <v>389</v>
      </c>
      <c r="C97" s="775" t="s">
        <v>1184</v>
      </c>
    </row>
    <row r="98" spans="1:3" ht="25">
      <c r="A98" s="773" t="s">
        <v>808</v>
      </c>
      <c r="B98" s="777" t="s">
        <v>809</v>
      </c>
      <c r="C98" s="775" t="s">
        <v>2160</v>
      </c>
    </row>
    <row r="99" spans="1:3" ht="12.75">
      <c r="A99" s="773" t="s">
        <v>807</v>
      </c>
      <c r="B99" s="577" t="s">
        <v>807</v>
      </c>
      <c r="C99" s="775" t="s">
        <v>1185</v>
      </c>
    </row>
    <row r="100" spans="1:3" ht="11.25" customHeight="1">
      <c r="A100" s="773" t="s">
        <v>349</v>
      </c>
      <c r="B100" s="577" t="s">
        <v>350</v>
      </c>
      <c r="C100" s="784" t="s">
        <v>1186</v>
      </c>
    </row>
    <row r="101" spans="1:3" s="582" customFormat="1" ht="12.75">
      <c r="A101" s="770" t="s">
        <v>218</v>
      </c>
      <c r="B101" s="767" t="s">
        <v>219</v>
      </c>
      <c r="C101" s="775" t="s">
        <v>1030</v>
      </c>
    </row>
    <row r="102" spans="1:3" ht="12.75">
      <c r="A102" s="770" t="s">
        <v>222</v>
      </c>
      <c r="B102" s="767" t="s">
        <v>220</v>
      </c>
      <c r="C102" s="775" t="s">
        <v>1301</v>
      </c>
    </row>
    <row r="103" spans="1:3" ht="12.75">
      <c r="A103" s="770" t="s">
        <v>223</v>
      </c>
      <c r="B103" s="767" t="s">
        <v>221</v>
      </c>
      <c r="C103" s="775" t="s">
        <v>1302</v>
      </c>
    </row>
    <row r="104" spans="1:3" ht="12.75">
      <c r="A104" s="770" t="s">
        <v>544</v>
      </c>
      <c r="B104" s="767" t="s">
        <v>545</v>
      </c>
      <c r="C104" s="775" t="s">
        <v>1187</v>
      </c>
    </row>
    <row r="105" spans="1:3" ht="54" customHeight="1">
      <c r="A105" s="773" t="s">
        <v>887</v>
      </c>
      <c r="B105" s="577" t="s">
        <v>888</v>
      </c>
      <c r="C105" s="775" t="s">
        <v>1188</v>
      </c>
    </row>
    <row r="106" spans="1:3" ht="27" customHeight="1">
      <c r="A106" s="773" t="s">
        <v>386</v>
      </c>
      <c r="B106" s="577" t="s">
        <v>387</v>
      </c>
      <c r="C106" s="775" t="s">
        <v>1069</v>
      </c>
    </row>
    <row r="107" spans="1:3" ht="12.75">
      <c r="A107" s="770" t="s">
        <v>342</v>
      </c>
      <c r="B107" s="767" t="s">
        <v>343</v>
      </c>
      <c r="C107" s="775" t="s">
        <v>1070</v>
      </c>
    </row>
    <row r="108" spans="1:3" ht="12.75">
      <c r="A108" s="770" t="s">
        <v>355</v>
      </c>
      <c r="B108" s="767" t="s">
        <v>366</v>
      </c>
      <c r="C108" s="775" t="s">
        <v>1071</v>
      </c>
    </row>
    <row r="109" spans="1:3" ht="15.5">
      <c r="A109" s="770" t="s">
        <v>357</v>
      </c>
      <c r="B109" s="767" t="s">
        <v>367</v>
      </c>
      <c r="C109" s="784" t="s">
        <v>1992</v>
      </c>
    </row>
    <row r="110" spans="1:3" ht="12.75">
      <c r="A110" s="770" t="s">
        <v>358</v>
      </c>
      <c r="B110" s="767" t="s">
        <v>368</v>
      </c>
      <c r="C110" s="775" t="s">
        <v>1072</v>
      </c>
    </row>
    <row r="111" spans="1:3" ht="12.75">
      <c r="A111" s="770" t="s">
        <v>359</v>
      </c>
      <c r="B111" s="767" t="s">
        <v>369</v>
      </c>
      <c r="C111" s="775" t="s">
        <v>1016</v>
      </c>
    </row>
    <row r="112" spans="1:3" ht="12.75">
      <c r="A112" s="770" t="s">
        <v>354</v>
      </c>
      <c r="B112" s="767" t="s">
        <v>372</v>
      </c>
      <c r="C112" s="775" t="s">
        <v>1073</v>
      </c>
    </row>
    <row r="113" spans="1:3" ht="12.75">
      <c r="A113" s="770" t="s">
        <v>363</v>
      </c>
      <c r="B113" s="767" t="s">
        <v>373</v>
      </c>
      <c r="C113" s="775" t="s">
        <v>1074</v>
      </c>
    </row>
    <row r="114" spans="1:3" ht="37.5">
      <c r="A114" s="773" t="s">
        <v>204</v>
      </c>
      <c r="B114" s="577" t="s">
        <v>379</v>
      </c>
      <c r="C114" s="775" t="s">
        <v>1075</v>
      </c>
    </row>
    <row r="115" spans="1:3" ht="26.5">
      <c r="A115" s="770" t="s">
        <v>364</v>
      </c>
      <c r="B115" s="577" t="s">
        <v>374</v>
      </c>
      <c r="C115" s="775" t="s">
        <v>1993</v>
      </c>
    </row>
    <row r="116" spans="1:3" ht="26.5">
      <c r="A116" s="773" t="s">
        <v>376</v>
      </c>
      <c r="B116" s="577" t="s">
        <v>1076</v>
      </c>
      <c r="C116" s="775" t="s">
        <v>1994</v>
      </c>
    </row>
    <row r="117" spans="1:3" ht="25">
      <c r="A117" s="773" t="s">
        <v>382</v>
      </c>
      <c r="B117" s="577" t="s">
        <v>381</v>
      </c>
      <c r="C117" s="775" t="s">
        <v>1189</v>
      </c>
    </row>
    <row r="118" spans="1:3" ht="37.5">
      <c r="A118" s="773" t="s">
        <v>353</v>
      </c>
      <c r="B118" s="577" t="s">
        <v>380</v>
      </c>
      <c r="C118" s="775" t="s">
        <v>1190</v>
      </c>
    </row>
    <row r="119" spans="1:3" ht="26.5">
      <c r="A119" s="770" t="s">
        <v>365</v>
      </c>
      <c r="B119" s="577" t="s">
        <v>375</v>
      </c>
      <c r="C119" s="775" t="s">
        <v>1995</v>
      </c>
    </row>
    <row r="120" spans="1:3" ht="25">
      <c r="A120" s="773" t="s">
        <v>370</v>
      </c>
      <c r="B120" s="577" t="s">
        <v>378</v>
      </c>
      <c r="C120" s="775" t="s">
        <v>1191</v>
      </c>
    </row>
    <row r="121" spans="1:3" ht="26.5">
      <c r="A121" s="773" t="s">
        <v>371</v>
      </c>
      <c r="B121" s="577" t="s">
        <v>377</v>
      </c>
      <c r="C121" s="775" t="s">
        <v>1996</v>
      </c>
    </row>
    <row r="122" spans="1:3" ht="12.75">
      <c r="A122" s="785" t="s">
        <v>478</v>
      </c>
      <c r="B122" s="767" t="s">
        <v>479</v>
      </c>
      <c r="C122" s="775" t="s">
        <v>1166</v>
      </c>
    </row>
    <row r="123" spans="1:3" ht="12.75">
      <c r="A123" s="785" t="s">
        <v>393</v>
      </c>
      <c r="B123" s="775" t="s">
        <v>404</v>
      </c>
      <c r="C123" s="775" t="s">
        <v>1167</v>
      </c>
    </row>
    <row r="124" spans="1:3" ht="12.75">
      <c r="A124" s="785" t="s">
        <v>483</v>
      </c>
      <c r="B124" s="775" t="s">
        <v>482</v>
      </c>
      <c r="C124" s="775" t="s">
        <v>1168</v>
      </c>
    </row>
    <row r="125" spans="1:3" ht="29.25" customHeight="1">
      <c r="A125" s="785" t="s">
        <v>403</v>
      </c>
      <c r="B125" s="775" t="s">
        <v>405</v>
      </c>
      <c r="C125" s="775" t="s">
        <v>1192</v>
      </c>
    </row>
    <row r="126" spans="1:3" ht="37.5">
      <c r="A126" s="785" t="s">
        <v>475</v>
      </c>
      <c r="B126" s="775" t="s">
        <v>474</v>
      </c>
      <c r="C126" s="775" t="s">
        <v>1193</v>
      </c>
    </row>
    <row r="127" spans="1:5" ht="25">
      <c r="A127" s="785" t="s">
        <v>493</v>
      </c>
      <c r="B127" s="775" t="s">
        <v>494</v>
      </c>
      <c r="C127" s="775" t="s">
        <v>1204</v>
      </c>
      <c r="E127" s="497" t="s">
        <v>1203</v>
      </c>
    </row>
    <row r="128" spans="1:3" ht="12.75">
      <c r="A128" s="785" t="s">
        <v>394</v>
      </c>
      <c r="B128" s="775" t="s">
        <v>408</v>
      </c>
      <c r="C128" s="775" t="s">
        <v>1042</v>
      </c>
    </row>
    <row r="129" spans="1:3" ht="12.75">
      <c r="A129" s="785" t="s">
        <v>395</v>
      </c>
      <c r="B129" s="775" t="s">
        <v>395</v>
      </c>
      <c r="C129" s="775" t="s">
        <v>1202</v>
      </c>
    </row>
    <row r="130" spans="1:3" ht="12.75">
      <c r="A130" s="785" t="s">
        <v>480</v>
      </c>
      <c r="B130" s="775" t="s">
        <v>481</v>
      </c>
      <c r="C130" s="775" t="s">
        <v>1194</v>
      </c>
    </row>
    <row r="131" spans="1:3" ht="25">
      <c r="A131" s="785" t="s">
        <v>396</v>
      </c>
      <c r="B131" s="775" t="s">
        <v>406</v>
      </c>
      <c r="C131" s="775" t="s">
        <v>1040</v>
      </c>
    </row>
    <row r="132" spans="1:3" ht="12.75">
      <c r="A132" s="785" t="s">
        <v>397</v>
      </c>
      <c r="B132" s="775" t="s">
        <v>407</v>
      </c>
      <c r="C132" s="786" t="s">
        <v>1041</v>
      </c>
    </row>
    <row r="133" spans="1:3" ht="12.75">
      <c r="A133" s="773" t="s">
        <v>546</v>
      </c>
      <c r="B133" s="577" t="s">
        <v>548</v>
      </c>
      <c r="C133" s="775" t="s">
        <v>1162</v>
      </c>
    </row>
    <row r="134" spans="1:3" ht="12.75">
      <c r="A134" s="773" t="s">
        <v>547</v>
      </c>
      <c r="B134" s="577" t="s">
        <v>549</v>
      </c>
      <c r="C134" s="775" t="s">
        <v>1163</v>
      </c>
    </row>
    <row r="135" spans="1:3" ht="12.75">
      <c r="A135" s="770" t="s">
        <v>400</v>
      </c>
      <c r="B135" s="767" t="s">
        <v>401</v>
      </c>
      <c r="C135" s="577" t="s">
        <v>1039</v>
      </c>
    </row>
    <row r="136" spans="1:3" ht="12.75">
      <c r="A136" s="770" t="s">
        <v>414</v>
      </c>
      <c r="B136" s="767" t="s">
        <v>413</v>
      </c>
      <c r="C136" s="775" t="s">
        <v>1207</v>
      </c>
    </row>
    <row r="137" spans="1:3" ht="12.75">
      <c r="A137" s="770" t="s">
        <v>415</v>
      </c>
      <c r="B137" s="767" t="s">
        <v>416</v>
      </c>
      <c r="C137" s="775" t="s">
        <v>1294</v>
      </c>
    </row>
    <row r="138" spans="1:3" ht="13.5" customHeight="1">
      <c r="A138" s="773" t="s">
        <v>466</v>
      </c>
      <c r="B138" s="577" t="s">
        <v>467</v>
      </c>
      <c r="C138" s="775" t="s">
        <v>1164</v>
      </c>
    </row>
    <row r="139" spans="1:3" ht="12.75">
      <c r="A139" s="770" t="s">
        <v>417</v>
      </c>
      <c r="B139" s="767" t="s">
        <v>421</v>
      </c>
      <c r="C139" s="775" t="s">
        <v>1165</v>
      </c>
    </row>
    <row r="140" spans="1:3" ht="12.75">
      <c r="A140" s="770" t="s">
        <v>418</v>
      </c>
      <c r="B140" s="767" t="s">
        <v>422</v>
      </c>
      <c r="C140" s="775" t="s">
        <v>1169</v>
      </c>
    </row>
    <row r="141" spans="1:3" ht="12.75">
      <c r="A141" s="770" t="s">
        <v>419</v>
      </c>
      <c r="B141" s="767" t="s">
        <v>423</v>
      </c>
      <c r="C141" s="775" t="s">
        <v>1170</v>
      </c>
    </row>
    <row r="142" spans="1:3" ht="12.75">
      <c r="A142" s="770" t="s">
        <v>420</v>
      </c>
      <c r="B142" s="767" t="s">
        <v>420</v>
      </c>
      <c r="C142" s="775" t="s">
        <v>420</v>
      </c>
    </row>
    <row r="143" spans="1:3" ht="37.5">
      <c r="A143" s="785" t="s">
        <v>873</v>
      </c>
      <c r="B143" s="775" t="s">
        <v>884</v>
      </c>
      <c r="C143" s="775" t="s">
        <v>1844</v>
      </c>
    </row>
    <row r="144" spans="1:3" ht="12.75">
      <c r="A144" s="783" t="s">
        <v>437</v>
      </c>
      <c r="B144" s="771" t="s">
        <v>439</v>
      </c>
      <c r="C144" s="775" t="s">
        <v>1841</v>
      </c>
    </row>
    <row r="145" spans="1:3" ht="12.75">
      <c r="A145" s="783" t="s">
        <v>874</v>
      </c>
      <c r="B145" s="771" t="s">
        <v>440</v>
      </c>
      <c r="C145" s="775" t="s">
        <v>1195</v>
      </c>
    </row>
    <row r="146" spans="1:3" ht="12.75">
      <c r="A146" s="783" t="s">
        <v>438</v>
      </c>
      <c r="B146" s="771" t="s">
        <v>441</v>
      </c>
      <c r="C146" s="775" t="s">
        <v>1842</v>
      </c>
    </row>
    <row r="147" spans="1:3" ht="12.75">
      <c r="A147" s="783" t="s">
        <v>442</v>
      </c>
      <c r="B147" s="771" t="s">
        <v>443</v>
      </c>
      <c r="C147" s="775" t="s">
        <v>1843</v>
      </c>
    </row>
    <row r="148" spans="1:3" ht="12.75">
      <c r="A148" s="783" t="s">
        <v>426</v>
      </c>
      <c r="B148" s="771" t="s">
        <v>444</v>
      </c>
      <c r="C148" s="775" t="s">
        <v>1151</v>
      </c>
    </row>
    <row r="149" spans="1:3" ht="12.75">
      <c r="A149" s="783" t="s">
        <v>446</v>
      </c>
      <c r="B149" s="771" t="s">
        <v>453</v>
      </c>
      <c r="C149" s="775" t="s">
        <v>1150</v>
      </c>
    </row>
    <row r="150" spans="1:3" ht="12.75">
      <c r="A150" s="770" t="s">
        <v>448</v>
      </c>
      <c r="B150" s="767" t="s">
        <v>455</v>
      </c>
      <c r="C150" s="775" t="s">
        <v>1152</v>
      </c>
    </row>
    <row r="151" spans="1:3" ht="12.75">
      <c r="A151" s="770" t="s">
        <v>449</v>
      </c>
      <c r="B151" s="767" t="s">
        <v>456</v>
      </c>
      <c r="C151" s="775" t="s">
        <v>1153</v>
      </c>
    </row>
    <row r="152" spans="1:3" ht="12.75">
      <c r="A152" s="770" t="s">
        <v>427</v>
      </c>
      <c r="B152" s="767" t="s">
        <v>445</v>
      </c>
      <c r="C152" s="775" t="s">
        <v>1154</v>
      </c>
    </row>
    <row r="153" spans="1:3" ht="14.5">
      <c r="A153" s="773" t="s">
        <v>876</v>
      </c>
      <c r="B153" s="577" t="s">
        <v>875</v>
      </c>
      <c r="C153" s="775" t="s">
        <v>1997</v>
      </c>
    </row>
    <row r="154" spans="1:3" ht="14.5">
      <c r="A154" s="773" t="s">
        <v>1998</v>
      </c>
      <c r="B154" s="577" t="s">
        <v>1999</v>
      </c>
      <c r="C154" s="775" t="s">
        <v>2000</v>
      </c>
    </row>
    <row r="155" spans="1:3" ht="12.75">
      <c r="A155" s="770" t="s">
        <v>450</v>
      </c>
      <c r="B155" s="767" t="s">
        <v>457</v>
      </c>
      <c r="C155" s="775" t="s">
        <v>1155</v>
      </c>
    </row>
    <row r="156" spans="1:3" ht="12.75">
      <c r="A156" s="770" t="s">
        <v>451</v>
      </c>
      <c r="B156" s="767" t="s">
        <v>458</v>
      </c>
      <c r="C156" s="775" t="s">
        <v>1157</v>
      </c>
    </row>
    <row r="157" spans="1:3" ht="12.75">
      <c r="A157" s="770" t="s">
        <v>452</v>
      </c>
      <c r="B157" s="767" t="s">
        <v>459</v>
      </c>
      <c r="C157" s="775" t="s">
        <v>1156</v>
      </c>
    </row>
    <row r="158" spans="1:3" ht="12.75">
      <c r="A158" s="770" t="s">
        <v>428</v>
      </c>
      <c r="B158" s="767" t="s">
        <v>460</v>
      </c>
      <c r="C158" s="577" t="s">
        <v>1037</v>
      </c>
    </row>
    <row r="159" spans="1:3" ht="12.75">
      <c r="A159" s="770" t="s">
        <v>879</v>
      </c>
      <c r="B159" s="767" t="s">
        <v>429</v>
      </c>
      <c r="C159" s="577" t="s">
        <v>1038</v>
      </c>
    </row>
    <row r="160" spans="1:3" ht="12.75">
      <c r="A160" s="770" t="s">
        <v>435</v>
      </c>
      <c r="B160" s="767" t="s">
        <v>461</v>
      </c>
      <c r="C160" s="775" t="s">
        <v>1160</v>
      </c>
    </row>
    <row r="161" spans="1:3" ht="12.75">
      <c r="A161" s="770" t="s">
        <v>878</v>
      </c>
      <c r="B161" s="767" t="s">
        <v>877</v>
      </c>
      <c r="C161" s="775" t="s">
        <v>1161</v>
      </c>
    </row>
    <row r="162" spans="1:3" ht="12.75">
      <c r="A162" s="770" t="s">
        <v>430</v>
      </c>
      <c r="B162" s="767" t="s">
        <v>462</v>
      </c>
      <c r="C162" s="775" t="s">
        <v>1159</v>
      </c>
    </row>
    <row r="163" spans="1:3" ht="12.75">
      <c r="A163" s="770" t="s">
        <v>447</v>
      </c>
      <c r="B163" s="767" t="s">
        <v>454</v>
      </c>
      <c r="C163" s="775" t="s">
        <v>1158</v>
      </c>
    </row>
    <row r="164" spans="1:3" ht="12.75">
      <c r="A164" s="770" t="s">
        <v>431</v>
      </c>
      <c r="B164" s="767" t="s">
        <v>463</v>
      </c>
      <c r="C164" s="775" t="s">
        <v>1149</v>
      </c>
    </row>
    <row r="165" spans="1:3" ht="12.75">
      <c r="A165" s="770" t="s">
        <v>432</v>
      </c>
      <c r="B165" s="767" t="s">
        <v>464</v>
      </c>
      <c r="C165" s="775" t="s">
        <v>1148</v>
      </c>
    </row>
    <row r="166" spans="1:3" ht="12.75">
      <c r="A166" s="770" t="s">
        <v>433</v>
      </c>
      <c r="B166" s="767" t="s">
        <v>465</v>
      </c>
      <c r="C166" s="775" t="s">
        <v>1147</v>
      </c>
    </row>
    <row r="167" spans="1:3" ht="12.75">
      <c r="A167" s="783" t="s">
        <v>469</v>
      </c>
      <c r="B167" s="767" t="s">
        <v>471</v>
      </c>
      <c r="C167" s="775" t="s">
        <v>1143</v>
      </c>
    </row>
    <row r="168" spans="1:3" ht="12.75">
      <c r="A168" s="783" t="s">
        <v>470</v>
      </c>
      <c r="B168" s="771" t="s">
        <v>621</v>
      </c>
      <c r="C168" s="775" t="s">
        <v>1036</v>
      </c>
    </row>
    <row r="169" spans="1:3" ht="12.75">
      <c r="A169" s="783" t="s">
        <v>477</v>
      </c>
      <c r="B169" s="771" t="s">
        <v>1968</v>
      </c>
      <c r="C169" s="775" t="s">
        <v>1967</v>
      </c>
    </row>
    <row r="170" spans="1:3" ht="12.75">
      <c r="A170" s="783" t="s">
        <v>498</v>
      </c>
      <c r="B170" s="771" t="s">
        <v>499</v>
      </c>
      <c r="C170" s="775" t="s">
        <v>1144</v>
      </c>
    </row>
    <row r="171" spans="1:3" ht="25">
      <c r="A171" s="773" t="s">
        <v>609</v>
      </c>
      <c r="B171" s="577" t="s">
        <v>610</v>
      </c>
      <c r="C171" s="775" t="s">
        <v>1141</v>
      </c>
    </row>
    <row r="172" spans="1:3" ht="12.75">
      <c r="A172" s="785" t="s">
        <v>487</v>
      </c>
      <c r="B172" s="775" t="s">
        <v>488</v>
      </c>
      <c r="C172" s="775" t="s">
        <v>1142</v>
      </c>
    </row>
    <row r="173" spans="1:3" ht="11.25" customHeight="1">
      <c r="A173" s="785" t="s">
        <v>489</v>
      </c>
      <c r="B173" s="767" t="s">
        <v>490</v>
      </c>
      <c r="C173" s="784" t="s">
        <v>1196</v>
      </c>
    </row>
    <row r="174" spans="1:3" ht="12.75">
      <c r="A174" s="785" t="s">
        <v>491</v>
      </c>
      <c r="B174" s="775" t="s">
        <v>492</v>
      </c>
      <c r="C174" s="775" t="s">
        <v>1140</v>
      </c>
    </row>
    <row r="175" spans="1:3" ht="12.75">
      <c r="A175" s="785" t="s">
        <v>514</v>
      </c>
      <c r="B175" s="775" t="s">
        <v>598</v>
      </c>
      <c r="C175" s="775" t="s">
        <v>2161</v>
      </c>
    </row>
    <row r="176" spans="1:3" ht="12.75">
      <c r="A176" s="785" t="s">
        <v>515</v>
      </c>
      <c r="B176" s="775" t="s">
        <v>1138</v>
      </c>
      <c r="C176" s="775" t="s">
        <v>1139</v>
      </c>
    </row>
    <row r="177" spans="1:3" ht="12.75">
      <c r="A177" s="785" t="s">
        <v>516</v>
      </c>
      <c r="B177" s="775" t="s">
        <v>599</v>
      </c>
      <c r="C177" s="775" t="s">
        <v>1035</v>
      </c>
    </row>
    <row r="178" spans="1:3" ht="12.75">
      <c r="A178" s="785" t="s">
        <v>520</v>
      </c>
      <c r="B178" s="767" t="s">
        <v>600</v>
      </c>
      <c r="C178" s="775" t="s">
        <v>1068</v>
      </c>
    </row>
    <row r="179" spans="1:3" ht="12.75">
      <c r="A179" s="785" t="s">
        <v>518</v>
      </c>
      <c r="B179" s="775" t="s">
        <v>536</v>
      </c>
      <c r="C179" s="775" t="s">
        <v>1033</v>
      </c>
    </row>
    <row r="180" spans="1:3" ht="12.75">
      <c r="A180" s="785" t="s">
        <v>519</v>
      </c>
      <c r="B180" s="775" t="s">
        <v>537</v>
      </c>
      <c r="C180" s="775" t="s">
        <v>1034</v>
      </c>
    </row>
    <row r="181" spans="1:3" ht="12.75">
      <c r="A181" s="785" t="s">
        <v>753</v>
      </c>
      <c r="B181" s="775" t="s">
        <v>754</v>
      </c>
      <c r="C181" s="775" t="s">
        <v>1081</v>
      </c>
    </row>
    <row r="182" spans="1:3" ht="12.75">
      <c r="A182" s="785" t="s">
        <v>540</v>
      </c>
      <c r="B182" s="775" t="s">
        <v>601</v>
      </c>
      <c r="C182" s="775" t="s">
        <v>1084</v>
      </c>
    </row>
    <row r="183" spans="1:3" ht="50">
      <c r="A183" s="785" t="s">
        <v>603</v>
      </c>
      <c r="B183" s="775" t="s">
        <v>604</v>
      </c>
      <c r="C183" s="775" t="s">
        <v>1135</v>
      </c>
    </row>
    <row r="184" spans="1:3" ht="12.75">
      <c r="A184" s="773" t="s">
        <v>550</v>
      </c>
      <c r="B184" s="577" t="s">
        <v>215</v>
      </c>
      <c r="C184" s="577" t="s">
        <v>1032</v>
      </c>
    </row>
    <row r="185" spans="1:3" ht="12.75">
      <c r="A185" s="773" t="s">
        <v>218</v>
      </c>
      <c r="B185" s="577" t="s">
        <v>219</v>
      </c>
      <c r="C185" s="577" t="s">
        <v>1030</v>
      </c>
    </row>
    <row r="186" spans="1:3" ht="37.5">
      <c r="A186" s="773" t="s">
        <v>880</v>
      </c>
      <c r="B186" s="577" t="s">
        <v>881</v>
      </c>
      <c r="C186" s="775" t="s">
        <v>1134</v>
      </c>
    </row>
    <row r="187" spans="1:3" ht="25">
      <c r="A187" s="773" t="s">
        <v>551</v>
      </c>
      <c r="B187" s="577" t="s">
        <v>552</v>
      </c>
      <c r="C187" s="577" t="s">
        <v>1031</v>
      </c>
    </row>
    <row r="188" spans="1:3" ht="25">
      <c r="A188" s="773" t="s">
        <v>553</v>
      </c>
      <c r="B188" s="577" t="s">
        <v>554</v>
      </c>
      <c r="C188" s="775" t="s">
        <v>1133</v>
      </c>
    </row>
    <row r="189" spans="1:3" ht="39">
      <c r="A189" s="773" t="s">
        <v>555</v>
      </c>
      <c r="B189" s="577" t="s">
        <v>556</v>
      </c>
      <c r="C189" s="775" t="s">
        <v>2001</v>
      </c>
    </row>
    <row r="190" spans="1:3" ht="28">
      <c r="A190" s="773" t="s">
        <v>882</v>
      </c>
      <c r="B190" s="577" t="s">
        <v>883</v>
      </c>
      <c r="C190" s="775" t="s">
        <v>2002</v>
      </c>
    </row>
    <row r="191" spans="1:3" ht="39">
      <c r="A191" s="773" t="s">
        <v>557</v>
      </c>
      <c r="B191" s="577" t="s">
        <v>558</v>
      </c>
      <c r="C191" s="775" t="s">
        <v>2003</v>
      </c>
    </row>
    <row r="192" spans="1:3" ht="12.75">
      <c r="A192" s="773" t="s">
        <v>559</v>
      </c>
      <c r="B192" s="577" t="s">
        <v>559</v>
      </c>
      <c r="C192" s="577" t="s">
        <v>559</v>
      </c>
    </row>
    <row r="193" spans="1:3" ht="12.75">
      <c r="A193" s="773" t="s">
        <v>560</v>
      </c>
      <c r="B193" s="577" t="s">
        <v>561</v>
      </c>
      <c r="C193" s="775" t="s">
        <v>1072</v>
      </c>
    </row>
    <row r="194" spans="1:3" ht="12.75">
      <c r="A194" s="773" t="s">
        <v>359</v>
      </c>
      <c r="B194" s="577" t="s">
        <v>562</v>
      </c>
      <c r="C194" s="577" t="s">
        <v>1016</v>
      </c>
    </row>
    <row r="195" spans="1:3" ht="12.75">
      <c r="A195" s="787" t="s">
        <v>563</v>
      </c>
      <c r="B195" s="788" t="s">
        <v>564</v>
      </c>
      <c r="C195" s="788" t="s">
        <v>1029</v>
      </c>
    </row>
    <row r="196" spans="1:3" ht="12.75">
      <c r="A196" s="785" t="s">
        <v>565</v>
      </c>
      <c r="B196" s="775" t="s">
        <v>566</v>
      </c>
      <c r="C196" s="775" t="s">
        <v>1021</v>
      </c>
    </row>
    <row r="197" spans="1:3" ht="12.75">
      <c r="A197" s="785" t="s">
        <v>567</v>
      </c>
      <c r="B197" s="775" t="s">
        <v>568</v>
      </c>
      <c r="C197" s="775" t="s">
        <v>1022</v>
      </c>
    </row>
    <row r="198" spans="1:3" ht="12.75">
      <c r="A198" s="785" t="s">
        <v>569</v>
      </c>
      <c r="B198" s="775" t="s">
        <v>570</v>
      </c>
      <c r="C198" s="775" t="s">
        <v>1023</v>
      </c>
    </row>
    <row r="199" spans="1:3" ht="12.75">
      <c r="A199" s="785" t="s">
        <v>571</v>
      </c>
      <c r="B199" s="775" t="s">
        <v>572</v>
      </c>
      <c r="C199" s="775" t="s">
        <v>1024</v>
      </c>
    </row>
    <row r="200" spans="1:3" ht="12.75">
      <c r="A200" s="785" t="s">
        <v>845</v>
      </c>
      <c r="B200" s="775" t="s">
        <v>846</v>
      </c>
      <c r="C200" s="775" t="s">
        <v>1025</v>
      </c>
    </row>
    <row r="201" spans="1:3" ht="12.75">
      <c r="A201" s="785" t="s">
        <v>847</v>
      </c>
      <c r="B201" s="775" t="s">
        <v>848</v>
      </c>
      <c r="C201" s="775" t="s">
        <v>1026</v>
      </c>
    </row>
    <row r="202" spans="1:3" ht="12.75">
      <c r="A202" s="785" t="s">
        <v>849</v>
      </c>
      <c r="B202" s="775" t="s">
        <v>850</v>
      </c>
      <c r="C202" s="775" t="s">
        <v>1027</v>
      </c>
    </row>
    <row r="203" spans="1:3" ht="12.75">
      <c r="A203" s="785" t="s">
        <v>851</v>
      </c>
      <c r="B203" s="775" t="s">
        <v>852</v>
      </c>
      <c r="C203" s="775" t="s">
        <v>1028</v>
      </c>
    </row>
    <row r="204" spans="1:3" ht="12.75">
      <c r="A204" s="770" t="s">
        <v>573</v>
      </c>
      <c r="B204" s="767" t="s">
        <v>201</v>
      </c>
      <c r="C204" s="577" t="s">
        <v>1020</v>
      </c>
    </row>
    <row r="205" spans="1:3" ht="12.75">
      <c r="A205" s="783" t="s">
        <v>136</v>
      </c>
      <c r="B205" s="771" t="s">
        <v>202</v>
      </c>
      <c r="C205" s="775" t="s">
        <v>1017</v>
      </c>
    </row>
    <row r="206" spans="1:3" ht="12.75">
      <c r="A206" s="783" t="s">
        <v>574</v>
      </c>
      <c r="B206" s="771" t="s">
        <v>576</v>
      </c>
      <c r="C206" s="775" t="s">
        <v>1018</v>
      </c>
    </row>
    <row r="207" spans="1:3" ht="12.75">
      <c r="A207" s="783" t="s">
        <v>575</v>
      </c>
      <c r="B207" s="771" t="s">
        <v>410</v>
      </c>
      <c r="C207" s="775" t="s">
        <v>1019</v>
      </c>
    </row>
    <row r="208" spans="1:3" ht="12.75">
      <c r="A208" s="773" t="s">
        <v>560</v>
      </c>
      <c r="B208" s="577" t="s">
        <v>561</v>
      </c>
      <c r="C208" s="775" t="s">
        <v>1072</v>
      </c>
    </row>
    <row r="209" spans="1:3" ht="12.75">
      <c r="A209" s="773" t="s">
        <v>359</v>
      </c>
      <c r="B209" s="577" t="s">
        <v>562</v>
      </c>
      <c r="C209" s="577" t="s">
        <v>1016</v>
      </c>
    </row>
    <row r="210" spans="1:3" ht="37.5">
      <c r="A210" s="789" t="s">
        <v>577</v>
      </c>
      <c r="B210" s="790" t="s">
        <v>578</v>
      </c>
      <c r="C210" s="791" t="s">
        <v>1102</v>
      </c>
    </row>
    <row r="211" spans="1:3" ht="12.75">
      <c r="A211" s="792" t="s">
        <v>579</v>
      </c>
      <c r="B211" s="793" t="s">
        <v>580</v>
      </c>
      <c r="C211" s="791" t="s">
        <v>1103</v>
      </c>
    </row>
    <row r="212" spans="1:3" ht="12.75">
      <c r="A212" s="792" t="s">
        <v>581</v>
      </c>
      <c r="B212" s="793" t="s">
        <v>582</v>
      </c>
      <c r="C212" s="791" t="s">
        <v>1104</v>
      </c>
    </row>
    <row r="213" spans="1:3" ht="12.75">
      <c r="A213" s="792" t="s">
        <v>583</v>
      </c>
      <c r="B213" s="793" t="s">
        <v>584</v>
      </c>
      <c r="C213" s="791" t="s">
        <v>1105</v>
      </c>
    </row>
    <row r="214" spans="1:3" ht="37.5">
      <c r="A214" s="789" t="s">
        <v>585</v>
      </c>
      <c r="B214" s="794" t="s">
        <v>586</v>
      </c>
      <c r="C214" s="791" t="s">
        <v>1107</v>
      </c>
    </row>
    <row r="215" spans="1:3" ht="37.5">
      <c r="A215" s="789" t="s">
        <v>587</v>
      </c>
      <c r="B215" s="794" t="s">
        <v>588</v>
      </c>
      <c r="C215" s="791" t="s">
        <v>1130</v>
      </c>
    </row>
    <row r="216" spans="1:3" ht="37.5">
      <c r="A216" s="789" t="s">
        <v>589</v>
      </c>
      <c r="B216" s="794" t="s">
        <v>590</v>
      </c>
      <c r="C216" s="791" t="s">
        <v>1106</v>
      </c>
    </row>
    <row r="217" spans="1:3" ht="12.75">
      <c r="A217" s="792" t="s">
        <v>591</v>
      </c>
      <c r="B217" s="793" t="s">
        <v>605</v>
      </c>
      <c r="C217" s="791" t="s">
        <v>1108</v>
      </c>
    </row>
    <row r="218" spans="1:3" ht="12.75">
      <c r="A218" s="792" t="s">
        <v>592</v>
      </c>
      <c r="B218" s="793" t="s">
        <v>606</v>
      </c>
      <c r="C218" s="791" t="s">
        <v>1109</v>
      </c>
    </row>
    <row r="219" spans="1:3" ht="12.75">
      <c r="A219" s="792" t="s">
        <v>593</v>
      </c>
      <c r="B219" s="793" t="s">
        <v>607</v>
      </c>
      <c r="C219" s="791" t="s">
        <v>1110</v>
      </c>
    </row>
    <row r="220" spans="1:3" ht="12.75">
      <c r="A220" s="792" t="s">
        <v>594</v>
      </c>
      <c r="B220" s="793" t="s">
        <v>602</v>
      </c>
      <c r="C220" s="791" t="s">
        <v>1111</v>
      </c>
    </row>
    <row r="221" spans="1:3" ht="12.75">
      <c r="A221" s="792" t="s">
        <v>595</v>
      </c>
      <c r="B221" s="793" t="s">
        <v>608</v>
      </c>
      <c r="C221" s="790" t="s">
        <v>997</v>
      </c>
    </row>
    <row r="222" spans="1:3" ht="25">
      <c r="A222" s="773" t="s">
        <v>596</v>
      </c>
      <c r="B222" s="577" t="s">
        <v>597</v>
      </c>
      <c r="C222" s="577" t="s">
        <v>1112</v>
      </c>
    </row>
    <row r="223" spans="1:3" ht="12.75">
      <c r="A223" s="773" t="s">
        <v>611</v>
      </c>
      <c r="B223" s="577" t="s">
        <v>886</v>
      </c>
      <c r="C223" s="577" t="s">
        <v>1343</v>
      </c>
    </row>
    <row r="224" spans="1:3" ht="12.75">
      <c r="A224" s="773" t="s">
        <v>614</v>
      </c>
      <c r="B224" s="577" t="s">
        <v>615</v>
      </c>
      <c r="C224" s="784" t="s">
        <v>1136</v>
      </c>
    </row>
    <row r="225" spans="1:3" ht="12.75">
      <c r="A225" s="770" t="s">
        <v>617</v>
      </c>
      <c r="B225" s="767" t="s">
        <v>618</v>
      </c>
      <c r="C225" s="577" t="s">
        <v>1332</v>
      </c>
    </row>
    <row r="226" spans="1:3" ht="37.5">
      <c r="A226" s="773" t="s">
        <v>619</v>
      </c>
      <c r="B226" s="577" t="s">
        <v>620</v>
      </c>
      <c r="C226" s="775" t="s">
        <v>1113</v>
      </c>
    </row>
    <row r="227" spans="1:3" ht="12.75">
      <c r="A227" s="773" t="s">
        <v>622</v>
      </c>
      <c r="B227" s="577" t="s">
        <v>623</v>
      </c>
      <c r="C227" s="577" t="s">
        <v>1200</v>
      </c>
    </row>
    <row r="228" spans="1:3" ht="12.75">
      <c r="A228" s="782" t="s">
        <v>539</v>
      </c>
      <c r="B228" s="767" t="s">
        <v>624</v>
      </c>
      <c r="C228" s="796" t="s">
        <v>995</v>
      </c>
    </row>
    <row r="229" spans="1:3" ht="12.75">
      <c r="A229" s="782" t="s">
        <v>538</v>
      </c>
      <c r="B229" s="767" t="s">
        <v>625</v>
      </c>
      <c r="C229" s="796" t="s">
        <v>996</v>
      </c>
    </row>
    <row r="230" spans="1:3" ht="12.75">
      <c r="A230" s="782" t="s">
        <v>626</v>
      </c>
      <c r="B230" s="767" t="s">
        <v>627</v>
      </c>
      <c r="C230" s="796" t="s">
        <v>1201</v>
      </c>
    </row>
    <row r="231" spans="1:3" ht="12.75">
      <c r="A231" s="782" t="s">
        <v>628</v>
      </c>
      <c r="B231" s="767" t="s">
        <v>629</v>
      </c>
      <c r="C231" s="797" t="s">
        <v>1101</v>
      </c>
    </row>
    <row r="232" spans="1:3" ht="12.75">
      <c r="A232" s="782" t="s">
        <v>630</v>
      </c>
      <c r="B232" s="767" t="s">
        <v>630</v>
      </c>
      <c r="C232" s="796" t="s">
        <v>630</v>
      </c>
    </row>
    <row r="233" spans="1:3" ht="25">
      <c r="A233" s="795" t="s">
        <v>632</v>
      </c>
      <c r="B233" s="775" t="s">
        <v>633</v>
      </c>
      <c r="C233" s="796" t="s">
        <v>1015</v>
      </c>
    </row>
    <row r="234" spans="1:3" ht="12.75">
      <c r="A234" s="782" t="s">
        <v>634</v>
      </c>
      <c r="B234" s="771" t="s">
        <v>635</v>
      </c>
      <c r="C234" s="796" t="s">
        <v>1290</v>
      </c>
    </row>
    <row r="235" spans="1:3" ht="25">
      <c r="A235" s="795" t="s">
        <v>804</v>
      </c>
      <c r="B235" s="775" t="s">
        <v>637</v>
      </c>
      <c r="C235" s="796" t="s">
        <v>994</v>
      </c>
    </row>
    <row r="236" spans="1:3" ht="12.75">
      <c r="A236" s="795" t="s">
        <v>711</v>
      </c>
      <c r="B236" s="775" t="s">
        <v>710</v>
      </c>
      <c r="C236" s="796" t="s">
        <v>993</v>
      </c>
    </row>
    <row r="237" spans="1:3" ht="25">
      <c r="A237" s="795" t="s">
        <v>904</v>
      </c>
      <c r="B237" s="775" t="s">
        <v>905</v>
      </c>
      <c r="C237" s="796" t="s">
        <v>1095</v>
      </c>
    </row>
    <row r="238" spans="1:3" ht="12.75">
      <c r="A238" s="795" t="s">
        <v>903</v>
      </c>
      <c r="B238" s="775" t="s">
        <v>906</v>
      </c>
      <c r="C238" s="796" t="s">
        <v>1096</v>
      </c>
    </row>
    <row r="239" spans="1:3" ht="12.75">
      <c r="A239" s="795" t="s">
        <v>901</v>
      </c>
      <c r="B239" s="775" t="s">
        <v>907</v>
      </c>
      <c r="C239" s="796" t="s">
        <v>1097</v>
      </c>
    </row>
    <row r="240" spans="1:3" ht="12.75">
      <c r="A240" s="795" t="s">
        <v>902</v>
      </c>
      <c r="B240" s="775" t="s">
        <v>908</v>
      </c>
      <c r="C240" s="796" t="s">
        <v>1098</v>
      </c>
    </row>
    <row r="241" spans="1:3" ht="25">
      <c r="A241" s="795" t="s">
        <v>785</v>
      </c>
      <c r="B241" s="775" t="s">
        <v>715</v>
      </c>
      <c r="C241" s="797" t="s">
        <v>1099</v>
      </c>
    </row>
    <row r="242" spans="1:3" ht="25">
      <c r="A242" s="795" t="s">
        <v>786</v>
      </c>
      <c r="B242" s="775" t="s">
        <v>716</v>
      </c>
      <c r="C242" s="797" t="s">
        <v>1100</v>
      </c>
    </row>
    <row r="243" spans="1:5" ht="12.75">
      <c r="A243" s="795" t="s">
        <v>777</v>
      </c>
      <c r="B243" s="775" t="s">
        <v>735</v>
      </c>
      <c r="C243" s="796" t="s">
        <v>1248</v>
      </c>
      <c r="E243" s="798"/>
    </row>
    <row r="244" spans="1:5" ht="12.75">
      <c r="A244" s="795" t="s">
        <v>776</v>
      </c>
      <c r="B244" s="775" t="s">
        <v>736</v>
      </c>
      <c r="C244" s="796" t="s">
        <v>1249</v>
      </c>
      <c r="E244" s="798"/>
    </row>
    <row r="245" spans="1:5" ht="12.75">
      <c r="A245" s="795" t="s">
        <v>781</v>
      </c>
      <c r="B245" s="775" t="s">
        <v>737</v>
      </c>
      <c r="C245" s="796" t="s">
        <v>1250</v>
      </c>
      <c r="E245" s="798"/>
    </row>
    <row r="246" spans="1:5" ht="12.75">
      <c r="A246" s="795" t="s">
        <v>778</v>
      </c>
      <c r="B246" s="775" t="s">
        <v>738</v>
      </c>
      <c r="C246" s="796" t="s">
        <v>1251</v>
      </c>
      <c r="E246" s="798"/>
    </row>
    <row r="247" spans="1:5" ht="12.75">
      <c r="A247" s="795" t="s">
        <v>782</v>
      </c>
      <c r="B247" s="775" t="s">
        <v>739</v>
      </c>
      <c r="C247" s="796" t="s">
        <v>1252</v>
      </c>
      <c r="E247" s="798"/>
    </row>
    <row r="248" spans="1:5" ht="12.75">
      <c r="A248" s="795" t="s">
        <v>779</v>
      </c>
      <c r="B248" s="775" t="s">
        <v>740</v>
      </c>
      <c r="C248" s="796" t="s">
        <v>1253</v>
      </c>
      <c r="E248" s="798"/>
    </row>
    <row r="249" spans="1:5" ht="12.75">
      <c r="A249" s="795" t="s">
        <v>783</v>
      </c>
      <c r="B249" s="775" t="s">
        <v>741</v>
      </c>
      <c r="C249" s="796" t="s">
        <v>1490</v>
      </c>
      <c r="E249" s="798"/>
    </row>
    <row r="250" spans="1:5" ht="12.75">
      <c r="A250" s="795" t="s">
        <v>780</v>
      </c>
      <c r="B250" s="775" t="s">
        <v>742</v>
      </c>
      <c r="C250" s="796" t="s">
        <v>1491</v>
      </c>
      <c r="E250" s="798"/>
    </row>
    <row r="251" spans="1:3" ht="12.75">
      <c r="A251" s="795" t="s">
        <v>802</v>
      </c>
      <c r="B251" s="775" t="s">
        <v>803</v>
      </c>
      <c r="C251" s="796" t="s">
        <v>992</v>
      </c>
    </row>
    <row r="252" spans="1:3" ht="12.75">
      <c r="A252" s="795" t="s">
        <v>821</v>
      </c>
      <c r="B252" s="775" t="s">
        <v>823</v>
      </c>
      <c r="C252" s="797" t="s">
        <v>1114</v>
      </c>
    </row>
    <row r="253" spans="1:3" ht="12.75">
      <c r="A253" s="795" t="s">
        <v>822</v>
      </c>
      <c r="B253" s="775" t="s">
        <v>824</v>
      </c>
      <c r="C253" s="797" t="s">
        <v>2237</v>
      </c>
    </row>
    <row r="254" spans="1:3" ht="12.75">
      <c r="A254" s="795" t="s">
        <v>787</v>
      </c>
      <c r="B254" s="775" t="s">
        <v>712</v>
      </c>
      <c r="C254" s="797" t="s">
        <v>1115</v>
      </c>
    </row>
    <row r="255" spans="1:3" ht="12.75">
      <c r="A255" s="770" t="s">
        <v>825</v>
      </c>
      <c r="B255" s="767" t="s">
        <v>829</v>
      </c>
      <c r="C255" s="775" t="s">
        <v>1131</v>
      </c>
    </row>
    <row r="256" spans="1:3" ht="12.75">
      <c r="A256" s="770" t="s">
        <v>827</v>
      </c>
      <c r="B256" s="767" t="s">
        <v>831</v>
      </c>
      <c r="C256" s="775" t="s">
        <v>1132</v>
      </c>
    </row>
    <row r="257" spans="1:3" ht="12.75">
      <c r="A257" s="770" t="s">
        <v>826</v>
      </c>
      <c r="B257" s="767" t="s">
        <v>830</v>
      </c>
      <c r="C257" s="775" t="s">
        <v>1116</v>
      </c>
    </row>
    <row r="258" spans="1:3" ht="12.75">
      <c r="A258" s="770" t="s">
        <v>828</v>
      </c>
      <c r="B258" s="767" t="s">
        <v>832</v>
      </c>
      <c r="C258" s="775" t="s">
        <v>1117</v>
      </c>
    </row>
    <row r="259" spans="1:3" ht="12.75">
      <c r="A259" s="770" t="s">
        <v>784</v>
      </c>
      <c r="B259" s="767" t="s">
        <v>713</v>
      </c>
      <c r="C259" s="775" t="s">
        <v>1118</v>
      </c>
    </row>
    <row r="260" spans="1:3" ht="12.75">
      <c r="A260" s="783" t="s">
        <v>725</v>
      </c>
      <c r="B260" s="771" t="s">
        <v>717</v>
      </c>
      <c r="C260" s="775" t="s">
        <v>1119</v>
      </c>
    </row>
    <row r="261" spans="1:3" ht="12.75">
      <c r="A261" s="783" t="s">
        <v>726</v>
      </c>
      <c r="B261" s="771" t="s">
        <v>718</v>
      </c>
      <c r="C261" s="775" t="s">
        <v>1120</v>
      </c>
    </row>
    <row r="262" spans="1:3" ht="12.75">
      <c r="A262" s="783" t="s">
        <v>727</v>
      </c>
      <c r="B262" s="771" t="s">
        <v>719</v>
      </c>
      <c r="C262" s="775" t="s">
        <v>1121</v>
      </c>
    </row>
    <row r="263" spans="1:3" ht="12.75">
      <c r="A263" s="783" t="s">
        <v>728</v>
      </c>
      <c r="B263" s="771" t="s">
        <v>720</v>
      </c>
      <c r="C263" s="775" t="s">
        <v>1122</v>
      </c>
    </row>
    <row r="264" spans="1:3" ht="12.75">
      <c r="A264" s="783" t="s">
        <v>729</v>
      </c>
      <c r="B264" s="771" t="s">
        <v>721</v>
      </c>
      <c r="C264" s="775" t="s">
        <v>1123</v>
      </c>
    </row>
    <row r="265" spans="1:3" ht="12.75">
      <c r="A265" s="783" t="s">
        <v>730</v>
      </c>
      <c r="B265" s="771" t="s">
        <v>722</v>
      </c>
      <c r="C265" s="775" t="s">
        <v>1124</v>
      </c>
    </row>
    <row r="266" spans="1:3" ht="12.75">
      <c r="A266" s="783" t="s">
        <v>731</v>
      </c>
      <c r="B266" s="771" t="s">
        <v>723</v>
      </c>
      <c r="C266" s="775" t="s">
        <v>1125</v>
      </c>
    </row>
    <row r="267" spans="1:3" ht="12.75">
      <c r="A267" s="783" t="s">
        <v>732</v>
      </c>
      <c r="B267" s="771" t="s">
        <v>724</v>
      </c>
      <c r="C267" s="775" t="s">
        <v>1126</v>
      </c>
    </row>
    <row r="268" spans="1:3" ht="12.75">
      <c r="A268" s="783" t="s">
        <v>734</v>
      </c>
      <c r="B268" s="771" t="s">
        <v>805</v>
      </c>
      <c r="C268" s="775" t="s">
        <v>1127</v>
      </c>
    </row>
    <row r="269" spans="1:3" ht="37.5">
      <c r="A269" s="785" t="s">
        <v>889</v>
      </c>
      <c r="B269" s="775" t="s">
        <v>890</v>
      </c>
      <c r="C269" s="778" t="s">
        <v>1067</v>
      </c>
    </row>
    <row r="270" spans="1:3" ht="12.75">
      <c r="A270" s="783" t="s">
        <v>705</v>
      </c>
      <c r="B270" s="771" t="s">
        <v>744</v>
      </c>
      <c r="C270" s="775" t="s">
        <v>1010</v>
      </c>
    </row>
    <row r="271" spans="1:3" ht="12.75">
      <c r="A271" s="783" t="s">
        <v>743</v>
      </c>
      <c r="B271" s="771" t="s">
        <v>745</v>
      </c>
      <c r="C271" s="775" t="s">
        <v>1009</v>
      </c>
    </row>
    <row r="272" spans="1:3" ht="12.75">
      <c r="A272" s="783" t="s">
        <v>749</v>
      </c>
      <c r="B272" s="771" t="s">
        <v>746</v>
      </c>
      <c r="C272" s="775" t="s">
        <v>1011</v>
      </c>
    </row>
    <row r="273" spans="1:3" ht="12.75">
      <c r="A273" s="783" t="s">
        <v>750</v>
      </c>
      <c r="B273" s="771" t="s">
        <v>747</v>
      </c>
      <c r="C273" s="775" t="s">
        <v>2204</v>
      </c>
    </row>
    <row r="274" spans="1:3" ht="12.75">
      <c r="A274" s="783" t="s">
        <v>751</v>
      </c>
      <c r="B274" s="771" t="s">
        <v>748</v>
      </c>
      <c r="C274" s="775" t="s">
        <v>2205</v>
      </c>
    </row>
    <row r="275" spans="1:3" ht="12.75">
      <c r="A275" s="783" t="s">
        <v>752</v>
      </c>
      <c r="B275" s="771" t="s">
        <v>706</v>
      </c>
      <c r="C275" s="775" t="s">
        <v>1012</v>
      </c>
    </row>
    <row r="276" spans="1:3" ht="12.75">
      <c r="A276" s="783" t="s">
        <v>707</v>
      </c>
      <c r="B276" s="771" t="s">
        <v>707</v>
      </c>
      <c r="C276" s="775" t="s">
        <v>1013</v>
      </c>
    </row>
    <row r="277" spans="1:3" ht="12.75">
      <c r="A277" s="783" t="s">
        <v>708</v>
      </c>
      <c r="B277" s="771" t="s">
        <v>708</v>
      </c>
      <c r="C277" s="775" t="s">
        <v>1014</v>
      </c>
    </row>
    <row r="278" spans="1:3" ht="12.75">
      <c r="A278" s="783" t="s">
        <v>709</v>
      </c>
      <c r="B278" s="771" t="s">
        <v>709</v>
      </c>
      <c r="C278" s="784" t="s">
        <v>1137</v>
      </c>
    </row>
    <row r="279" spans="1:3" ht="37.5">
      <c r="A279" s="785" t="s">
        <v>856</v>
      </c>
      <c r="B279" s="775" t="s">
        <v>885</v>
      </c>
      <c r="C279" s="775" t="s">
        <v>1083</v>
      </c>
    </row>
    <row r="280" spans="1:3" ht="25">
      <c r="A280" s="785" t="s">
        <v>836</v>
      </c>
      <c r="B280" s="775" t="s">
        <v>837</v>
      </c>
      <c r="C280" s="775" t="s">
        <v>1080</v>
      </c>
    </row>
    <row r="281" spans="1:3" ht="12.75">
      <c r="A281" s="783" t="s">
        <v>770</v>
      </c>
      <c r="B281" s="771" t="s">
        <v>920</v>
      </c>
      <c r="C281" s="775" t="s">
        <v>1008</v>
      </c>
    </row>
    <row r="282" spans="1:3" ht="12.75">
      <c r="A282" s="783" t="s">
        <v>756</v>
      </c>
      <c r="B282" s="771" t="s">
        <v>757</v>
      </c>
      <c r="C282" s="775" t="s">
        <v>1077</v>
      </c>
    </row>
    <row r="283" spans="1:3" ht="12.75">
      <c r="A283" s="783" t="s">
        <v>759</v>
      </c>
      <c r="B283" s="771" t="s">
        <v>767</v>
      </c>
      <c r="C283" s="775" t="s">
        <v>998</v>
      </c>
    </row>
    <row r="284" spans="1:3" ht="12.75">
      <c r="A284" s="783" t="s">
        <v>760</v>
      </c>
      <c r="B284" s="771" t="s">
        <v>768</v>
      </c>
      <c r="C284" s="775" t="s">
        <v>999</v>
      </c>
    </row>
    <row r="285" spans="1:3" ht="12.75">
      <c r="A285" s="783" t="s">
        <v>761</v>
      </c>
      <c r="B285" s="771" t="s">
        <v>766</v>
      </c>
      <c r="C285" s="775" t="s">
        <v>1000</v>
      </c>
    </row>
    <row r="286" spans="1:3" ht="12.75">
      <c r="A286" s="783" t="s">
        <v>762</v>
      </c>
      <c r="B286" s="771" t="s">
        <v>769</v>
      </c>
      <c r="C286" s="775" t="s">
        <v>1001</v>
      </c>
    </row>
    <row r="287" spans="1:3" ht="12.75">
      <c r="A287" s="783" t="s">
        <v>763</v>
      </c>
      <c r="B287" s="771" t="s">
        <v>919</v>
      </c>
      <c r="C287" s="775" t="s">
        <v>1002</v>
      </c>
    </row>
    <row r="288" spans="1:3" ht="12.75">
      <c r="A288" s="783" t="s">
        <v>764</v>
      </c>
      <c r="B288" s="771" t="s">
        <v>765</v>
      </c>
      <c r="C288" s="775" t="s">
        <v>1082</v>
      </c>
    </row>
    <row r="289" spans="1:3" ht="12.75">
      <c r="A289" s="783" t="s">
        <v>774</v>
      </c>
      <c r="B289" s="771" t="s">
        <v>798</v>
      </c>
      <c r="C289" s="823" t="s">
        <v>1129</v>
      </c>
    </row>
    <row r="290" spans="1:3" ht="12.75">
      <c r="A290" s="783" t="s">
        <v>775</v>
      </c>
      <c r="B290" s="771" t="s">
        <v>799</v>
      </c>
      <c r="C290" s="823" t="s">
        <v>1085</v>
      </c>
    </row>
    <row r="291" spans="1:3" ht="12.75">
      <c r="A291" s="783" t="s">
        <v>838</v>
      </c>
      <c r="B291" s="771" t="s">
        <v>839</v>
      </c>
      <c r="C291" s="823" t="s">
        <v>1086</v>
      </c>
    </row>
    <row r="292" spans="1:3" ht="12.75">
      <c r="A292" s="783" t="s">
        <v>772</v>
      </c>
      <c r="B292" s="771" t="s">
        <v>792</v>
      </c>
      <c r="C292" s="823" t="s">
        <v>1087</v>
      </c>
    </row>
    <row r="293" spans="1:3" ht="12.75">
      <c r="A293" s="783" t="s">
        <v>773</v>
      </c>
      <c r="B293" s="771" t="s">
        <v>793</v>
      </c>
      <c r="C293" s="823" t="s">
        <v>1088</v>
      </c>
    </row>
    <row r="294" spans="1:3" ht="12.75">
      <c r="A294" s="783" t="s">
        <v>788</v>
      </c>
      <c r="B294" s="771" t="s">
        <v>796</v>
      </c>
      <c r="C294" s="823" t="s">
        <v>1089</v>
      </c>
    </row>
    <row r="295" spans="1:3" ht="12.75">
      <c r="A295" s="783" t="s">
        <v>789</v>
      </c>
      <c r="B295" s="771" t="s">
        <v>797</v>
      </c>
      <c r="C295" s="823" t="s">
        <v>1090</v>
      </c>
    </row>
    <row r="296" spans="1:3" ht="12.75">
      <c r="A296" s="783" t="s">
        <v>790</v>
      </c>
      <c r="B296" s="771" t="s">
        <v>794</v>
      </c>
      <c r="C296" s="823" t="s">
        <v>1091</v>
      </c>
    </row>
    <row r="297" spans="1:3" ht="12.75">
      <c r="A297" s="783" t="s">
        <v>791</v>
      </c>
      <c r="B297" s="771" t="s">
        <v>795</v>
      </c>
      <c r="C297" s="823" t="s">
        <v>1092</v>
      </c>
    </row>
    <row r="298" spans="1:3" ht="12.75">
      <c r="A298" s="783" t="s">
        <v>835</v>
      </c>
      <c r="B298" s="771" t="s">
        <v>834</v>
      </c>
      <c r="C298" s="775" t="s">
        <v>1079</v>
      </c>
    </row>
    <row r="299" spans="1:3" ht="12.75">
      <c r="A299" s="783" t="s">
        <v>841</v>
      </c>
      <c r="B299" s="771" t="s">
        <v>842</v>
      </c>
      <c r="C299" s="775" t="s">
        <v>1007</v>
      </c>
    </row>
    <row r="300" spans="1:3" ht="12.75">
      <c r="A300" s="783" t="s">
        <v>866</v>
      </c>
      <c r="B300" s="771" t="s">
        <v>929</v>
      </c>
      <c r="C300" s="775" t="s">
        <v>1078</v>
      </c>
    </row>
    <row r="301" spans="1:3" ht="12.75">
      <c r="A301" s="783" t="s">
        <v>863</v>
      </c>
      <c r="B301" s="771" t="s">
        <v>860</v>
      </c>
      <c r="C301" s="775" t="s">
        <v>1855</v>
      </c>
    </row>
    <row r="302" spans="1:3" ht="25">
      <c r="A302" s="783" t="s">
        <v>864</v>
      </c>
      <c r="B302" s="771" t="s">
        <v>861</v>
      </c>
      <c r="C302" s="775" t="s">
        <v>1856</v>
      </c>
    </row>
    <row r="303" spans="1:3" ht="12.75">
      <c r="A303" s="783" t="s">
        <v>865</v>
      </c>
      <c r="B303" s="771" t="s">
        <v>862</v>
      </c>
      <c r="C303" s="775" t="s">
        <v>1128</v>
      </c>
    </row>
    <row r="304" spans="1:3" ht="12.75">
      <c r="A304" s="783" t="s">
        <v>843</v>
      </c>
      <c r="B304" s="771" t="s">
        <v>844</v>
      </c>
      <c r="C304" s="775" t="s">
        <v>1005</v>
      </c>
    </row>
    <row r="305" spans="1:3" ht="12.75">
      <c r="A305" s="783" t="s">
        <v>854</v>
      </c>
      <c r="B305" s="771" t="s">
        <v>870</v>
      </c>
      <c r="C305" s="775" t="s">
        <v>1004</v>
      </c>
    </row>
    <row r="306" spans="1:3" ht="12.75">
      <c r="A306" s="783" t="s">
        <v>855</v>
      </c>
      <c r="B306" s="793" t="s">
        <v>869</v>
      </c>
      <c r="C306" s="775" t="s">
        <v>1006</v>
      </c>
    </row>
    <row r="307" spans="1:3" ht="12.75">
      <c r="A307" s="783" t="s">
        <v>868</v>
      </c>
      <c r="B307" s="771" t="s">
        <v>867</v>
      </c>
      <c r="C307" s="775" t="s">
        <v>1003</v>
      </c>
    </row>
    <row r="308" spans="2:3" ht="25">
      <c r="B308" s="788" t="s">
        <v>541</v>
      </c>
      <c r="C308" s="788" t="s">
        <v>1209</v>
      </c>
    </row>
    <row r="309" spans="2:3" ht="12.75">
      <c r="B309" s="788" t="s">
        <v>1220</v>
      </c>
      <c r="C309" s="788" t="s">
        <v>1210</v>
      </c>
    </row>
    <row r="310" spans="2:3" ht="12.75">
      <c r="B310" s="788" t="s">
        <v>1221</v>
      </c>
      <c r="C310" s="788" t="s">
        <v>941</v>
      </c>
    </row>
    <row r="311" spans="2:3" ht="12.75">
      <c r="B311" s="788" t="s">
        <v>1222</v>
      </c>
      <c r="C311" s="788" t="s">
        <v>942</v>
      </c>
    </row>
    <row r="312" spans="2:3" ht="12.75">
      <c r="B312" s="771" t="s">
        <v>1212</v>
      </c>
      <c r="C312" s="775" t="s">
        <v>1211</v>
      </c>
    </row>
    <row r="313" spans="2:3" ht="25">
      <c r="B313" s="775" t="s">
        <v>1223</v>
      </c>
      <c r="C313" s="775"/>
    </row>
    <row r="314" spans="2:3" ht="37.5">
      <c r="B314" s="577" t="s">
        <v>1224</v>
      </c>
      <c r="C314" s="775" t="s">
        <v>1960</v>
      </c>
    </row>
    <row r="315" spans="2:3" ht="25">
      <c r="B315" s="778" t="s">
        <v>1214</v>
      </c>
      <c r="C315" s="778" t="s">
        <v>1213</v>
      </c>
    </row>
    <row r="316" spans="2:3" ht="25">
      <c r="B316" s="777" t="s">
        <v>1215</v>
      </c>
      <c r="C316" s="775" t="s">
        <v>1216</v>
      </c>
    </row>
    <row r="317" spans="2:3" ht="12.75">
      <c r="B317" s="767" t="s">
        <v>1238</v>
      </c>
      <c r="C317" s="577" t="s">
        <v>1237</v>
      </c>
    </row>
    <row r="318" spans="2:3" ht="25">
      <c r="B318" s="777" t="s">
        <v>1217</v>
      </c>
      <c r="C318" s="777" t="s">
        <v>1330</v>
      </c>
    </row>
    <row r="319" spans="2:3" ht="37.5">
      <c r="B319" s="777" t="s">
        <v>1218</v>
      </c>
      <c r="C319" s="577" t="s">
        <v>1219</v>
      </c>
    </row>
    <row r="320" spans="2:3" ht="25">
      <c r="B320" s="577" t="s">
        <v>1225</v>
      </c>
      <c r="C320" s="577" t="s">
        <v>1255</v>
      </c>
    </row>
    <row r="321" spans="2:3" ht="37.5">
      <c r="B321" s="777" t="s">
        <v>1226</v>
      </c>
      <c r="C321" s="577" t="s">
        <v>1256</v>
      </c>
    </row>
    <row r="322" spans="2:3" ht="12.75">
      <c r="B322" s="767" t="s">
        <v>1227</v>
      </c>
      <c r="C322" s="577" t="s">
        <v>1257</v>
      </c>
    </row>
    <row r="323" spans="2:3" ht="12.75">
      <c r="B323" s="767" t="s">
        <v>1228</v>
      </c>
      <c r="C323" s="577" t="s">
        <v>2206</v>
      </c>
    </row>
    <row r="324" spans="2:3" ht="12.75">
      <c r="B324" s="577" t="s">
        <v>1283</v>
      </c>
      <c r="C324" s="577" t="s">
        <v>1285</v>
      </c>
    </row>
    <row r="325" spans="2:3" ht="25">
      <c r="B325" s="577" t="s">
        <v>1284</v>
      </c>
      <c r="C325" s="577" t="s">
        <v>1961</v>
      </c>
    </row>
    <row r="326" spans="2:3" ht="12.75">
      <c r="B326" s="767" t="s">
        <v>1229</v>
      </c>
      <c r="C326" s="577" t="s">
        <v>1258</v>
      </c>
    </row>
    <row r="327" spans="2:3" ht="12.75">
      <c r="B327" s="767" t="s">
        <v>1230</v>
      </c>
      <c r="C327" s="577" t="s">
        <v>1264</v>
      </c>
    </row>
    <row r="328" spans="2:3" ht="12.75">
      <c r="B328" s="767" t="s">
        <v>1231</v>
      </c>
      <c r="C328" s="577" t="s">
        <v>1265</v>
      </c>
    </row>
    <row r="329" spans="2:3" ht="25">
      <c r="B329" s="577" t="s">
        <v>1232</v>
      </c>
      <c r="C329" s="577" t="s">
        <v>1259</v>
      </c>
    </row>
    <row r="330" spans="2:3" ht="25">
      <c r="B330" s="577" t="s">
        <v>1260</v>
      </c>
      <c r="C330" s="577" t="s">
        <v>1261</v>
      </c>
    </row>
    <row r="331" spans="2:3" ht="12.75">
      <c r="B331" s="767" t="s">
        <v>1233</v>
      </c>
      <c r="C331" s="577" t="s">
        <v>1266</v>
      </c>
    </row>
    <row r="332" spans="2:3" ht="12.75">
      <c r="B332" s="767" t="s">
        <v>1234</v>
      </c>
      <c r="C332" s="577" t="s">
        <v>1299</v>
      </c>
    </row>
    <row r="333" spans="2:3" ht="12.75">
      <c r="B333" s="767" t="s">
        <v>1235</v>
      </c>
      <c r="C333" s="577" t="s">
        <v>1296</v>
      </c>
    </row>
    <row r="334" spans="2:3" ht="12.75">
      <c r="B334" s="767" t="s">
        <v>1236</v>
      </c>
      <c r="C334" s="577" t="s">
        <v>1262</v>
      </c>
    </row>
    <row r="335" spans="2:3" ht="12.75">
      <c r="B335" s="767" t="s">
        <v>1263</v>
      </c>
      <c r="C335" s="577" t="s">
        <v>1277</v>
      </c>
    </row>
    <row r="336" spans="2:3" ht="12.75">
      <c r="B336" s="767" t="s">
        <v>1245</v>
      </c>
      <c r="C336" s="824" t="s">
        <v>956</v>
      </c>
    </row>
    <row r="337" spans="2:3" ht="12.75">
      <c r="B337" s="767" t="s">
        <v>1254</v>
      </c>
      <c r="C337" s="825" t="s">
        <v>957</v>
      </c>
    </row>
    <row r="338" spans="2:3" ht="12.75">
      <c r="B338" s="767" t="s">
        <v>1239</v>
      </c>
      <c r="C338" s="826" t="s">
        <v>958</v>
      </c>
    </row>
    <row r="339" spans="2:3" ht="12.75">
      <c r="B339" s="767" t="s">
        <v>1246</v>
      </c>
      <c r="C339" s="825" t="s">
        <v>959</v>
      </c>
    </row>
    <row r="340" spans="2:3" ht="12.75">
      <c r="B340" s="767" t="s">
        <v>1247</v>
      </c>
      <c r="C340" s="824" t="s">
        <v>960</v>
      </c>
    </row>
    <row r="341" spans="2:3" ht="12.75">
      <c r="B341" s="767" t="s">
        <v>1242</v>
      </c>
      <c r="C341" s="827" t="s">
        <v>972</v>
      </c>
    </row>
    <row r="342" spans="2:3" ht="12.75">
      <c r="B342" s="767" t="s">
        <v>803</v>
      </c>
      <c r="C342" s="827" t="s">
        <v>973</v>
      </c>
    </row>
    <row r="343" spans="2:3" ht="12.75">
      <c r="B343" s="767" t="s">
        <v>1240</v>
      </c>
      <c r="C343" s="827" t="s">
        <v>974</v>
      </c>
    </row>
    <row r="344" spans="2:3" ht="12.75">
      <c r="B344" s="767" t="s">
        <v>1241</v>
      </c>
      <c r="C344" s="827" t="s">
        <v>975</v>
      </c>
    </row>
    <row r="345" spans="2:3" ht="12.75">
      <c r="B345" s="767" t="s">
        <v>1243</v>
      </c>
      <c r="C345" s="827" t="s">
        <v>1093</v>
      </c>
    </row>
    <row r="346" spans="2:3" ht="12.75">
      <c r="B346" s="767" t="s">
        <v>1244</v>
      </c>
      <c r="C346" s="827" t="s">
        <v>1094</v>
      </c>
    </row>
    <row r="347" spans="2:3" ht="12.75">
      <c r="B347" s="767" t="s">
        <v>1267</v>
      </c>
      <c r="C347" s="827" t="s">
        <v>1300</v>
      </c>
    </row>
    <row r="348" spans="2:3" ht="12.75">
      <c r="B348" s="577" t="s">
        <v>1273</v>
      </c>
      <c r="C348" s="827" t="s">
        <v>1274</v>
      </c>
    </row>
    <row r="349" spans="2:3" ht="12.75">
      <c r="B349" s="767" t="s">
        <v>1269</v>
      </c>
      <c r="C349" s="827" t="s">
        <v>1276</v>
      </c>
    </row>
    <row r="350" spans="2:3" ht="12.75">
      <c r="B350" s="767" t="s">
        <v>1270</v>
      </c>
      <c r="C350" s="827" t="s">
        <v>1280</v>
      </c>
    </row>
    <row r="351" spans="2:3" ht="12.75">
      <c r="B351" s="577" t="s">
        <v>1272</v>
      </c>
      <c r="C351" s="827" t="s">
        <v>1275</v>
      </c>
    </row>
    <row r="352" spans="2:3" ht="12.75">
      <c r="B352" s="767" t="s">
        <v>1271</v>
      </c>
      <c r="C352" s="827" t="s">
        <v>1623</v>
      </c>
    </row>
    <row r="353" spans="2:3" ht="25">
      <c r="B353" s="577" t="s">
        <v>1288</v>
      </c>
      <c r="C353" s="557" t="s">
        <v>1282</v>
      </c>
    </row>
    <row r="354" spans="2:3" ht="12.75">
      <c r="B354" s="771" t="s">
        <v>1287</v>
      </c>
      <c r="C354" s="827" t="s">
        <v>1286</v>
      </c>
    </row>
    <row r="355" spans="2:3" s="765" customFormat="1" ht="37.5">
      <c r="B355" s="778" t="s">
        <v>1307</v>
      </c>
      <c r="C355" s="777" t="s">
        <v>1310</v>
      </c>
    </row>
    <row r="356" spans="2:3" s="765" customFormat="1" ht="25">
      <c r="B356" s="777" t="s">
        <v>1308</v>
      </c>
      <c r="C356" s="777" t="s">
        <v>1311</v>
      </c>
    </row>
    <row r="357" spans="2:3" s="765" customFormat="1" ht="25">
      <c r="B357" s="777" t="s">
        <v>1319</v>
      </c>
      <c r="C357" s="777" t="s">
        <v>1312</v>
      </c>
    </row>
    <row r="358" spans="2:3" ht="12.75">
      <c r="B358" s="777" t="s">
        <v>1309</v>
      </c>
      <c r="C358" s="577" t="s">
        <v>1313</v>
      </c>
    </row>
    <row r="359" spans="2:3" ht="39.5">
      <c r="B359" s="577" t="s">
        <v>2004</v>
      </c>
      <c r="C359" s="778" t="s">
        <v>1314</v>
      </c>
    </row>
    <row r="360" spans="2:3" ht="12.75">
      <c r="B360" s="778" t="s">
        <v>2052</v>
      </c>
      <c r="C360" s="778" t="s">
        <v>2051</v>
      </c>
    </row>
    <row r="361" spans="2:3" ht="25">
      <c r="B361" s="778" t="s">
        <v>1320</v>
      </c>
      <c r="C361" s="778" t="s">
        <v>1321</v>
      </c>
    </row>
    <row r="362" spans="2:3" ht="12.75">
      <c r="B362" s="778" t="s">
        <v>1323</v>
      </c>
      <c r="C362" s="778" t="s">
        <v>1324</v>
      </c>
    </row>
    <row r="363" spans="2:3" ht="12.75">
      <c r="B363" s="778" t="s">
        <v>1325</v>
      </c>
      <c r="C363" s="778" t="s">
        <v>1326</v>
      </c>
    </row>
    <row r="364" spans="2:3" ht="12.75">
      <c r="B364" s="778" t="s">
        <v>1328</v>
      </c>
      <c r="C364" s="778" t="s">
        <v>1327</v>
      </c>
    </row>
    <row r="365" spans="2:3" ht="12.75">
      <c r="B365" s="778" t="s">
        <v>1331</v>
      </c>
      <c r="C365" s="778" t="s">
        <v>1333</v>
      </c>
    </row>
    <row r="366" spans="2:3" ht="25">
      <c r="B366" s="577" t="s">
        <v>1334</v>
      </c>
      <c r="C366" s="778" t="s">
        <v>1347</v>
      </c>
    </row>
    <row r="367" spans="2:3" ht="25">
      <c r="B367" s="577" t="s">
        <v>1335</v>
      </c>
      <c r="C367" s="778" t="s">
        <v>1336</v>
      </c>
    </row>
    <row r="368" spans="2:3" ht="12.75">
      <c r="B368" s="778" t="s">
        <v>1337</v>
      </c>
      <c r="C368" s="778" t="s">
        <v>1338</v>
      </c>
    </row>
    <row r="369" spans="2:3" ht="12.75">
      <c r="B369" s="778" t="s">
        <v>1339</v>
      </c>
      <c r="C369" s="577" t="s">
        <v>1342</v>
      </c>
    </row>
    <row r="370" spans="2:3" ht="12.75">
      <c r="B370" s="767" t="s">
        <v>1340</v>
      </c>
      <c r="C370" s="577" t="s">
        <v>1344</v>
      </c>
    </row>
    <row r="371" spans="2:3" ht="50">
      <c r="B371" s="777" t="s">
        <v>1341</v>
      </c>
      <c r="C371" s="777" t="s">
        <v>1375</v>
      </c>
    </row>
    <row r="372" spans="2:3" ht="12.75">
      <c r="B372" s="767" t="s">
        <v>178</v>
      </c>
      <c r="C372" s="577" t="s">
        <v>1349</v>
      </c>
    </row>
    <row r="373" spans="2:3" ht="12.75">
      <c r="B373" s="767" t="s">
        <v>1348</v>
      </c>
      <c r="C373" s="577" t="s">
        <v>1350</v>
      </c>
    </row>
    <row r="374" spans="2:3" ht="12.75">
      <c r="B374" s="767" t="s">
        <v>2059</v>
      </c>
      <c r="C374" s="778" t="s">
        <v>2058</v>
      </c>
    </row>
    <row r="375" spans="2:3" ht="12.75">
      <c r="B375" s="767" t="s">
        <v>1354</v>
      </c>
      <c r="C375" s="577" t="s">
        <v>1353</v>
      </c>
    </row>
    <row r="376" spans="2:3" ht="25">
      <c r="B376" s="577" t="s">
        <v>1355</v>
      </c>
      <c r="C376" s="577" t="s">
        <v>1356</v>
      </c>
    </row>
    <row r="377" spans="2:3" ht="12.75">
      <c r="B377" s="775" t="s">
        <v>2123</v>
      </c>
      <c r="C377" s="775" t="s">
        <v>2124</v>
      </c>
    </row>
    <row r="378" spans="2:3" ht="50">
      <c r="B378" s="775" t="s">
        <v>1359</v>
      </c>
      <c r="C378" s="778" t="s">
        <v>1360</v>
      </c>
    </row>
    <row r="379" spans="2:3" ht="25">
      <c r="B379" s="577" t="s">
        <v>1361</v>
      </c>
      <c r="C379" s="778" t="s">
        <v>1364</v>
      </c>
    </row>
    <row r="380" spans="2:3" ht="25">
      <c r="B380" s="577" t="s">
        <v>1362</v>
      </c>
      <c r="C380" s="778" t="s">
        <v>1363</v>
      </c>
    </row>
    <row r="381" spans="2:3" ht="12.75">
      <c r="B381" s="775" t="s">
        <v>1365</v>
      </c>
      <c r="C381" s="775" t="s">
        <v>1366</v>
      </c>
    </row>
    <row r="382" spans="2:3" ht="12.75">
      <c r="B382" s="775" t="s">
        <v>1367</v>
      </c>
      <c r="C382" s="775" t="s">
        <v>1368</v>
      </c>
    </row>
    <row r="383" spans="2:3" ht="12.75">
      <c r="B383" s="775" t="s">
        <v>1369</v>
      </c>
      <c r="C383" s="775" t="s">
        <v>1370</v>
      </c>
    </row>
    <row r="384" spans="2:3" ht="25">
      <c r="B384" s="775" t="s">
        <v>1374</v>
      </c>
      <c r="C384" s="775" t="s">
        <v>1376</v>
      </c>
    </row>
    <row r="385" spans="2:3" ht="12.75">
      <c r="B385" s="775" t="s">
        <v>1377</v>
      </c>
      <c r="C385" s="775" t="s">
        <v>1378</v>
      </c>
    </row>
    <row r="386" spans="2:3" ht="37.5">
      <c r="B386" s="778" t="s">
        <v>1379</v>
      </c>
      <c r="C386" s="775" t="s">
        <v>1381</v>
      </c>
    </row>
    <row r="387" spans="2:3" ht="25">
      <c r="B387" s="778" t="s">
        <v>1380</v>
      </c>
      <c r="C387" s="775" t="s">
        <v>1382</v>
      </c>
    </row>
    <row r="388" spans="2:3" ht="25">
      <c r="B388" s="775" t="s">
        <v>1383</v>
      </c>
      <c r="C388" s="775" t="s">
        <v>1384</v>
      </c>
    </row>
    <row r="389" spans="2:3" ht="25">
      <c r="B389" s="775" t="s">
        <v>1385</v>
      </c>
      <c r="C389" s="778" t="s">
        <v>1386</v>
      </c>
    </row>
    <row r="390" spans="2:3" ht="12.75">
      <c r="B390" s="775" t="s">
        <v>1387</v>
      </c>
      <c r="C390" s="778" t="s">
        <v>1401</v>
      </c>
    </row>
    <row r="391" spans="2:3" ht="12.75">
      <c r="B391" s="775" t="s">
        <v>1388</v>
      </c>
      <c r="C391" s="778" t="s">
        <v>1402</v>
      </c>
    </row>
    <row r="392" spans="2:3" ht="12.75">
      <c r="B392" s="775" t="s">
        <v>1390</v>
      </c>
      <c r="C392" s="778" t="s">
        <v>1389</v>
      </c>
    </row>
    <row r="393" spans="2:3" ht="12.75">
      <c r="B393" s="775" t="s">
        <v>1391</v>
      </c>
      <c r="C393" s="778" t="s">
        <v>1392</v>
      </c>
    </row>
    <row r="394" spans="2:3" ht="12.75">
      <c r="B394" s="775" t="s">
        <v>1403</v>
      </c>
      <c r="C394" s="778" t="s">
        <v>1404</v>
      </c>
    </row>
    <row r="395" spans="2:3" ht="12.75">
      <c r="B395" s="775" t="s">
        <v>2061</v>
      </c>
      <c r="C395" s="778" t="s">
        <v>2060</v>
      </c>
    </row>
    <row r="396" spans="2:3" ht="42" customHeight="1">
      <c r="B396" s="775" t="s">
        <v>1405</v>
      </c>
      <c r="C396" s="778" t="s">
        <v>1413</v>
      </c>
    </row>
    <row r="397" spans="2:3" ht="25">
      <c r="B397" s="775" t="s">
        <v>1406</v>
      </c>
      <c r="C397" s="778" t="s">
        <v>1411</v>
      </c>
    </row>
    <row r="398" spans="2:3" ht="25">
      <c r="B398" s="775" t="s">
        <v>1407</v>
      </c>
      <c r="C398" s="778" t="s">
        <v>2192</v>
      </c>
    </row>
    <row r="399" spans="2:3" ht="25">
      <c r="B399" s="775" t="s">
        <v>1408</v>
      </c>
      <c r="C399" s="778" t="s">
        <v>2193</v>
      </c>
    </row>
    <row r="400" spans="2:3" ht="57.75" customHeight="1">
      <c r="B400" s="775" t="s">
        <v>1409</v>
      </c>
      <c r="C400" s="778" t="s">
        <v>1412</v>
      </c>
    </row>
    <row r="401" spans="2:3" ht="12.75">
      <c r="B401" s="775" t="s">
        <v>1410</v>
      </c>
      <c r="C401" s="775" t="s">
        <v>1646</v>
      </c>
    </row>
    <row r="402" spans="2:3" ht="12.75">
      <c r="B402" s="775" t="s">
        <v>1417</v>
      </c>
      <c r="C402" s="775" t="s">
        <v>1418</v>
      </c>
    </row>
    <row r="403" spans="2:3" ht="12.75">
      <c r="B403" s="775" t="s">
        <v>1420</v>
      </c>
      <c r="C403" s="775" t="s">
        <v>1421</v>
      </c>
    </row>
    <row r="404" spans="2:3" ht="12.75">
      <c r="B404" s="775" t="s">
        <v>2063</v>
      </c>
      <c r="C404" s="775" t="s">
        <v>2062</v>
      </c>
    </row>
    <row r="405" spans="2:3" ht="12.75">
      <c r="B405" s="775" t="s">
        <v>1425</v>
      </c>
      <c r="C405" s="775" t="s">
        <v>1424</v>
      </c>
    </row>
    <row r="406" spans="2:3" ht="12.75">
      <c r="B406" s="775" t="s">
        <v>1426</v>
      </c>
      <c r="C406" s="775" t="s">
        <v>1427</v>
      </c>
    </row>
    <row r="407" spans="2:3" ht="25">
      <c r="B407" s="775" t="s">
        <v>1428</v>
      </c>
      <c r="C407" s="775" t="s">
        <v>1429</v>
      </c>
    </row>
    <row r="408" spans="2:3" ht="25">
      <c r="B408" s="775" t="s">
        <v>1471</v>
      </c>
      <c r="C408" s="786" t="s">
        <v>1472</v>
      </c>
    </row>
    <row r="409" spans="2:3" ht="12.75">
      <c r="B409" s="799" t="s">
        <v>1430</v>
      </c>
      <c r="C409" s="800" t="s">
        <v>1431</v>
      </c>
    </row>
    <row r="410" spans="2:3" ht="12.75">
      <c r="B410" s="799" t="s">
        <v>1432</v>
      </c>
      <c r="C410" s="800" t="s">
        <v>1433</v>
      </c>
    </row>
    <row r="411" spans="2:3" ht="12.75">
      <c r="B411" s="799" t="s">
        <v>1434</v>
      </c>
      <c r="C411" s="800" t="s">
        <v>1435</v>
      </c>
    </row>
    <row r="412" spans="2:3" ht="12.75">
      <c r="B412" s="799" t="s">
        <v>1436</v>
      </c>
      <c r="C412" s="800" t="s">
        <v>1437</v>
      </c>
    </row>
    <row r="413" spans="2:3" ht="12.75">
      <c r="B413" s="799" t="s">
        <v>1438</v>
      </c>
      <c r="C413" s="800" t="s">
        <v>1439</v>
      </c>
    </row>
    <row r="414" spans="2:3" ht="50">
      <c r="B414" s="799" t="s">
        <v>1440</v>
      </c>
      <c r="C414" s="800" t="s">
        <v>1441</v>
      </c>
    </row>
    <row r="415" spans="2:3" ht="12.75">
      <c r="B415" s="799" t="s">
        <v>1442</v>
      </c>
      <c r="C415" s="800" t="s">
        <v>1443</v>
      </c>
    </row>
    <row r="416" spans="2:3" ht="12.75">
      <c r="B416" s="799" t="s">
        <v>1444</v>
      </c>
      <c r="C416" s="800" t="s">
        <v>1445</v>
      </c>
    </row>
    <row r="417" spans="2:3" ht="12.75">
      <c r="B417" s="799" t="s">
        <v>1446</v>
      </c>
      <c r="C417" s="800" t="s">
        <v>1447</v>
      </c>
    </row>
    <row r="418" spans="2:3" ht="12.75">
      <c r="B418" s="799" t="s">
        <v>1448</v>
      </c>
      <c r="C418" s="800" t="s">
        <v>1449</v>
      </c>
    </row>
    <row r="419" spans="2:3" ht="12.75">
      <c r="B419" s="799" t="s">
        <v>1450</v>
      </c>
      <c r="C419" s="800" t="s">
        <v>1451</v>
      </c>
    </row>
    <row r="420" spans="2:3" ht="12.75">
      <c r="B420" s="799" t="s">
        <v>1452</v>
      </c>
      <c r="C420" s="800" t="s">
        <v>1453</v>
      </c>
    </row>
    <row r="421" spans="2:3" ht="12.75">
      <c r="B421" s="799" t="s">
        <v>1454</v>
      </c>
      <c r="C421" s="800" t="s">
        <v>1455</v>
      </c>
    </row>
    <row r="422" spans="2:3" ht="12.75">
      <c r="B422" s="799" t="s">
        <v>1456</v>
      </c>
      <c r="C422" s="800" t="s">
        <v>1457</v>
      </c>
    </row>
    <row r="423" spans="2:3" ht="12.75">
      <c r="B423" s="799" t="s">
        <v>1458</v>
      </c>
      <c r="C423" s="800" t="s">
        <v>1459</v>
      </c>
    </row>
    <row r="424" spans="2:3" ht="12.75">
      <c r="B424" s="799" t="s">
        <v>1460</v>
      </c>
      <c r="C424" s="800" t="s">
        <v>1461</v>
      </c>
    </row>
    <row r="425" spans="2:3" ht="12.75">
      <c r="B425" s="799" t="s">
        <v>1462</v>
      </c>
      <c r="C425" s="800" t="s">
        <v>1463</v>
      </c>
    </row>
    <row r="426" spans="2:3" ht="12.75">
      <c r="B426" s="799" t="s">
        <v>1464</v>
      </c>
      <c r="C426" s="800" t="s">
        <v>1465</v>
      </c>
    </row>
    <row r="427" spans="2:3" ht="12.75">
      <c r="B427" s="799" t="s">
        <v>1466</v>
      </c>
      <c r="C427" s="800" t="s">
        <v>1467</v>
      </c>
    </row>
    <row r="428" spans="2:3" ht="12.75">
      <c r="B428" s="799" t="s">
        <v>1468</v>
      </c>
      <c r="C428" s="800" t="s">
        <v>1469</v>
      </c>
    </row>
    <row r="429" spans="2:3" ht="12.75">
      <c r="B429" s="775" t="s">
        <v>1480</v>
      </c>
      <c r="C429" s="775" t="s">
        <v>1479</v>
      </c>
    </row>
    <row r="430" spans="2:3" ht="12.75">
      <c r="B430" s="612" t="s">
        <v>1473</v>
      </c>
      <c r="C430" s="775" t="s">
        <v>1476</v>
      </c>
    </row>
    <row r="431" spans="2:3" ht="12.75">
      <c r="B431" s="612" t="s">
        <v>1474</v>
      </c>
      <c r="C431" s="775" t="s">
        <v>1477</v>
      </c>
    </row>
    <row r="432" spans="2:3" ht="12.75">
      <c r="B432" s="612" t="s">
        <v>1475</v>
      </c>
      <c r="C432" s="775" t="s">
        <v>1478</v>
      </c>
    </row>
    <row r="433" spans="2:3" ht="12.75">
      <c r="B433" s="767" t="s">
        <v>1481</v>
      </c>
      <c r="C433" s="775" t="s">
        <v>1482</v>
      </c>
    </row>
    <row r="434" spans="2:3" ht="12.75">
      <c r="B434" s="612" t="s">
        <v>1483</v>
      </c>
      <c r="C434" s="775" t="s">
        <v>1484</v>
      </c>
    </row>
    <row r="435" spans="2:3" ht="37.5">
      <c r="B435" s="612" t="s">
        <v>1485</v>
      </c>
      <c r="C435" s="775" t="s">
        <v>1486</v>
      </c>
    </row>
    <row r="436" spans="2:3" ht="12.75">
      <c r="B436" s="612" t="s">
        <v>1487</v>
      </c>
      <c r="C436" s="788" t="s">
        <v>2084</v>
      </c>
    </row>
    <row r="437" spans="2:3" ht="12.75">
      <c r="B437" s="577" t="s">
        <v>1504</v>
      </c>
      <c r="C437" s="775" t="s">
        <v>1505</v>
      </c>
    </row>
    <row r="438" spans="2:3" ht="37.5">
      <c r="B438" s="577" t="s">
        <v>1488</v>
      </c>
      <c r="C438" s="775" t="s">
        <v>1489</v>
      </c>
    </row>
    <row r="439" spans="2:3" ht="12.75">
      <c r="B439" s="577" t="s">
        <v>1492</v>
      </c>
      <c r="C439" s="775" t="s">
        <v>1493</v>
      </c>
    </row>
    <row r="440" spans="2:3" ht="12.75">
      <c r="B440" s="577" t="s">
        <v>1494</v>
      </c>
      <c r="C440" s="775" t="s">
        <v>1495</v>
      </c>
    </row>
    <row r="441" spans="2:3" ht="12.75">
      <c r="B441" s="577" t="s">
        <v>1496</v>
      </c>
      <c r="C441" s="775" t="s">
        <v>1324</v>
      </c>
    </row>
    <row r="442" spans="2:3" ht="12.75">
      <c r="B442" s="577" t="s">
        <v>1498</v>
      </c>
      <c r="C442" s="775" t="s">
        <v>1497</v>
      </c>
    </row>
    <row r="443" spans="2:3" ht="37.5">
      <c r="B443" s="577" t="s">
        <v>1499</v>
      </c>
      <c r="C443" s="577" t="s">
        <v>1500</v>
      </c>
    </row>
    <row r="444" spans="2:3" ht="25">
      <c r="B444" s="577" t="s">
        <v>1501</v>
      </c>
      <c r="C444" s="577" t="s">
        <v>2238</v>
      </c>
    </row>
    <row r="445" spans="2:3" ht="12.75">
      <c r="B445" s="577" t="s">
        <v>1502</v>
      </c>
      <c r="C445" s="577" t="s">
        <v>1503</v>
      </c>
    </row>
    <row r="446" spans="2:3" ht="12.75">
      <c r="B446" s="577" t="s">
        <v>1506</v>
      </c>
      <c r="C446" s="577" t="s">
        <v>1507</v>
      </c>
    </row>
    <row r="447" spans="2:3" ht="12.75">
      <c r="B447" s="577" t="s">
        <v>1508</v>
      </c>
      <c r="C447" s="577" t="s">
        <v>1509</v>
      </c>
    </row>
    <row r="448" spans="2:3" ht="50">
      <c r="B448" s="777" t="s">
        <v>1510</v>
      </c>
      <c r="C448" s="777" t="s">
        <v>1511</v>
      </c>
    </row>
    <row r="449" spans="2:3" ht="13">
      <c r="B449" s="766" t="s">
        <v>1512</v>
      </c>
      <c r="C449" s="577" t="s">
        <v>1560</v>
      </c>
    </row>
    <row r="450" spans="2:3" ht="13">
      <c r="B450" s="766" t="s">
        <v>1513</v>
      </c>
      <c r="C450" s="577" t="s">
        <v>1561</v>
      </c>
    </row>
    <row r="451" spans="2:3" ht="12.75">
      <c r="B451" s="612" t="s">
        <v>1514</v>
      </c>
      <c r="C451" s="577" t="s">
        <v>1562</v>
      </c>
    </row>
    <row r="452" spans="2:3" ht="12.75">
      <c r="B452" s="612" t="s">
        <v>1515</v>
      </c>
      <c r="C452" s="577" t="s">
        <v>1563</v>
      </c>
    </row>
    <row r="453" spans="2:3" ht="12.75">
      <c r="B453" s="612" t="s">
        <v>1516</v>
      </c>
      <c r="C453" s="577" t="s">
        <v>1564</v>
      </c>
    </row>
    <row r="454" spans="2:3" ht="12.75">
      <c r="B454" s="612" t="s">
        <v>1517</v>
      </c>
      <c r="C454" s="577" t="s">
        <v>1565</v>
      </c>
    </row>
    <row r="455" spans="2:3" ht="13">
      <c r="B455" s="766" t="s">
        <v>1518</v>
      </c>
      <c r="C455" s="577" t="s">
        <v>1566</v>
      </c>
    </row>
    <row r="456" spans="2:3" ht="13">
      <c r="B456" s="766" t="s">
        <v>1519</v>
      </c>
      <c r="C456" s="577" t="s">
        <v>1567</v>
      </c>
    </row>
    <row r="457" spans="2:3" ht="12.75">
      <c r="B457" s="612" t="s">
        <v>1520</v>
      </c>
      <c r="C457" s="577" t="s">
        <v>1568</v>
      </c>
    </row>
    <row r="458" spans="2:3" ht="12.75">
      <c r="B458" s="612" t="s">
        <v>1521</v>
      </c>
      <c r="C458" s="577" t="s">
        <v>1569</v>
      </c>
    </row>
    <row r="459" spans="2:3" ht="13">
      <c r="B459" s="766" t="s">
        <v>1522</v>
      </c>
      <c r="C459" s="577" t="s">
        <v>1570</v>
      </c>
    </row>
    <row r="460" spans="2:3" ht="13">
      <c r="B460" s="766" t="s">
        <v>1523</v>
      </c>
      <c r="C460" s="577" t="s">
        <v>1571</v>
      </c>
    </row>
    <row r="461" spans="2:3" ht="12.75">
      <c r="B461" s="612" t="s">
        <v>1524</v>
      </c>
      <c r="C461" s="577" t="s">
        <v>1572</v>
      </c>
    </row>
    <row r="462" spans="2:3" ht="12.75">
      <c r="B462" s="612" t="s">
        <v>1525</v>
      </c>
      <c r="C462" s="577" t="s">
        <v>1573</v>
      </c>
    </row>
    <row r="463" spans="2:3" ht="13">
      <c r="B463" s="766" t="s">
        <v>1526</v>
      </c>
      <c r="C463" s="577" t="s">
        <v>1574</v>
      </c>
    </row>
    <row r="464" spans="2:3" ht="13">
      <c r="B464" s="766" t="s">
        <v>1527</v>
      </c>
      <c r="C464" s="577" t="s">
        <v>1575</v>
      </c>
    </row>
    <row r="465" spans="2:3" ht="12.75">
      <c r="B465" s="612" t="s">
        <v>1528</v>
      </c>
      <c r="C465" s="577" t="s">
        <v>1576</v>
      </c>
    </row>
    <row r="466" spans="2:3" ht="12.75">
      <c r="B466" s="612" t="s">
        <v>1529</v>
      </c>
      <c r="C466" s="577" t="s">
        <v>1577</v>
      </c>
    </row>
    <row r="467" spans="2:3" ht="12.75">
      <c r="B467" s="612" t="s">
        <v>1530</v>
      </c>
      <c r="C467" s="577" t="s">
        <v>1578</v>
      </c>
    </row>
    <row r="468" spans="2:3" ht="12.75">
      <c r="B468" s="612" t="s">
        <v>1531</v>
      </c>
      <c r="C468" s="577" t="s">
        <v>1579</v>
      </c>
    </row>
    <row r="469" spans="2:3" ht="12.75">
      <c r="B469" s="612" t="s">
        <v>1532</v>
      </c>
      <c r="C469" s="577" t="s">
        <v>1580</v>
      </c>
    </row>
    <row r="470" spans="2:3" ht="12.75">
      <c r="B470" s="612" t="s">
        <v>1533</v>
      </c>
      <c r="C470" s="577" t="s">
        <v>1581</v>
      </c>
    </row>
    <row r="471" spans="2:3" ht="12.75">
      <c r="B471" s="612" t="s">
        <v>1534</v>
      </c>
      <c r="C471" s="577" t="s">
        <v>1582</v>
      </c>
    </row>
    <row r="472" spans="2:3" ht="12.75">
      <c r="B472" s="612" t="s">
        <v>1535</v>
      </c>
      <c r="C472" s="577" t="s">
        <v>1583</v>
      </c>
    </row>
    <row r="473" spans="2:3" ht="13">
      <c r="B473" s="766" t="s">
        <v>1536</v>
      </c>
      <c r="C473" s="577" t="s">
        <v>1584</v>
      </c>
    </row>
    <row r="474" spans="2:3" ht="13">
      <c r="B474" s="766" t="s">
        <v>1513</v>
      </c>
      <c r="C474" s="577" t="str">
        <f>C450</f>
        <v>1. és 2. kategória</v>
      </c>
    </row>
    <row r="475" spans="2:3" ht="12.75">
      <c r="B475" s="612" t="s">
        <v>1537</v>
      </c>
      <c r="C475" s="577" t="s">
        <v>1585</v>
      </c>
    </row>
    <row r="476" spans="2:3" ht="12.75">
      <c r="B476" s="612" t="s">
        <v>1538</v>
      </c>
      <c r="C476" s="577" t="s">
        <v>1586</v>
      </c>
    </row>
    <row r="477" spans="2:3" ht="12.75">
      <c r="B477" s="612" t="s">
        <v>1539</v>
      </c>
      <c r="C477" s="577" t="s">
        <v>1587</v>
      </c>
    </row>
    <row r="478" spans="2:3" ht="13">
      <c r="B478" s="766" t="s">
        <v>1540</v>
      </c>
      <c r="C478" s="577" t="s">
        <v>1588</v>
      </c>
    </row>
    <row r="479" spans="2:3" ht="12.75">
      <c r="B479" s="612" t="s">
        <v>1541</v>
      </c>
      <c r="C479" s="577" t="s">
        <v>1589</v>
      </c>
    </row>
    <row r="480" spans="2:3" ht="13">
      <c r="B480" s="766" t="s">
        <v>1542</v>
      </c>
      <c r="C480" s="800" t="s">
        <v>1590</v>
      </c>
    </row>
    <row r="481" spans="2:3" ht="12.75">
      <c r="B481" s="612" t="s">
        <v>1543</v>
      </c>
      <c r="C481" s="800" t="s">
        <v>1591</v>
      </c>
    </row>
    <row r="482" spans="2:3" ht="12.75">
      <c r="B482" s="612" t="s">
        <v>1544</v>
      </c>
      <c r="C482" s="800" t="s">
        <v>1592</v>
      </c>
    </row>
    <row r="483" spans="2:3" ht="12.75">
      <c r="B483" s="612" t="s">
        <v>1545</v>
      </c>
      <c r="C483" s="800" t="s">
        <v>1593</v>
      </c>
    </row>
    <row r="484" spans="2:3" ht="12.75">
      <c r="B484" s="612" t="s">
        <v>1546</v>
      </c>
      <c r="C484" s="800" t="s">
        <v>1594</v>
      </c>
    </row>
    <row r="485" spans="2:3" ht="13">
      <c r="B485" s="766" t="s">
        <v>1547</v>
      </c>
      <c r="C485" s="766" t="s">
        <v>1595</v>
      </c>
    </row>
    <row r="486" spans="2:3" ht="12.75">
      <c r="B486" s="612" t="s">
        <v>1548</v>
      </c>
      <c r="C486" s="612" t="s">
        <v>1596</v>
      </c>
    </row>
    <row r="487" spans="2:3" ht="12.75">
      <c r="B487" s="612" t="s">
        <v>1549</v>
      </c>
      <c r="C487" s="612" t="s">
        <v>1597</v>
      </c>
    </row>
    <row r="488" spans="2:3" ht="13">
      <c r="B488" s="766" t="s">
        <v>1550</v>
      </c>
      <c r="C488" s="766" t="s">
        <v>1598</v>
      </c>
    </row>
    <row r="489" spans="2:3" ht="12.75">
      <c r="B489" s="612" t="s">
        <v>1524</v>
      </c>
      <c r="C489" s="612" t="s">
        <v>1572</v>
      </c>
    </row>
    <row r="490" spans="2:3" ht="12.75">
      <c r="B490" s="612" t="s">
        <v>1525</v>
      </c>
      <c r="C490" s="612" t="s">
        <v>1573</v>
      </c>
    </row>
    <row r="491" spans="2:3" ht="13">
      <c r="B491" s="766" t="s">
        <v>170</v>
      </c>
      <c r="C491" s="766" t="s">
        <v>1595</v>
      </c>
    </row>
    <row r="492" spans="2:3" ht="12.75">
      <c r="B492" s="612" t="s">
        <v>1551</v>
      </c>
      <c r="C492" s="612" t="s">
        <v>1599</v>
      </c>
    </row>
    <row r="493" spans="2:3" ht="12.75">
      <c r="B493" s="612" t="s">
        <v>1552</v>
      </c>
      <c r="C493" s="612" t="s">
        <v>1600</v>
      </c>
    </row>
    <row r="494" spans="1:3" ht="12.75">
      <c r="A494" s="497" t="s">
        <v>1601</v>
      </c>
      <c r="B494" s="612" t="s">
        <v>1553</v>
      </c>
      <c r="C494" s="612" t="s">
        <v>1601</v>
      </c>
    </row>
    <row r="495" spans="2:3" ht="12.75">
      <c r="B495" s="612" t="s">
        <v>1554</v>
      </c>
      <c r="C495" s="612" t="s">
        <v>1602</v>
      </c>
    </row>
    <row r="496" spans="2:3" ht="18" customHeight="1">
      <c r="B496" s="612" t="s">
        <v>1555</v>
      </c>
      <c r="C496" s="612" t="s">
        <v>1603</v>
      </c>
    </row>
    <row r="497" spans="2:3" ht="12.75">
      <c r="B497" s="612" t="s">
        <v>1556</v>
      </c>
      <c r="C497" s="612" t="s">
        <v>1604</v>
      </c>
    </row>
    <row r="498" spans="2:3" ht="13">
      <c r="B498" s="766" t="s">
        <v>1557</v>
      </c>
      <c r="C498" s="766" t="s">
        <v>1605</v>
      </c>
    </row>
    <row r="499" spans="2:3" ht="12.75">
      <c r="B499" s="612" t="s">
        <v>1558</v>
      </c>
      <c r="C499" s="612" t="s">
        <v>1606</v>
      </c>
    </row>
    <row r="500" spans="2:3" ht="12.75">
      <c r="B500" s="612" t="s">
        <v>1559</v>
      </c>
      <c r="C500" s="612" t="s">
        <v>1607</v>
      </c>
    </row>
    <row r="501" spans="2:3" ht="12.75">
      <c r="B501" s="577" t="s">
        <v>1609</v>
      </c>
      <c r="C501" s="577" t="s">
        <v>1608</v>
      </c>
    </row>
    <row r="502" spans="2:3" ht="12.75">
      <c r="B502" s="577" t="s">
        <v>1610</v>
      </c>
      <c r="C502" s="577" t="s">
        <v>1611</v>
      </c>
    </row>
    <row r="503" spans="2:3" ht="75">
      <c r="B503" s="801" t="s">
        <v>1612</v>
      </c>
      <c r="C503" s="802" t="s">
        <v>1613</v>
      </c>
    </row>
    <row r="504" spans="2:3" ht="77.25" customHeight="1">
      <c r="B504" s="777" t="s">
        <v>1614</v>
      </c>
      <c r="C504" s="777" t="s">
        <v>1647</v>
      </c>
    </row>
    <row r="505" spans="2:3" s="765" customFormat="1" ht="28.5" customHeight="1">
      <c r="B505" s="777" t="s">
        <v>1615</v>
      </c>
      <c r="C505" s="777" t="s">
        <v>1617</v>
      </c>
    </row>
    <row r="506" spans="2:3" s="765" customFormat="1" ht="31.5" customHeight="1">
      <c r="B506" s="777" t="s">
        <v>1616</v>
      </c>
      <c r="C506" s="777" t="s">
        <v>1618</v>
      </c>
    </row>
    <row r="507" spans="2:3" ht="12.75">
      <c r="B507" s="577" t="s">
        <v>1624</v>
      </c>
      <c r="C507" s="577" t="s">
        <v>1625</v>
      </c>
    </row>
    <row r="508" spans="2:3" ht="12.75">
      <c r="B508" s="577" t="s">
        <v>1626</v>
      </c>
      <c r="C508" s="577" t="s">
        <v>1627</v>
      </c>
    </row>
    <row r="509" spans="2:3" ht="25">
      <c r="B509" s="577" t="s">
        <v>1629</v>
      </c>
      <c r="C509" s="577" t="s">
        <v>1628</v>
      </c>
    </row>
    <row r="510" spans="2:3" ht="25">
      <c r="B510" s="577" t="s">
        <v>1638</v>
      </c>
      <c r="C510" s="577" t="s">
        <v>1648</v>
      </c>
    </row>
    <row r="511" spans="2:3" ht="12.75">
      <c r="B511" s="577" t="s">
        <v>1640</v>
      </c>
      <c r="C511" s="577" t="s">
        <v>1641</v>
      </c>
    </row>
    <row r="512" spans="2:3" ht="37.5">
      <c r="B512" s="577" t="s">
        <v>1642</v>
      </c>
      <c r="C512" s="577" t="s">
        <v>1645</v>
      </c>
    </row>
    <row r="513" spans="2:3" ht="25">
      <c r="B513" s="577" t="s">
        <v>1643</v>
      </c>
      <c r="C513" s="577" t="s">
        <v>1649</v>
      </c>
    </row>
    <row r="514" spans="2:3" ht="25">
      <c r="B514" s="577" t="s">
        <v>1644</v>
      </c>
      <c r="C514" s="577" t="s">
        <v>1660</v>
      </c>
    </row>
    <row r="515" spans="2:3" ht="37.5">
      <c r="B515" s="577" t="s">
        <v>1657</v>
      </c>
      <c r="C515" s="777" t="s">
        <v>1658</v>
      </c>
    </row>
    <row r="516" spans="2:3" ht="12.75">
      <c r="B516" s="577" t="s">
        <v>1653</v>
      </c>
      <c r="C516" s="577" t="s">
        <v>1654</v>
      </c>
    </row>
    <row r="517" spans="2:3" ht="37.5">
      <c r="B517" s="577" t="s">
        <v>1651</v>
      </c>
      <c r="C517" s="577" t="s">
        <v>1652</v>
      </c>
    </row>
    <row r="518" spans="2:3" ht="25">
      <c r="B518" s="577" t="s">
        <v>1659</v>
      </c>
      <c r="C518" s="577" t="s">
        <v>1669</v>
      </c>
    </row>
    <row r="519" spans="2:3" ht="12.75">
      <c r="B519" s="577" t="s">
        <v>1663</v>
      </c>
      <c r="C519" s="577" t="s">
        <v>1662</v>
      </c>
    </row>
    <row r="520" spans="2:3" ht="25">
      <c r="B520" s="577" t="s">
        <v>1665</v>
      </c>
      <c r="C520" s="577" t="s">
        <v>1664</v>
      </c>
    </row>
    <row r="521" spans="2:3" ht="25">
      <c r="B521" s="577" t="s">
        <v>1670</v>
      </c>
      <c r="C521" s="577" t="s">
        <v>1671</v>
      </c>
    </row>
    <row r="522" spans="2:3" ht="12.75">
      <c r="B522" s="577" t="s">
        <v>1673</v>
      </c>
      <c r="C522" s="577" t="s">
        <v>1672</v>
      </c>
    </row>
    <row r="523" spans="2:3" ht="37.5">
      <c r="B523" s="777" t="s">
        <v>1674</v>
      </c>
      <c r="C523" s="777" t="s">
        <v>1692</v>
      </c>
    </row>
    <row r="524" spans="2:3" ht="12.75">
      <c r="B524" s="577" t="s">
        <v>1675</v>
      </c>
      <c r="C524" s="577" t="s">
        <v>1691</v>
      </c>
    </row>
    <row r="525" spans="2:3" ht="12.75">
      <c r="B525" s="577" t="s">
        <v>1676</v>
      </c>
      <c r="C525" s="577" t="s">
        <v>1693</v>
      </c>
    </row>
    <row r="526" spans="2:3" ht="12.75">
      <c r="B526" s="577" t="s">
        <v>1677</v>
      </c>
      <c r="C526" s="577" t="s">
        <v>1679</v>
      </c>
    </row>
    <row r="527" spans="2:3" ht="12.75">
      <c r="B527" s="577" t="s">
        <v>1678</v>
      </c>
      <c r="C527" s="577" t="s">
        <v>1680</v>
      </c>
    </row>
    <row r="528" spans="2:3" ht="37.5">
      <c r="B528" s="577" t="s">
        <v>1686</v>
      </c>
      <c r="C528" s="577" t="s">
        <v>1681</v>
      </c>
    </row>
    <row r="529" spans="2:3" ht="12.75">
      <c r="B529" s="577" t="s">
        <v>1689</v>
      </c>
      <c r="C529" s="577" t="s">
        <v>1690</v>
      </c>
    </row>
    <row r="530" spans="2:3" ht="12.75">
      <c r="B530" s="577" t="s">
        <v>1688</v>
      </c>
      <c r="C530" s="577" t="s">
        <v>1687</v>
      </c>
    </row>
    <row r="531" spans="2:3" ht="25">
      <c r="B531" s="577" t="s">
        <v>1694</v>
      </c>
      <c r="C531" s="577" t="s">
        <v>1695</v>
      </c>
    </row>
    <row r="532" spans="2:3" ht="12.75">
      <c r="B532" s="577" t="s">
        <v>1696</v>
      </c>
      <c r="C532" s="577" t="s">
        <v>1697</v>
      </c>
    </row>
    <row r="533" spans="2:3" ht="12.75">
      <c r="B533" s="577" t="s">
        <v>1698</v>
      </c>
      <c r="C533" s="577" t="s">
        <v>1699</v>
      </c>
    </row>
    <row r="534" spans="2:3" ht="25">
      <c r="B534" s="577" t="s">
        <v>1700</v>
      </c>
      <c r="C534" s="775" t="s">
        <v>1701</v>
      </c>
    </row>
    <row r="535" spans="2:3" ht="12.75">
      <c r="B535" s="577" t="s">
        <v>1703</v>
      </c>
      <c r="C535" s="775" t="s">
        <v>1702</v>
      </c>
    </row>
    <row r="536" spans="2:3" ht="12.75">
      <c r="B536" s="577" t="s">
        <v>1704</v>
      </c>
      <c r="C536" s="775" t="s">
        <v>1705</v>
      </c>
    </row>
    <row r="537" spans="2:3" ht="25">
      <c r="B537" s="777" t="s">
        <v>1706</v>
      </c>
      <c r="C537" s="778" t="s">
        <v>1707</v>
      </c>
    </row>
    <row r="538" spans="2:3" ht="12.75">
      <c r="B538" s="577" t="s">
        <v>1708</v>
      </c>
      <c r="C538" s="775" t="s">
        <v>1709</v>
      </c>
    </row>
    <row r="539" spans="2:3" ht="37.5">
      <c r="B539" s="577" t="s">
        <v>1710</v>
      </c>
      <c r="C539" s="775" t="s">
        <v>1711</v>
      </c>
    </row>
    <row r="540" spans="2:3" ht="12.75">
      <c r="B540" s="577" t="s">
        <v>1714</v>
      </c>
      <c r="C540" s="775" t="s">
        <v>1712</v>
      </c>
    </row>
    <row r="541" spans="2:3" ht="12.75">
      <c r="B541" s="577" t="s">
        <v>1713</v>
      </c>
      <c r="C541" s="775" t="s">
        <v>1715</v>
      </c>
    </row>
    <row r="542" spans="2:3" ht="12.75">
      <c r="B542" s="577" t="s">
        <v>1717</v>
      </c>
      <c r="C542" s="775" t="s">
        <v>1716</v>
      </c>
    </row>
    <row r="543" spans="2:3" ht="12.75">
      <c r="B543" s="577" t="s">
        <v>1718</v>
      </c>
      <c r="C543" s="775" t="s">
        <v>1725</v>
      </c>
    </row>
    <row r="544" spans="2:3" ht="25">
      <c r="B544" s="788" t="s">
        <v>1719</v>
      </c>
      <c r="C544" s="786" t="s">
        <v>1726</v>
      </c>
    </row>
    <row r="545" spans="2:3" ht="25">
      <c r="B545" s="788" t="s">
        <v>1720</v>
      </c>
      <c r="C545" s="786" t="s">
        <v>1727</v>
      </c>
    </row>
    <row r="546" spans="2:3" ht="37.5">
      <c r="B546" s="577" t="s">
        <v>1721</v>
      </c>
      <c r="C546" s="775" t="s">
        <v>1728</v>
      </c>
    </row>
    <row r="547" spans="2:3" ht="12.75">
      <c r="B547" s="577" t="s">
        <v>1722</v>
      </c>
      <c r="C547" s="775" t="s">
        <v>1729</v>
      </c>
    </row>
    <row r="548" spans="2:3" ht="37.5">
      <c r="B548" s="577" t="s">
        <v>1723</v>
      </c>
      <c r="C548" s="775" t="s">
        <v>1735</v>
      </c>
    </row>
    <row r="549" spans="2:3" ht="12.75">
      <c r="B549" s="788" t="s">
        <v>1724</v>
      </c>
      <c r="C549" s="775" t="s">
        <v>1730</v>
      </c>
    </row>
    <row r="550" spans="2:3" ht="12.75">
      <c r="B550" s="788" t="s">
        <v>1736</v>
      </c>
      <c r="C550" s="775" t="s">
        <v>1731</v>
      </c>
    </row>
    <row r="551" spans="2:3" ht="12.75">
      <c r="B551" s="788" t="s">
        <v>1737</v>
      </c>
      <c r="C551" s="775" t="s">
        <v>1732</v>
      </c>
    </row>
    <row r="552" spans="2:3" ht="12.75">
      <c r="B552" s="788" t="s">
        <v>1738</v>
      </c>
      <c r="C552" s="775" t="s">
        <v>1733</v>
      </c>
    </row>
    <row r="553" spans="2:3" ht="12.75">
      <c r="B553" s="788" t="s">
        <v>1739</v>
      </c>
      <c r="C553" s="775" t="s">
        <v>1734</v>
      </c>
    </row>
    <row r="554" spans="2:3" ht="25">
      <c r="B554" s="577" t="s">
        <v>1740</v>
      </c>
      <c r="C554" s="775" t="s">
        <v>1790</v>
      </c>
    </row>
    <row r="555" spans="2:3" ht="12.75">
      <c r="B555" s="577" t="s">
        <v>1741</v>
      </c>
      <c r="C555" s="577" t="s">
        <v>1764</v>
      </c>
    </row>
    <row r="556" spans="2:3" ht="25">
      <c r="B556" s="577" t="s">
        <v>1742</v>
      </c>
      <c r="C556" s="577" t="s">
        <v>1765</v>
      </c>
    </row>
    <row r="557" spans="2:3" ht="25">
      <c r="B557" s="577" t="s">
        <v>1743</v>
      </c>
      <c r="C557" s="577" t="s">
        <v>1766</v>
      </c>
    </row>
    <row r="558" spans="2:3" ht="12.75">
      <c r="B558" s="577" t="s">
        <v>1744</v>
      </c>
      <c r="C558" s="577" t="s">
        <v>1767</v>
      </c>
    </row>
    <row r="559" spans="2:3" ht="50">
      <c r="B559" s="577" t="s">
        <v>1745</v>
      </c>
      <c r="C559" s="775" t="s">
        <v>1768</v>
      </c>
    </row>
    <row r="560" spans="2:3" ht="37.5">
      <c r="B560" s="577" t="s">
        <v>1746</v>
      </c>
      <c r="C560" s="775" t="s">
        <v>1769</v>
      </c>
    </row>
    <row r="561" spans="2:3" ht="12.75">
      <c r="B561" s="577" t="s">
        <v>1747</v>
      </c>
      <c r="C561" s="775" t="s">
        <v>1770</v>
      </c>
    </row>
    <row r="562" spans="2:3" ht="12.75">
      <c r="B562" s="577" t="s">
        <v>1787</v>
      </c>
      <c r="C562" s="775" t="s">
        <v>1786</v>
      </c>
    </row>
    <row r="563" spans="2:3" ht="37.5">
      <c r="B563" s="577" t="s">
        <v>1771</v>
      </c>
      <c r="C563" s="775" t="s">
        <v>2005</v>
      </c>
    </row>
    <row r="564" spans="2:3" ht="12.75">
      <c r="B564" s="577" t="s">
        <v>1748</v>
      </c>
      <c r="C564" s="775" t="s">
        <v>1772</v>
      </c>
    </row>
    <row r="565" spans="2:3" ht="12.75">
      <c r="B565" s="577" t="s">
        <v>1749</v>
      </c>
      <c r="C565" s="775" t="s">
        <v>1773</v>
      </c>
    </row>
    <row r="566" spans="2:3" ht="37.5">
      <c r="B566" s="577" t="s">
        <v>1750</v>
      </c>
      <c r="C566" s="775" t="s">
        <v>1774</v>
      </c>
    </row>
    <row r="567" spans="2:3" ht="25">
      <c r="B567" s="577" t="s">
        <v>1751</v>
      </c>
      <c r="C567" s="577" t="s">
        <v>1775</v>
      </c>
    </row>
    <row r="568" spans="2:3" ht="12.75">
      <c r="B568" s="577" t="s">
        <v>1752</v>
      </c>
      <c r="C568" s="577" t="s">
        <v>1776</v>
      </c>
    </row>
    <row r="569" spans="2:3" ht="37.5">
      <c r="B569" s="577" t="s">
        <v>1753</v>
      </c>
      <c r="C569" s="577" t="s">
        <v>1777</v>
      </c>
    </row>
    <row r="570" spans="2:3" ht="27.75" customHeight="1">
      <c r="B570" s="577" t="s">
        <v>1754</v>
      </c>
      <c r="C570" s="577" t="s">
        <v>1788</v>
      </c>
    </row>
    <row r="571" spans="2:3" ht="25">
      <c r="B571" s="577" t="s">
        <v>1755</v>
      </c>
      <c r="C571" s="577" t="s">
        <v>1789</v>
      </c>
    </row>
    <row r="572" spans="2:3" ht="12.75">
      <c r="B572" s="577" t="s">
        <v>1756</v>
      </c>
      <c r="C572" s="577" t="s">
        <v>1778</v>
      </c>
    </row>
    <row r="573" spans="2:3" ht="28.5" customHeight="1">
      <c r="B573" s="577" t="s">
        <v>1670</v>
      </c>
      <c r="C573" s="577" t="s">
        <v>1840</v>
      </c>
    </row>
    <row r="574" spans="2:3" ht="12.75">
      <c r="B574" s="577" t="s">
        <v>1757</v>
      </c>
      <c r="C574" s="577" t="s">
        <v>1779</v>
      </c>
    </row>
    <row r="575" spans="2:3" ht="12.75">
      <c r="B575" s="577" t="s">
        <v>1758</v>
      </c>
      <c r="C575" s="577" t="s">
        <v>1780</v>
      </c>
    </row>
    <row r="576" spans="2:3" ht="12.75">
      <c r="B576" s="577" t="s">
        <v>1759</v>
      </c>
      <c r="C576" s="577" t="s">
        <v>1781</v>
      </c>
    </row>
    <row r="577" spans="2:3" ht="12.75">
      <c r="B577" s="788" t="s">
        <v>1760</v>
      </c>
      <c r="C577" s="788" t="s">
        <v>1782</v>
      </c>
    </row>
    <row r="578" spans="2:3" ht="12.75">
      <c r="B578" s="788" t="s">
        <v>1761</v>
      </c>
      <c r="C578" s="577" t="s">
        <v>1783</v>
      </c>
    </row>
    <row r="579" spans="2:3" ht="12.75">
      <c r="B579" s="788" t="s">
        <v>1762</v>
      </c>
      <c r="C579" s="577" t="s">
        <v>1784</v>
      </c>
    </row>
    <row r="580" spans="2:3" ht="12.75">
      <c r="B580" s="788" t="s">
        <v>1763</v>
      </c>
      <c r="C580" s="577" t="s">
        <v>1785</v>
      </c>
    </row>
    <row r="581" spans="2:3" ht="12.75">
      <c r="B581" s="577" t="s">
        <v>2065</v>
      </c>
      <c r="C581" s="775" t="s">
        <v>2064</v>
      </c>
    </row>
    <row r="582" spans="2:3" ht="12.75">
      <c r="B582" s="577" t="s">
        <v>1791</v>
      </c>
      <c r="C582" s="577" t="s">
        <v>1792</v>
      </c>
    </row>
    <row r="583" spans="2:3" ht="12.75">
      <c r="B583" s="577" t="s">
        <v>1824</v>
      </c>
      <c r="C583" s="775" t="s">
        <v>1823</v>
      </c>
    </row>
    <row r="584" spans="2:3" ht="25">
      <c r="B584" s="577" t="s">
        <v>1825</v>
      </c>
      <c r="C584" s="577" t="s">
        <v>1826</v>
      </c>
    </row>
    <row r="585" spans="2:3" ht="12.75">
      <c r="B585" s="577" t="s">
        <v>1793</v>
      </c>
      <c r="C585" s="577" t="s">
        <v>1795</v>
      </c>
    </row>
    <row r="586" spans="2:3" ht="25">
      <c r="B586" s="577" t="s">
        <v>1794</v>
      </c>
      <c r="C586" s="775" t="s">
        <v>1796</v>
      </c>
    </row>
    <row r="587" spans="2:3" ht="12.75">
      <c r="B587" s="577" t="s">
        <v>1827</v>
      </c>
      <c r="C587" s="775" t="s">
        <v>1817</v>
      </c>
    </row>
    <row r="588" spans="2:3" ht="12.75">
      <c r="B588" s="577" t="s">
        <v>1798</v>
      </c>
      <c r="C588" s="577" t="s">
        <v>1797</v>
      </c>
    </row>
    <row r="589" spans="2:3" ht="25">
      <c r="B589" s="577" t="s">
        <v>1828</v>
      </c>
      <c r="C589" s="778" t="s">
        <v>1818</v>
      </c>
    </row>
    <row r="590" spans="2:3" ht="25">
      <c r="B590" s="577" t="s">
        <v>1799</v>
      </c>
      <c r="C590" s="777" t="s">
        <v>1804</v>
      </c>
    </row>
    <row r="591" spans="2:3" ht="25">
      <c r="B591" s="577" t="s">
        <v>1829</v>
      </c>
      <c r="C591" s="828" t="s">
        <v>1819</v>
      </c>
    </row>
    <row r="592" spans="2:3" ht="37.5">
      <c r="B592" s="577" t="s">
        <v>1830</v>
      </c>
      <c r="C592" s="777" t="s">
        <v>1852</v>
      </c>
    </row>
    <row r="593" spans="2:3" ht="12.75">
      <c r="B593" s="577" t="s">
        <v>1802</v>
      </c>
      <c r="C593" s="577" t="s">
        <v>1803</v>
      </c>
    </row>
    <row r="594" spans="2:3" ht="25.5">
      <c r="B594" s="577" t="s">
        <v>1831</v>
      </c>
      <c r="C594" s="778" t="s">
        <v>2006</v>
      </c>
    </row>
    <row r="595" spans="2:3" ht="12.75">
      <c r="B595" s="775" t="s">
        <v>1806</v>
      </c>
      <c r="C595" s="577" t="s">
        <v>1805</v>
      </c>
    </row>
    <row r="596" spans="2:3" ht="12.75">
      <c r="B596" s="577" t="s">
        <v>1688</v>
      </c>
      <c r="C596" s="577" t="s">
        <v>1807</v>
      </c>
    </row>
    <row r="597" spans="2:3" ht="12.75">
      <c r="B597" s="577" t="s">
        <v>2007</v>
      </c>
      <c r="C597" s="577" t="s">
        <v>1808</v>
      </c>
    </row>
    <row r="598" spans="2:3" ht="25.5">
      <c r="B598" s="577" t="s">
        <v>1832</v>
      </c>
      <c r="C598" s="778" t="s">
        <v>2008</v>
      </c>
    </row>
    <row r="599" spans="2:3" ht="25">
      <c r="B599" s="577" t="s">
        <v>1833</v>
      </c>
      <c r="C599" s="577" t="s">
        <v>1822</v>
      </c>
    </row>
    <row r="600" spans="2:3" ht="12.75">
      <c r="B600" s="577" t="s">
        <v>1810</v>
      </c>
      <c r="C600" s="775" t="s">
        <v>1809</v>
      </c>
    </row>
    <row r="601" spans="2:3" ht="12.75">
      <c r="B601" s="577" t="s">
        <v>1811</v>
      </c>
      <c r="C601" s="775" t="s">
        <v>1812</v>
      </c>
    </row>
    <row r="602" spans="2:3" ht="12.75">
      <c r="B602" s="577" t="s">
        <v>1813</v>
      </c>
      <c r="C602" s="775" t="s">
        <v>1814</v>
      </c>
    </row>
    <row r="603" spans="2:3" ht="25">
      <c r="B603" s="577" t="s">
        <v>1815</v>
      </c>
      <c r="C603" s="775" t="s">
        <v>1816</v>
      </c>
    </row>
    <row r="604" spans="2:3" ht="12.75">
      <c r="B604" s="577" t="s">
        <v>1834</v>
      </c>
      <c r="C604" s="775" t="s">
        <v>1835</v>
      </c>
    </row>
    <row r="605" spans="2:3" ht="12.75">
      <c r="B605" s="577" t="s">
        <v>1836</v>
      </c>
      <c r="C605" s="577" t="s">
        <v>1837</v>
      </c>
    </row>
    <row r="606" spans="2:3" ht="12.75">
      <c r="B606" s="577" t="s">
        <v>1838</v>
      </c>
      <c r="C606" s="775" t="s">
        <v>1839</v>
      </c>
    </row>
    <row r="607" spans="2:3" ht="25">
      <c r="B607" s="577" t="s">
        <v>1845</v>
      </c>
      <c r="C607" s="775" t="s">
        <v>1848</v>
      </c>
    </row>
    <row r="608" spans="2:3" ht="12.75">
      <c r="B608" s="577" t="s">
        <v>1846</v>
      </c>
      <c r="C608" s="775" t="s">
        <v>1847</v>
      </c>
    </row>
    <row r="609" spans="2:3" ht="12.75">
      <c r="B609" s="577" t="s">
        <v>2067</v>
      </c>
      <c r="C609" s="577" t="s">
        <v>2066</v>
      </c>
    </row>
    <row r="610" spans="2:3" ht="50">
      <c r="B610" s="577" t="s">
        <v>1857</v>
      </c>
      <c r="C610" s="775" t="s">
        <v>1894</v>
      </c>
    </row>
    <row r="611" spans="2:3" ht="25">
      <c r="B611" s="577" t="s">
        <v>1858</v>
      </c>
      <c r="C611" s="775" t="s">
        <v>1860</v>
      </c>
    </row>
    <row r="612" spans="2:3" ht="12.75">
      <c r="B612" s="577" t="s">
        <v>1859</v>
      </c>
      <c r="C612" s="775" t="s">
        <v>1861</v>
      </c>
    </row>
    <row r="613" spans="2:3" ht="12.75">
      <c r="B613" s="577" t="s">
        <v>2069</v>
      </c>
      <c r="C613" s="775" t="s">
        <v>2068</v>
      </c>
    </row>
    <row r="614" spans="2:3" ht="72" customHeight="1">
      <c r="B614" s="577" t="s">
        <v>1862</v>
      </c>
      <c r="C614" s="775" t="s">
        <v>1895</v>
      </c>
    </row>
    <row r="615" spans="2:3" ht="12.75">
      <c r="B615" s="577" t="s">
        <v>1863</v>
      </c>
      <c r="C615" s="775" t="s">
        <v>1864</v>
      </c>
    </row>
    <row r="616" spans="2:3" ht="12.75">
      <c r="B616" s="577" t="s">
        <v>1896</v>
      </c>
      <c r="C616" s="775" t="s">
        <v>1899</v>
      </c>
    </row>
    <row r="617" spans="2:3" ht="12.75">
      <c r="B617" s="577" t="s">
        <v>1897</v>
      </c>
      <c r="C617" s="775" t="s">
        <v>1900</v>
      </c>
    </row>
    <row r="618" spans="2:3" ht="12.75">
      <c r="B618" s="577" t="s">
        <v>1898</v>
      </c>
      <c r="C618" s="775" t="s">
        <v>1901</v>
      </c>
    </row>
    <row r="619" spans="2:4" ht="37.5">
      <c r="B619" s="577" t="s">
        <v>1865</v>
      </c>
      <c r="C619" s="775" t="s">
        <v>1902</v>
      </c>
      <c r="D619" s="497" t="s">
        <v>2144</v>
      </c>
    </row>
    <row r="620" spans="2:4" ht="25.5" customHeight="1">
      <c r="B620" s="577" t="s">
        <v>1866</v>
      </c>
      <c r="C620" s="775" t="s">
        <v>1867</v>
      </c>
      <c r="D620" s="907" t="s">
        <v>2146</v>
      </c>
    </row>
    <row r="621" spans="2:4" ht="25">
      <c r="B621" s="577" t="s">
        <v>1868</v>
      </c>
      <c r="C621" s="775" t="s">
        <v>1869</v>
      </c>
      <c r="D621" s="907" t="s">
        <v>2146</v>
      </c>
    </row>
    <row r="622" spans="2:4" ht="37.5">
      <c r="B622" s="577" t="s">
        <v>1870</v>
      </c>
      <c r="C622" s="775" t="s">
        <v>1903</v>
      </c>
      <c r="D622" s="907" t="s">
        <v>2144</v>
      </c>
    </row>
    <row r="623" spans="2:4" ht="25">
      <c r="B623" s="577" t="s">
        <v>1871</v>
      </c>
      <c r="C623" s="775" t="s">
        <v>1872</v>
      </c>
      <c r="D623" s="497" t="s">
        <v>2147</v>
      </c>
    </row>
    <row r="624" spans="2:3" ht="37.5">
      <c r="B624" s="577" t="s">
        <v>1873</v>
      </c>
      <c r="C624" s="577" t="s">
        <v>1889</v>
      </c>
    </row>
    <row r="625" spans="2:3" ht="37.5">
      <c r="B625" s="577" t="s">
        <v>1874</v>
      </c>
      <c r="C625" s="775" t="s">
        <v>1890</v>
      </c>
    </row>
    <row r="626" spans="2:3" ht="12.75">
      <c r="B626" s="577" t="s">
        <v>2071</v>
      </c>
      <c r="C626" s="775" t="s">
        <v>2070</v>
      </c>
    </row>
    <row r="627" spans="2:3" ht="12.75">
      <c r="B627" s="577" t="s">
        <v>1875</v>
      </c>
      <c r="C627" s="577" t="s">
        <v>1891</v>
      </c>
    </row>
    <row r="628" spans="2:3" ht="25">
      <c r="B628" s="577" t="s">
        <v>1876</v>
      </c>
      <c r="C628" s="577" t="s">
        <v>1892</v>
      </c>
    </row>
    <row r="629" spans="2:3" ht="25">
      <c r="B629" s="577" t="s">
        <v>1877</v>
      </c>
      <c r="C629" s="775" t="s">
        <v>1893</v>
      </c>
    </row>
    <row r="630" spans="2:4" ht="12.75">
      <c r="B630" s="577" t="s">
        <v>1878</v>
      </c>
      <c r="C630" s="577" t="s">
        <v>1883</v>
      </c>
      <c r="D630" s="497" t="s">
        <v>1884</v>
      </c>
    </row>
    <row r="631" spans="2:3" ht="12.75">
      <c r="B631" s="577" t="s">
        <v>1879</v>
      </c>
      <c r="C631" s="577" t="s">
        <v>1885</v>
      </c>
    </row>
    <row r="632" spans="2:3" ht="12.75">
      <c r="B632" s="577" t="s">
        <v>1880</v>
      </c>
      <c r="C632" s="577" t="s">
        <v>1886</v>
      </c>
    </row>
    <row r="633" spans="2:3" ht="25">
      <c r="B633" s="577" t="s">
        <v>1881</v>
      </c>
      <c r="C633" s="775" t="s">
        <v>1887</v>
      </c>
    </row>
    <row r="634" spans="2:3" ht="27.75" customHeight="1">
      <c r="B634" s="577" t="s">
        <v>1882</v>
      </c>
      <c r="C634" s="775" t="s">
        <v>1888</v>
      </c>
    </row>
    <row r="635" spans="2:3" ht="12.75">
      <c r="B635" s="577" t="s">
        <v>1904</v>
      </c>
      <c r="C635" s="577" t="s">
        <v>1908</v>
      </c>
    </row>
    <row r="636" spans="2:3" ht="12.75">
      <c r="B636" s="577" t="s">
        <v>1905</v>
      </c>
      <c r="C636" s="577" t="s">
        <v>1909</v>
      </c>
    </row>
    <row r="637" spans="2:3" ht="12.75">
      <c r="B637" s="577" t="s">
        <v>1906</v>
      </c>
      <c r="C637" s="577" t="s">
        <v>1911</v>
      </c>
    </row>
    <row r="638" spans="2:3" ht="12.75">
      <c r="B638" s="577" t="s">
        <v>1907</v>
      </c>
      <c r="C638" s="577" t="s">
        <v>1910</v>
      </c>
    </row>
    <row r="639" spans="2:3" ht="12.75">
      <c r="B639" s="788" t="s">
        <v>1973</v>
      </c>
      <c r="C639" s="775" t="s">
        <v>2013</v>
      </c>
    </row>
    <row r="640" spans="2:3" ht="12.75">
      <c r="B640" s="577" t="s">
        <v>1975</v>
      </c>
      <c r="C640" s="775" t="s">
        <v>1974</v>
      </c>
    </row>
    <row r="641" spans="2:3" ht="12.75">
      <c r="B641" s="577" t="s">
        <v>1976</v>
      </c>
      <c r="C641" s="775" t="s">
        <v>1977</v>
      </c>
    </row>
    <row r="642" spans="2:3" ht="12.75">
      <c r="B642" s="577" t="s">
        <v>1978</v>
      </c>
      <c r="C642" s="775" t="s">
        <v>1139</v>
      </c>
    </row>
    <row r="643" spans="2:3" ht="50">
      <c r="B643" s="577" t="s">
        <v>1979</v>
      </c>
      <c r="C643" s="775" t="s">
        <v>1980</v>
      </c>
    </row>
    <row r="644" spans="2:3" ht="12.75">
      <c r="B644" s="577" t="s">
        <v>1981</v>
      </c>
      <c r="C644" s="775" t="s">
        <v>1982</v>
      </c>
    </row>
    <row r="645" spans="2:3" ht="37.5">
      <c r="B645" s="577" t="s">
        <v>1983</v>
      </c>
      <c r="C645" s="775" t="s">
        <v>1984</v>
      </c>
    </row>
    <row r="646" spans="2:3" ht="37.5">
      <c r="B646" s="577" t="s">
        <v>1985</v>
      </c>
      <c r="C646" s="577" t="s">
        <v>1986</v>
      </c>
    </row>
    <row r="647" spans="2:3" ht="12.75">
      <c r="B647" s="803" t="s">
        <v>1987</v>
      </c>
      <c r="C647" s="804" t="s">
        <v>1988</v>
      </c>
    </row>
    <row r="648" spans="2:3" ht="12.75">
      <c r="B648" s="775" t="s">
        <v>2018</v>
      </c>
      <c r="C648" s="778" t="s">
        <v>2016</v>
      </c>
    </row>
    <row r="649" spans="2:3" ht="25">
      <c r="B649" s="577" t="s">
        <v>2181</v>
      </c>
      <c r="C649" s="577" t="s">
        <v>2182</v>
      </c>
    </row>
    <row r="650" spans="2:3" ht="37.5">
      <c r="B650" s="577" t="s">
        <v>2010</v>
      </c>
      <c r="C650" s="577" t="s">
        <v>2011</v>
      </c>
    </row>
    <row r="651" spans="2:3" ht="25">
      <c r="B651" s="577" t="s">
        <v>2009</v>
      </c>
      <c r="C651" s="577" t="s">
        <v>2012</v>
      </c>
    </row>
    <row r="652" spans="2:3" ht="12.75">
      <c r="B652" s="577" t="s">
        <v>2020</v>
      </c>
      <c r="C652" s="577" t="s">
        <v>2019</v>
      </c>
    </row>
    <row r="653" spans="2:3" ht="12.75">
      <c r="B653" s="577" t="s">
        <v>2024</v>
      </c>
      <c r="C653" s="577" t="s">
        <v>2021</v>
      </c>
    </row>
    <row r="654" spans="2:3" ht="12.75">
      <c r="B654" s="577" t="s">
        <v>2022</v>
      </c>
      <c r="C654" s="577" t="s">
        <v>2023</v>
      </c>
    </row>
    <row r="655" spans="2:3" ht="12.75">
      <c r="B655" s="577" t="s">
        <v>2026</v>
      </c>
      <c r="C655" s="577" t="s">
        <v>2027</v>
      </c>
    </row>
    <row r="656" spans="2:3" ht="25">
      <c r="B656" s="577" t="s">
        <v>2028</v>
      </c>
      <c r="C656" s="577" t="s">
        <v>2029</v>
      </c>
    </row>
    <row r="657" spans="2:3" ht="12.75">
      <c r="B657" s="577" t="s">
        <v>2030</v>
      </c>
      <c r="C657" s="577" t="s">
        <v>2031</v>
      </c>
    </row>
    <row r="658" spans="2:3" ht="12.75">
      <c r="B658" s="577" t="s">
        <v>2032</v>
      </c>
      <c r="C658" s="577" t="s">
        <v>2033</v>
      </c>
    </row>
    <row r="659" spans="2:3" ht="12.75">
      <c r="B659" s="577" t="s">
        <v>2034</v>
      </c>
      <c r="C659" s="577" t="s">
        <v>2035</v>
      </c>
    </row>
    <row r="660" spans="2:3" ht="25">
      <c r="B660" s="577" t="s">
        <v>2036</v>
      </c>
      <c r="C660" s="577" t="s">
        <v>2037</v>
      </c>
    </row>
    <row r="661" spans="2:3" ht="12.75">
      <c r="B661" s="577" t="s">
        <v>2038</v>
      </c>
      <c r="C661" s="577" t="s">
        <v>2086</v>
      </c>
    </row>
    <row r="662" spans="2:3" ht="12.75">
      <c r="B662" s="577" t="s">
        <v>2053</v>
      </c>
      <c r="C662" s="577" t="s">
        <v>2043</v>
      </c>
    </row>
    <row r="663" spans="2:3" ht="12.75">
      <c r="B663" s="577" t="s">
        <v>2054</v>
      </c>
      <c r="C663" s="577" t="s">
        <v>2044</v>
      </c>
    </row>
    <row r="664" spans="2:3" ht="12.75">
      <c r="B664" s="577" t="s">
        <v>2055</v>
      </c>
      <c r="C664" s="577" t="s">
        <v>2045</v>
      </c>
    </row>
    <row r="665" spans="2:3" ht="12.75">
      <c r="B665" s="577" t="s">
        <v>2056</v>
      </c>
      <c r="C665" s="577" t="s">
        <v>2046</v>
      </c>
    </row>
    <row r="666" spans="2:3" ht="12.75">
      <c r="B666" s="577" t="s">
        <v>2057</v>
      </c>
      <c r="C666" s="577" t="s">
        <v>2085</v>
      </c>
    </row>
    <row r="667" spans="2:3" ht="12.75">
      <c r="B667" s="577" t="s">
        <v>2039</v>
      </c>
      <c r="C667" s="577" t="s">
        <v>2047</v>
      </c>
    </row>
    <row r="668" spans="2:3" ht="12.75">
      <c r="B668" s="577" t="s">
        <v>2040</v>
      </c>
      <c r="C668" s="577" t="s">
        <v>2048</v>
      </c>
    </row>
    <row r="669" spans="2:3" ht="12.75">
      <c r="B669" s="577" t="s">
        <v>2041</v>
      </c>
      <c r="C669" s="577" t="s">
        <v>2049</v>
      </c>
    </row>
    <row r="670" spans="2:3" ht="12.75">
      <c r="B670" s="577" t="s">
        <v>2042</v>
      </c>
      <c r="C670" s="577" t="s">
        <v>2050</v>
      </c>
    </row>
    <row r="671" spans="2:3" ht="12.75">
      <c r="B671" s="577" t="s">
        <v>2076</v>
      </c>
      <c r="C671" s="577" t="s">
        <v>2078</v>
      </c>
    </row>
    <row r="672" spans="2:3" ht="12.75">
      <c r="B672" s="577" t="s">
        <v>2077</v>
      </c>
      <c r="C672" s="577" t="s">
        <v>2079</v>
      </c>
    </row>
    <row r="673" spans="2:3" ht="25">
      <c r="B673" s="577" t="s">
        <v>2080</v>
      </c>
      <c r="C673" s="577" t="s">
        <v>2081</v>
      </c>
    </row>
    <row r="674" spans="2:3" ht="37.5">
      <c r="B674" s="577" t="s">
        <v>2083</v>
      </c>
      <c r="C674" s="577" t="s">
        <v>2082</v>
      </c>
    </row>
    <row r="675" spans="2:3" ht="37.5">
      <c r="B675" s="577" t="s">
        <v>2089</v>
      </c>
      <c r="C675" s="577" t="s">
        <v>2203</v>
      </c>
    </row>
    <row r="676" spans="2:3" ht="25">
      <c r="B676" s="577" t="s">
        <v>2106</v>
      </c>
      <c r="C676" s="577" t="s">
        <v>2207</v>
      </c>
    </row>
    <row r="677" spans="2:3" ht="12.75">
      <c r="B677" s="577" t="s">
        <v>2092</v>
      </c>
      <c r="C677" s="577" t="s">
        <v>2093</v>
      </c>
    </row>
    <row r="678" spans="2:3" ht="25">
      <c r="B678" s="577" t="s">
        <v>2090</v>
      </c>
      <c r="C678" s="577" t="s">
        <v>2094</v>
      </c>
    </row>
    <row r="679" spans="2:3" ht="50">
      <c r="B679" s="777" t="s">
        <v>2091</v>
      </c>
      <c r="C679" s="577" t="s">
        <v>2095</v>
      </c>
    </row>
    <row r="680" spans="2:3" ht="12.75">
      <c r="B680" s="577" t="s">
        <v>2096</v>
      </c>
      <c r="C680" s="577" t="s">
        <v>2097</v>
      </c>
    </row>
    <row r="681" spans="2:3" ht="12.75">
      <c r="B681" s="577" t="s">
        <v>2099</v>
      </c>
      <c r="C681" s="577" t="s">
        <v>2100</v>
      </c>
    </row>
    <row r="682" spans="2:3" ht="25">
      <c r="B682" s="577" t="s">
        <v>2103</v>
      </c>
      <c r="C682" s="577" t="s">
        <v>2102</v>
      </c>
    </row>
    <row r="683" spans="2:3" ht="12.75">
      <c r="B683" s="577" t="s">
        <v>2105</v>
      </c>
      <c r="C683" s="577" t="s">
        <v>2104</v>
      </c>
    </row>
    <row r="684" spans="2:4" ht="37.5">
      <c r="B684" s="577" t="s">
        <v>2107</v>
      </c>
      <c r="C684" s="577" t="s">
        <v>2108</v>
      </c>
      <c r="D684" s="497" t="s">
        <v>2145</v>
      </c>
    </row>
    <row r="685" spans="2:3" ht="12.75">
      <c r="B685" s="577" t="s">
        <v>2109</v>
      </c>
      <c r="C685" s="577" t="s">
        <v>2111</v>
      </c>
    </row>
    <row r="686" spans="2:3" ht="12.75">
      <c r="B686" s="577" t="s">
        <v>2113</v>
      </c>
      <c r="C686" s="577" t="s">
        <v>2110</v>
      </c>
    </row>
    <row r="687" spans="2:3" ht="12.75">
      <c r="B687" s="577" t="s">
        <v>2114</v>
      </c>
      <c r="C687" s="577" t="s">
        <v>2112</v>
      </c>
    </row>
    <row r="688" spans="2:3" ht="12.75">
      <c r="B688" s="577" t="s">
        <v>2115</v>
      </c>
      <c r="C688" s="577" t="s">
        <v>2116</v>
      </c>
    </row>
    <row r="689" spans="2:3" ht="12.75">
      <c r="B689" s="577" t="s">
        <v>2105</v>
      </c>
      <c r="C689" s="577" t="s">
        <v>2139</v>
      </c>
    </row>
    <row r="690" spans="2:3" ht="87.5">
      <c r="B690" s="777" t="s">
        <v>2140</v>
      </c>
      <c r="C690" s="775" t="s">
        <v>2141</v>
      </c>
    </row>
    <row r="691" spans="2:3" ht="62.5">
      <c r="B691" s="777" t="s">
        <v>2142</v>
      </c>
      <c r="C691" s="775" t="s">
        <v>2143</v>
      </c>
    </row>
    <row r="692" spans="2:3" ht="12.75">
      <c r="B692" s="941" t="s">
        <v>2149</v>
      </c>
      <c r="C692" s="941" t="s">
        <v>2148</v>
      </c>
    </row>
    <row r="693" spans="2:3" ht="12.75">
      <c r="B693" s="941" t="s">
        <v>2150</v>
      </c>
      <c r="C693" s="941" t="s">
        <v>2151</v>
      </c>
    </row>
    <row r="694" spans="2:3" ht="12.75">
      <c r="B694" s="941" t="s">
        <v>2175</v>
      </c>
      <c r="C694" s="941" t="s">
        <v>2174</v>
      </c>
    </row>
    <row r="695" spans="2:3" ht="12.75">
      <c r="B695" s="941" t="s">
        <v>2176</v>
      </c>
      <c r="C695" s="941" t="s">
        <v>2177</v>
      </c>
    </row>
    <row r="696" spans="2:3" ht="12.75">
      <c r="B696" s="941" t="s">
        <v>712</v>
      </c>
      <c r="C696" s="941" t="s">
        <v>2178</v>
      </c>
    </row>
    <row r="697" spans="2:3" ht="37.5">
      <c r="B697" s="941" t="s">
        <v>2179</v>
      </c>
      <c r="C697" s="941" t="s">
        <v>2180</v>
      </c>
    </row>
    <row r="698" spans="2:3" ht="12.75">
      <c r="B698" s="941" t="s">
        <v>2183</v>
      </c>
      <c r="C698" s="941" t="s">
        <v>2184</v>
      </c>
    </row>
    <row r="699" spans="2:3" ht="12.75">
      <c r="B699" s="941" t="s">
        <v>2185</v>
      </c>
      <c r="C699" s="941" t="s">
        <v>2186</v>
      </c>
    </row>
    <row r="700" spans="2:3" ht="23.25" customHeight="1">
      <c r="B700" s="942" t="s">
        <v>2187</v>
      </c>
      <c r="C700" s="942" t="s">
        <v>2188</v>
      </c>
    </row>
    <row r="701" spans="2:3" ht="12.75">
      <c r="B701" s="941" t="s">
        <v>2233</v>
      </c>
      <c r="C701" s="941" t="s">
        <v>2235</v>
      </c>
    </row>
    <row r="702" spans="2:3" ht="12.75">
      <c r="B702" s="941" t="s">
        <v>2234</v>
      </c>
      <c r="C702" s="941" t="s">
        <v>2236</v>
      </c>
    </row>
    <row r="703" spans="2:3" ht="12.75">
      <c r="B703" s="941" t="s">
        <v>2195</v>
      </c>
      <c r="C703" s="941" t="s">
        <v>2194</v>
      </c>
    </row>
    <row r="704" spans="2:3" ht="12.75">
      <c r="B704" s="941" t="s">
        <v>2197</v>
      </c>
      <c r="C704" s="941" t="s">
        <v>2196</v>
      </c>
    </row>
    <row r="705" spans="2:3" ht="25">
      <c r="B705" s="941" t="s">
        <v>2198</v>
      </c>
      <c r="C705" s="941" t="s">
        <v>2199</v>
      </c>
    </row>
    <row r="706" spans="2:3" ht="12.75">
      <c r="B706" s="941" t="s">
        <v>2200</v>
      </c>
      <c r="C706" s="941" t="s">
        <v>2201</v>
      </c>
    </row>
    <row r="707" spans="2:3" ht="12.75">
      <c r="B707" s="941" t="s">
        <v>2209</v>
      </c>
      <c r="C707" s="941" t="s">
        <v>2210</v>
      </c>
    </row>
    <row r="708" spans="2:3" ht="12.75">
      <c r="B708" s="941" t="s">
        <v>2208</v>
      </c>
      <c r="C708" s="941" t="s">
        <v>2211</v>
      </c>
    </row>
    <row r="709" spans="2:3" ht="12.75">
      <c r="B709" s="941" t="s">
        <v>2216</v>
      </c>
      <c r="C709" s="941" t="s">
        <v>2217</v>
      </c>
    </row>
    <row r="710" spans="2:3" ht="12.75">
      <c r="B710" s="941" t="s">
        <v>2221</v>
      </c>
      <c r="C710" s="941" t="s">
        <v>2223</v>
      </c>
    </row>
    <row r="711" spans="2:3" ht="37.5">
      <c r="B711" s="941" t="s">
        <v>2222</v>
      </c>
      <c r="C711" s="941" t="s">
        <v>2224</v>
      </c>
    </row>
    <row r="712" spans="2:3" ht="25">
      <c r="B712" s="941" t="s">
        <v>2225</v>
      </c>
      <c r="C712" s="941" t="s">
        <v>2226</v>
      </c>
    </row>
    <row r="713" spans="2:3" ht="25">
      <c r="B713" s="941" t="s">
        <v>2227</v>
      </c>
      <c r="C713" s="941" t="s">
        <v>2228</v>
      </c>
    </row>
    <row r="714" spans="2:3" ht="12.75">
      <c r="B714" s="941" t="s">
        <v>2229</v>
      </c>
      <c r="C714" s="941" t="s">
        <v>2231</v>
      </c>
    </row>
    <row r="715" spans="2:3" ht="12.75">
      <c r="B715" s="941" t="s">
        <v>2230</v>
      </c>
      <c r="C715" s="941" t="s">
        <v>2232</v>
      </c>
    </row>
    <row r="716" spans="2:3" ht="12.75">
      <c r="B716" s="803"/>
      <c r="C716" s="803"/>
    </row>
    <row r="717" spans="2:3" ht="12.75">
      <c r="B717" s="803"/>
      <c r="C717" s="803"/>
    </row>
    <row r="718" spans="2:3" ht="12.75">
      <c r="B718" s="803"/>
      <c r="C718" s="803"/>
    </row>
    <row r="719" spans="2:3" ht="12.75">
      <c r="B719" s="943"/>
      <c r="C719" s="803"/>
    </row>
    <row r="720" spans="2:3" ht="12.75">
      <c r="B720" s="803"/>
      <c r="C720" s="803"/>
    </row>
    <row r="721" spans="2:3" ht="12.75">
      <c r="B721" s="803"/>
      <c r="C721" s="803"/>
    </row>
    <row r="722" spans="2:3" ht="12.75">
      <c r="B722" s="803"/>
      <c r="C722" s="803"/>
    </row>
    <row r="723" spans="2:3" ht="12.75">
      <c r="B723" s="803"/>
      <c r="C723" s="803"/>
    </row>
    <row r="724" spans="2:3" ht="12.75">
      <c r="B724" s="803"/>
      <c r="C724" s="803"/>
    </row>
    <row r="725" spans="2:3" ht="12.75">
      <c r="B725" s="803"/>
      <c r="C725" s="803"/>
    </row>
    <row r="726" spans="2:3" ht="12.75">
      <c r="B726" s="803"/>
      <c r="C726" s="803"/>
    </row>
    <row r="727" spans="2:3" ht="12.75">
      <c r="B727" s="803"/>
      <c r="C727" s="803"/>
    </row>
    <row r="728" spans="2:3" ht="12.75">
      <c r="B728" s="803"/>
      <c r="C728" s="803"/>
    </row>
    <row r="729" spans="2:3" ht="12.75">
      <c r="B729" s="803"/>
      <c r="C729" s="803"/>
    </row>
    <row r="730" spans="2:3" ht="12.75">
      <c r="B730" s="803"/>
      <c r="C730" s="803"/>
    </row>
    <row r="731" spans="2:3" ht="12.75">
      <c r="B731" s="803"/>
      <c r="C731" s="803"/>
    </row>
    <row r="732" spans="2:3" ht="12.75">
      <c r="B732" s="803"/>
      <c r="C732" s="803"/>
    </row>
    <row r="733" spans="2:3" ht="12.75">
      <c r="B733" s="803"/>
      <c r="C733" s="803"/>
    </row>
    <row r="734" spans="2:3" ht="12.75">
      <c r="B734" s="803"/>
      <c r="C734" s="803"/>
    </row>
    <row r="735" spans="2:3" ht="12.75">
      <c r="B735" s="803"/>
      <c r="C735" s="803"/>
    </row>
    <row r="736" spans="2:3" ht="12.75">
      <c r="B736" s="803"/>
      <c r="C736" s="803"/>
    </row>
    <row r="737" spans="2:3" ht="12.75">
      <c r="B737" s="803"/>
      <c r="C737" s="803"/>
    </row>
    <row r="738" spans="2:3" ht="12.75">
      <c r="B738" s="803"/>
      <c r="C738" s="803"/>
    </row>
    <row r="739" spans="2:3" ht="12.75">
      <c r="B739" s="803"/>
      <c r="C739" s="803"/>
    </row>
    <row r="740" spans="2:3" ht="12.75">
      <c r="B740" s="803"/>
      <c r="C740" s="803"/>
    </row>
    <row r="741" spans="2:3" ht="12.75">
      <c r="B741" s="803"/>
      <c r="C741" s="803"/>
    </row>
    <row r="742" spans="2:3" ht="12.75">
      <c r="B742" s="803"/>
      <c r="C742" s="803"/>
    </row>
    <row r="743" spans="2:3" ht="12.75">
      <c r="B743" s="803"/>
      <c r="C743" s="803"/>
    </row>
    <row r="744" spans="2:3" ht="12.75">
      <c r="B744" s="803"/>
      <c r="C744" s="803"/>
    </row>
    <row r="745" spans="2:3" ht="12.75">
      <c r="B745" s="803"/>
      <c r="C745" s="803"/>
    </row>
    <row r="746" spans="2:3" ht="12.75">
      <c r="B746" s="803"/>
      <c r="C746" s="803"/>
    </row>
    <row r="747" spans="2:3" ht="12.75">
      <c r="B747" s="803"/>
      <c r="C747" s="803"/>
    </row>
    <row r="748" spans="2:3" ht="12.75">
      <c r="B748" s="803"/>
      <c r="C748" s="803"/>
    </row>
    <row r="749" spans="2:3" ht="12.75">
      <c r="B749" s="803"/>
      <c r="C749" s="803"/>
    </row>
    <row r="750" spans="2:3" ht="12.75">
      <c r="B750" s="803"/>
      <c r="C750" s="803"/>
    </row>
    <row r="751" spans="2:3" ht="12.75">
      <c r="B751" s="803"/>
      <c r="C751" s="803"/>
    </row>
    <row r="752" spans="2:3" ht="12.75">
      <c r="B752" s="803"/>
      <c r="C752" s="803"/>
    </row>
    <row r="753" spans="2:3" ht="12.75">
      <c r="B753" s="803"/>
      <c r="C753" s="803"/>
    </row>
    <row r="754" ht="12.75">
      <c r="B754" s="764"/>
    </row>
    <row r="755" ht="12.75">
      <c r="B755" s="764"/>
    </row>
    <row r="756" ht="12.75">
      <c r="B756" s="764"/>
    </row>
    <row r="757" ht="12.75">
      <c r="B757" s="764"/>
    </row>
    <row r="758" ht="12.75">
      <c r="B758" s="764"/>
    </row>
    <row r="759" ht="12.75">
      <c r="B759" s="764"/>
    </row>
    <row r="760" spans="4:5" ht="12.75">
      <c r="D760" s="805"/>
      <c r="E760" s="805"/>
    </row>
    <row r="761" spans="3:5" ht="12.75">
      <c r="C761" s="805" t="s">
        <v>943</v>
      </c>
      <c r="D761" s="805"/>
      <c r="E761" s="805"/>
    </row>
    <row r="762" spans="3:5" ht="12.75">
      <c r="C762" s="805" t="s">
        <v>1940</v>
      </c>
      <c r="D762" s="805"/>
      <c r="E762" s="805"/>
    </row>
    <row r="763" spans="3:5" ht="12.75">
      <c r="C763" s="805" t="s">
        <v>944</v>
      </c>
      <c r="D763" s="805"/>
      <c r="E763" s="805"/>
    </row>
    <row r="764" spans="3:5" ht="12.75">
      <c r="C764" s="805" t="s">
        <v>945</v>
      </c>
      <c r="D764" s="805"/>
      <c r="E764" s="805"/>
    </row>
    <row r="765" spans="3:5" ht="12.75">
      <c r="C765" s="805" t="s">
        <v>946</v>
      </c>
      <c r="D765" s="805"/>
      <c r="E765" s="805"/>
    </row>
    <row r="766" spans="3:5" ht="12.75">
      <c r="C766" s="805" t="s">
        <v>947</v>
      </c>
      <c r="D766" s="805"/>
      <c r="E766" s="805"/>
    </row>
    <row r="767" spans="3:5" ht="12.75">
      <c r="C767" s="805" t="s">
        <v>948</v>
      </c>
      <c r="D767" s="805"/>
      <c r="E767" s="805"/>
    </row>
    <row r="768" spans="3:5" ht="12.75">
      <c r="C768" s="805" t="s">
        <v>949</v>
      </c>
      <c r="D768" s="805"/>
      <c r="E768" s="805"/>
    </row>
    <row r="769" spans="3:5" ht="12.75">
      <c r="C769" s="805" t="s">
        <v>950</v>
      </c>
      <c r="D769" s="805"/>
      <c r="E769" s="805"/>
    </row>
    <row r="770" spans="3:5" ht="12.75">
      <c r="C770" s="805" t="s">
        <v>951</v>
      </c>
      <c r="D770" s="805"/>
      <c r="E770" s="805"/>
    </row>
    <row r="771" spans="3:5" ht="12.75">
      <c r="C771" s="805" t="s">
        <v>952</v>
      </c>
      <c r="D771" s="805"/>
      <c r="E771" s="805"/>
    </row>
    <row r="772" spans="3:5" ht="12.75">
      <c r="C772" s="805" t="s">
        <v>953</v>
      </c>
      <c r="D772" s="805"/>
      <c r="E772" s="805"/>
    </row>
    <row r="773" spans="3:5" ht="12.75">
      <c r="C773" s="805" t="s">
        <v>950</v>
      </c>
      <c r="D773" s="805"/>
      <c r="E773" s="805"/>
    </row>
    <row r="774" spans="3:5" ht="12.75">
      <c r="C774" s="805" t="s">
        <v>951</v>
      </c>
      <c r="D774" s="805"/>
      <c r="E774" s="805"/>
    </row>
    <row r="775" spans="3:5" ht="12.75">
      <c r="C775" s="805" t="s">
        <v>952</v>
      </c>
      <c r="D775" s="472"/>
      <c r="E775" s="472"/>
    </row>
    <row r="776" ht="12.75">
      <c r="C776" s="829" t="s">
        <v>955</v>
      </c>
    </row>
  </sheetData>
  <sheetProtection algorithmName="SHA-512" hashValue="n5smsT9AOkmAaVPRrG2cQuzgTgNY59F59+3foVxiJdOPfNEr0Eyh91Qdt5JwDcwIhD1r3G4ocV1gha77q9Zi2A==" saltValue="dzUv8vdKMWuclBe23NRkyQ==" spinCount="100000" sheet="1" objects="1" scenarios="1" selectLockedCells="1" selectUnlockedCells="1"/>
  <printOptions/>
  <pageMargins left="0.7086614173228347" right="0.7086614173228347" top="0.7874015748031497" bottom="0.7874015748031497" header="0.31496062992125984" footer="0.31496062992125984"/>
  <pageSetup fitToHeight="0" fitToWidth="1" horizontalDpi="600" verticalDpi="600" orientation="landscape" paperSize="9" scale="88"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M166"/>
  <sheetViews>
    <sheetView workbookViewId="0" topLeftCell="G101">
      <selection activeCell="M120" sqref="M120"/>
    </sheetView>
  </sheetViews>
  <sheetFormatPr defaultColWidth="11.421875" defaultRowHeight="12.75"/>
  <cols>
    <col min="1" max="1" width="62.57421875" style="7" bestFit="1" customWidth="1"/>
    <col min="2" max="2" width="13.57421875" style="7" customWidth="1"/>
    <col min="3" max="3" width="11.421875" style="7" customWidth="1"/>
    <col min="4" max="4" width="7.28125" style="7" bestFit="1" customWidth="1"/>
    <col min="5" max="5" width="8.28125" style="7" bestFit="1" customWidth="1"/>
    <col min="6" max="6" width="7.00390625" style="7" bestFit="1" customWidth="1"/>
    <col min="7" max="7" width="7.00390625" style="7" customWidth="1"/>
    <col min="8" max="8" width="29.140625" style="7" bestFit="1" customWidth="1"/>
    <col min="9" max="11" width="11.421875" style="7" customWidth="1"/>
  </cols>
  <sheetData>
    <row r="1" spans="12:13" ht="13" thickBot="1">
      <c r="L1" s="7"/>
      <c r="M1" s="7"/>
    </row>
    <row r="2" spans="1:13" ht="13">
      <c r="A2" s="8" t="s">
        <v>142</v>
      </c>
      <c r="L2" s="7"/>
      <c r="M2" s="7"/>
    </row>
    <row r="3" spans="1:13" ht="12.75">
      <c r="A3" s="89" t="str">
        <f>IF(Adatlap!$L$1=Fordítások!C3,Fordítások!C175,Fordítások!B175)</f>
        <v>Intenzív tisztító hatású mosószer, színkímélő mosószer</v>
      </c>
      <c r="L3" s="7"/>
      <c r="M3" s="7"/>
    </row>
    <row r="4" spans="1:13" ht="12.75">
      <c r="A4" s="89" t="str">
        <f>IF(Adatlap!$L$1=Fordítások!C3,Fordítások!C176,Fordítások!B176)</f>
        <v>Kímélő mosószer</v>
      </c>
      <c r="L4" s="7"/>
      <c r="M4" s="7"/>
    </row>
    <row r="5" spans="1:13" ht="13" thickBot="1">
      <c r="A5" s="90" t="str">
        <f>IF(Adatlap!$L$1=Fordítások!C3,Fordítások!C177,Fordítások!B177)</f>
        <v>Folteltávolító</v>
      </c>
      <c r="L5" s="7"/>
      <c r="M5" s="7"/>
    </row>
    <row r="6" spans="1:13" ht="13" thickBot="1">
      <c r="A6" s="135"/>
      <c r="L6" s="7"/>
      <c r="M6" s="7"/>
    </row>
    <row r="7" spans="1:13" ht="13">
      <c r="A7" s="13" t="s">
        <v>517</v>
      </c>
      <c r="L7" s="7"/>
      <c r="M7" s="7"/>
    </row>
    <row r="8" spans="1:13" ht="12.75">
      <c r="A8" s="89" t="str">
        <f>IF(Adatlap!$L$1=Fordítások!C3,Fordítások!C179,Fordítások!B179)</f>
        <v>szilárd (por)</v>
      </c>
      <c r="L8" s="7"/>
      <c r="M8" s="7"/>
    </row>
    <row r="9" spans="1:13" ht="13" thickBot="1">
      <c r="A9" s="90" t="str">
        <f>IF(Adatlap!$L$1=Fordítások!C3,Fordítások!C180,Fordítások!B180)</f>
        <v>folyékony (beleértve a gélt is)</v>
      </c>
      <c r="L9" s="7"/>
      <c r="M9" s="7"/>
    </row>
    <row r="10" spans="1:13" ht="13" thickBot="1">
      <c r="A10" s="19"/>
      <c r="L10" s="7"/>
      <c r="M10" s="7"/>
    </row>
    <row r="11" spans="1:13" ht="13">
      <c r="A11" s="13" t="s">
        <v>143</v>
      </c>
      <c r="L11" s="7"/>
      <c r="M11" s="7"/>
    </row>
    <row r="12" spans="1:13" ht="12.75">
      <c r="A12" s="9" t="str">
        <f>IF(Adatlap!L1=Fordítások!C3,Fordítások!C76,Fordítások!B76)</f>
        <v>Igen</v>
      </c>
      <c r="L12" s="7"/>
      <c r="M12" s="7"/>
    </row>
    <row r="13" spans="1:13" ht="13" thickBot="1">
      <c r="A13" s="11" t="str">
        <f>IF(Fordítások!C3=Fordítások!C3,Fordítások!C77,Fordítások!B77)</f>
        <v>Nem</v>
      </c>
      <c r="L13" s="7"/>
      <c r="M13" s="7"/>
    </row>
    <row r="14" spans="12:13" ht="13" thickBot="1">
      <c r="L14" s="7"/>
      <c r="M14" s="7"/>
    </row>
    <row r="15" spans="1:13" ht="13">
      <c r="A15" s="13" t="s">
        <v>139</v>
      </c>
      <c r="L15" s="7"/>
      <c r="M15" s="7"/>
    </row>
    <row r="16" spans="1:13" ht="12.75">
      <c r="A16" s="9" t="str">
        <f>IF(Adatlap!$L$1=Fordítások!C3,Fordítások!C70,Fordítások!B70)</f>
        <v>Felületaktív anyag</v>
      </c>
      <c r="L16" s="7"/>
      <c r="M16" s="7"/>
    </row>
    <row r="17" spans="1:13" ht="12.75">
      <c r="A17" s="9" t="str">
        <f>IF(Adatlap!$L$1=Fordítások!C3,Fordítások!C69,Fordítások!B69)</f>
        <v>Egyéb</v>
      </c>
      <c r="L17" s="7"/>
      <c r="M17" s="7"/>
    </row>
    <row r="18" spans="1:13" ht="12.75">
      <c r="A18" s="9" t="str">
        <f>IF(Adatlap!$L$1=Fordítások!C3,Fordítások!C65,Fordítások!B65)</f>
        <v>Tartósítószer</v>
      </c>
      <c r="L18" s="7"/>
      <c r="M18" s="7"/>
    </row>
    <row r="19" spans="1:13" ht="12.75">
      <c r="A19" s="9" t="str">
        <f>IF(Adatlap!$L$1=Fordítások!C3,Fordítások!C63,Fordítások!B63)</f>
        <v>Illatanyag</v>
      </c>
      <c r="L19" s="7"/>
      <c r="M19" s="7"/>
    </row>
    <row r="20" spans="1:13" ht="12.75">
      <c r="A20" s="9" t="str">
        <f>IF(Adatlap!$L$1=Fordítások!C3,Fordítások!C64,Fordítások!B64)</f>
        <v>Színezék</v>
      </c>
      <c r="L20" s="7"/>
      <c r="M20" s="7"/>
    </row>
    <row r="21" spans="1:13" ht="12.75">
      <c r="A21" s="9" t="str">
        <f>IF(Adatlap!$L$1=Fordítások!C3,Fordítások!C66,Fordítások!B66)</f>
        <v>Enzim</v>
      </c>
      <c r="L21" s="7"/>
      <c r="M21" s="7"/>
    </row>
    <row r="22" spans="1:13" ht="13" thickBot="1">
      <c r="A22" s="11" t="str">
        <f>IF(Adatlap!$L$1=Fordítások!C3,Fordítások!C227,Fordítások!B227)</f>
        <v>Mikroorganizmus</v>
      </c>
      <c r="L22" s="7"/>
      <c r="M22" s="7"/>
    </row>
    <row r="23" spans="12:13" ht="13" thickBot="1">
      <c r="L23" s="7"/>
      <c r="M23" s="7"/>
    </row>
    <row r="24" spans="1:13" ht="13">
      <c r="A24" s="8" t="s">
        <v>222</v>
      </c>
      <c r="L24" s="7"/>
      <c r="M24" s="7"/>
    </row>
    <row r="25" spans="1:13" ht="12.75">
      <c r="A25" s="9" t="str">
        <f>IF(Adatlap!$L$1=Fordítások!C3,Fordítások!C228,Fordítások!B228)</f>
        <v>Folyékony</v>
      </c>
      <c r="L25" s="7"/>
      <c r="M25" s="7"/>
    </row>
    <row r="26" spans="1:13" ht="12.75">
      <c r="A26" s="9" t="str">
        <f>IF(Adatlap!$L$1=Fordítások!C3,Fordítások!C229,Fordítások!B229)</f>
        <v>Szilárd</v>
      </c>
      <c r="L26" s="7"/>
      <c r="M26" s="7"/>
    </row>
    <row r="27" spans="1:13" ht="12.75">
      <c r="A27" s="9" t="str">
        <f>IF(Adatlap!$L$1=Fordítások!C3,Fordítások!C230,Fordítások!B230)</f>
        <v>Oldott</v>
      </c>
      <c r="L27" s="7"/>
      <c r="M27" s="7"/>
    </row>
    <row r="28" spans="1:13" ht="12.75">
      <c r="A28" s="9" t="str">
        <f>IF(Adatlap!$L$1=Fordítások!C3,Fordítások!C231,Fordítások!B231)</f>
        <v>Szilárd (por alakú)</v>
      </c>
      <c r="L28" s="7"/>
      <c r="M28" s="7"/>
    </row>
    <row r="29" spans="1:13" ht="13" thickBot="1">
      <c r="A29" s="11" t="str">
        <f>IF(Adatlap!$L$1=Fordítások!C3,Fordítások!C232,Fordítások!B232)</f>
        <v>(nano)</v>
      </c>
      <c r="L29" s="7"/>
      <c r="M29" s="7"/>
    </row>
    <row r="30" spans="12:13" ht="12.75">
      <c r="L30" s="7"/>
      <c r="M30" s="7"/>
    </row>
    <row r="31" spans="12:13" ht="13" thickBot="1">
      <c r="L31" s="7"/>
      <c r="M31" s="7"/>
    </row>
    <row r="32" spans="1:13" ht="13">
      <c r="A32" s="13" t="s">
        <v>141</v>
      </c>
      <c r="L32" s="7"/>
      <c r="M32" s="7"/>
    </row>
    <row r="33" spans="1:13" ht="12.75">
      <c r="A33" s="89" t="s">
        <v>24</v>
      </c>
      <c r="L33" s="7"/>
      <c r="M33" s="7"/>
    </row>
    <row r="34" spans="1:13" ht="12.75">
      <c r="A34" s="89" t="s">
        <v>28</v>
      </c>
      <c r="L34" s="7"/>
      <c r="M34" s="7"/>
    </row>
    <row r="35" spans="1:13" ht="12.75">
      <c r="A35" s="89" t="s">
        <v>35</v>
      </c>
      <c r="L35" s="7"/>
      <c r="M35" s="7"/>
    </row>
    <row r="36" spans="1:13" ht="12.75">
      <c r="A36" s="89" t="s">
        <v>26</v>
      </c>
      <c r="L36" s="7"/>
      <c r="M36" s="7"/>
    </row>
    <row r="37" spans="1:13" ht="13" thickBot="1">
      <c r="A37" s="90" t="s">
        <v>45</v>
      </c>
      <c r="L37" s="7"/>
      <c r="M37" s="7"/>
    </row>
    <row r="38" spans="12:13" ht="13" thickBot="1">
      <c r="L38" s="7"/>
      <c r="M38" s="7"/>
    </row>
    <row r="39" spans="1:13" ht="13">
      <c r="A39" s="13" t="s">
        <v>145</v>
      </c>
      <c r="L39" s="7"/>
      <c r="M39" s="7"/>
    </row>
    <row r="40" spans="1:13" ht="12.75">
      <c r="A40" s="89" t="s">
        <v>27</v>
      </c>
      <c r="L40" s="7"/>
      <c r="M40" s="7"/>
    </row>
    <row r="41" spans="1:13" ht="12.75">
      <c r="A41" s="89" t="s">
        <v>25</v>
      </c>
      <c r="L41" s="7"/>
      <c r="M41" s="7"/>
    </row>
    <row r="42" spans="1:13" ht="12.75">
      <c r="A42" s="89" t="s">
        <v>26</v>
      </c>
      <c r="L42" s="7"/>
      <c r="M42" s="7"/>
    </row>
    <row r="43" spans="1:13" ht="13" thickBot="1">
      <c r="A43" s="90" t="s">
        <v>45</v>
      </c>
      <c r="L43" s="7"/>
      <c r="M43" s="7"/>
    </row>
    <row r="44" spans="12:13" ht="13" thickBot="1">
      <c r="L44" s="7"/>
      <c r="M44" s="7"/>
    </row>
    <row r="45" spans="1:13" ht="13">
      <c r="A45" s="8" t="s">
        <v>146</v>
      </c>
      <c r="L45" s="7"/>
      <c r="M45" s="7"/>
    </row>
    <row r="46" spans="1:13" ht="12.75">
      <c r="A46" s="10">
        <v>0.05</v>
      </c>
      <c r="L46" s="7"/>
      <c r="M46" s="7"/>
    </row>
    <row r="47" spans="1:13" ht="12.75">
      <c r="A47" s="10">
        <v>0.15</v>
      </c>
      <c r="L47" s="7"/>
      <c r="M47" s="7"/>
    </row>
    <row r="48" spans="1:13" ht="12.75">
      <c r="A48" s="10">
        <v>0.5</v>
      </c>
      <c r="L48" s="7"/>
      <c r="M48" s="7"/>
    </row>
    <row r="49" spans="1:13" ht="13" thickBot="1">
      <c r="A49" s="12">
        <v>1</v>
      </c>
      <c r="L49" s="7"/>
      <c r="M49" s="7"/>
    </row>
    <row r="50" spans="12:13" ht="13" thickBot="1">
      <c r="L50" s="7"/>
      <c r="M50" s="7"/>
    </row>
    <row r="51" spans="1:13" ht="13">
      <c r="A51" s="8" t="s">
        <v>206</v>
      </c>
      <c r="L51" s="7"/>
      <c r="M51" s="7"/>
    </row>
    <row r="52" spans="1:13" ht="12.75">
      <c r="A52" s="69" t="s">
        <v>206</v>
      </c>
      <c r="L52" s="7"/>
      <c r="M52" s="7"/>
    </row>
    <row r="53" spans="1:13" ht="12.75">
      <c r="A53" s="69" t="s">
        <v>207</v>
      </c>
      <c r="L53" s="7"/>
      <c r="M53" s="7"/>
    </row>
    <row r="54" spans="1:13" ht="13" thickBot="1">
      <c r="A54" s="11" t="str">
        <f>IF(Adatlap!$L$1=Fordítások!C3,Fordítások!C107,Fordítások!B107)</f>
        <v>Élelmiszerekre is engedélyezett</v>
      </c>
      <c r="L54" s="7"/>
      <c r="M54" s="7"/>
    </row>
    <row r="55" spans="12:13" ht="13" thickBot="1">
      <c r="L55" s="7"/>
      <c r="M55" s="7"/>
    </row>
    <row r="56" spans="1:13" ht="13">
      <c r="A56" s="8" t="s">
        <v>402</v>
      </c>
      <c r="L56" s="7"/>
      <c r="M56" s="7"/>
    </row>
    <row r="57" spans="1:13" ht="12.75">
      <c r="A57" s="89" t="str">
        <f>IF(Adatlap!$L$1=Fordítások!C3,Fordítások!C129,Fordítások!B129)</f>
        <v>Book&amp;Claim (forgalomképes tanúsítványok rendszere)</v>
      </c>
      <c r="L57" s="7"/>
      <c r="M57" s="7"/>
    </row>
    <row r="58" spans="1:13" ht="13" thickBot="1">
      <c r="A58" s="90" t="str">
        <f>IF(Adatlap!$L$1=Fordítások!C3,Fordítások!C130,Fordítások!B130)</f>
        <v>Szállítólevelek/Számlák (külön vagy anyagmérleg)</v>
      </c>
      <c r="L58" s="7"/>
      <c r="M58" s="7"/>
    </row>
    <row r="59" spans="1:13" ht="13" thickBot="1">
      <c r="A59" s="135"/>
      <c r="L59" s="7"/>
      <c r="M59" s="7"/>
    </row>
    <row r="60" spans="1:13" ht="13">
      <c r="A60" s="8" t="s">
        <v>636</v>
      </c>
      <c r="L60" s="7"/>
      <c r="M60" s="7"/>
    </row>
    <row r="61" spans="1:13" ht="12.75">
      <c r="A61" s="89" t="str">
        <f>IF(Adatlap!$L$1=Fordítások!C3,Fordítások!C234,Fordítások!B234)</f>
        <v>Mentesített anyag</v>
      </c>
      <c r="L61" s="7"/>
      <c r="M61" s="7"/>
    </row>
    <row r="62" spans="1:13" ht="13" thickBot="1">
      <c r="A62" s="90" t="str">
        <f>IF(Adatlap!$L$1=Fordítások!C3,Fordítások!C235,Fordítások!B235)</f>
        <v>Mérési küszöb alatti</v>
      </c>
      <c r="L62" s="7"/>
      <c r="M62" s="7"/>
    </row>
    <row r="63" spans="1:13" ht="12.75">
      <c r="A63" s="135"/>
      <c r="L63" s="7"/>
      <c r="M63" s="7"/>
    </row>
    <row r="64" spans="12:13" ht="13" thickBot="1">
      <c r="L64" s="7"/>
      <c r="M64" s="7"/>
    </row>
    <row r="65" spans="1:13" ht="13">
      <c r="A65" s="8" t="s">
        <v>434</v>
      </c>
      <c r="L65" s="7"/>
      <c r="M65" s="7"/>
    </row>
    <row r="66" spans="1:13" ht="12.75">
      <c r="A66" s="89" t="str">
        <f>IF(Adatlap!$L$1=Fordítások!C3,Fordítások!C151,Fordítások!B151)</f>
        <v>PET – polietilén-tereftalát</v>
      </c>
      <c r="L66" s="7"/>
      <c r="M66" s="7"/>
    </row>
    <row r="67" spans="1:13" ht="12.75">
      <c r="A67" s="89" t="str">
        <f>IF(Adatlap!$L$1=Fordítások!C3,Fordítások!C155,Fordítások!B155)</f>
        <v>PP – polipropilén</v>
      </c>
      <c r="L67" s="7"/>
      <c r="M67" s="7"/>
    </row>
    <row r="68" spans="1:13" ht="13" thickBot="1">
      <c r="A68" s="90" t="str">
        <f>IF(Adatlap!$L$1=Fordítások!C3,Fordítások!C150,Fordítások!B150)</f>
        <v>HDPE – nagy sűrűségű polietilén</v>
      </c>
      <c r="L68" s="7"/>
      <c r="M68" s="7"/>
    </row>
    <row r="69" spans="12:13" ht="13" thickBot="1">
      <c r="L69" s="7"/>
      <c r="M69" s="7"/>
    </row>
    <row r="70" spans="1:13" ht="13">
      <c r="A70" s="8" t="s">
        <v>424</v>
      </c>
      <c r="L70" s="7"/>
      <c r="M70" s="7"/>
    </row>
    <row r="71" spans="1:13" ht="12.75">
      <c r="A71" s="89" t="str">
        <f>IF(Adatlap!$L$1=Fordítások!C3,Fordítások!C156,Fordítások!B156)</f>
        <v>PS – polisztirol</v>
      </c>
      <c r="L71" s="7"/>
      <c r="M71" s="7"/>
    </row>
    <row r="72" spans="1:13" ht="12.75">
      <c r="A72" s="89" t="str">
        <f>IF(Adatlap!$L$1=Fordítások!C3,Fordítások!C157,Fordítások!B157)</f>
        <v>PVC – polivinil-klorid</v>
      </c>
      <c r="L72" s="7"/>
      <c r="M72" s="7"/>
    </row>
    <row r="73" spans="1:13" ht="12.75">
      <c r="A73" s="89" t="str">
        <f>IF(Adatlap!$L$1=Fordítások!C3,Fordítások!C152,Fordítások!B152)</f>
        <v>PETG – glikol-módosított polietilén-tereftalát</v>
      </c>
      <c r="L73" s="7"/>
      <c r="M73" s="7"/>
    </row>
    <row r="74" spans="1:13" ht="12.75">
      <c r="A74" s="89" t="str">
        <f>IF(Adatlap!$L$1=Fordítások!C3,Fordítások!C153,Fordítások!B153)</f>
        <v>1 g/cm3-nél nagyobb sűrűségű egyéb műanyagok</v>
      </c>
      <c r="L74" s="7"/>
      <c r="M74" s="7"/>
    </row>
    <row r="75" spans="1:13" ht="12.75">
      <c r="A75" s="89" t="str">
        <f>IF(Adatlap!$L$1=Fordítások!C3,Fordítások!C154,Fordítások!B154)</f>
        <v>1 g/cm3-nél kisebb egyéb műanyagok</v>
      </c>
      <c r="L75" s="7"/>
      <c r="M75" s="7"/>
    </row>
    <row r="76" spans="1:13" ht="13" thickBot="1">
      <c r="A76" s="90" t="str">
        <f>IF(Adatlap!$L$1=Fordítások!C3,Fordítások!C166,Fordítások!B166)</f>
        <v>nemlétező</v>
      </c>
      <c r="L76" s="7"/>
      <c r="M76" s="7"/>
    </row>
    <row r="77" spans="12:13" ht="13" thickBot="1">
      <c r="L77" s="7"/>
      <c r="M77" s="7"/>
    </row>
    <row r="78" spans="1:13" ht="13">
      <c r="A78" s="8" t="s">
        <v>425</v>
      </c>
      <c r="L78" s="7"/>
      <c r="M78" s="7"/>
    </row>
    <row r="79" spans="1:13" ht="12.75">
      <c r="A79" s="89" t="str">
        <f>IF(Adatlap!$L$1=Fordítások!C3,Fordítások!C156,Fordítások!B156)</f>
        <v>PS – polisztirol</v>
      </c>
      <c r="L79" s="7"/>
      <c r="M79" s="7"/>
    </row>
    <row r="80" spans="1:13" ht="12.75">
      <c r="A80" s="89" t="str">
        <f>IF(Adatlap!$L$1=Fordítások!C3,Fordítások!C157,Fordítások!B157)</f>
        <v>PVC – polivinil-klorid</v>
      </c>
      <c r="L80" s="7"/>
      <c r="M80" s="7"/>
    </row>
    <row r="81" spans="1:13" ht="12.75">
      <c r="A81" s="89" t="str">
        <f>IF(Adatlap!$L$1=Fordítások!C3,Fordítások!C160,Fordítások!B160)</f>
        <v>Szilikon, D &gt; 1 g/cm3</v>
      </c>
      <c r="L81" s="7"/>
      <c r="M81" s="7"/>
    </row>
    <row r="82" spans="1:13" ht="12.75">
      <c r="A82" s="89" t="str">
        <f>IF(Adatlap!$L$1=Fordítások!C3,Fordítások!C161,Fordítások!B161)</f>
        <v>Szilikon, D &lt; 1 g/cm3</v>
      </c>
      <c r="L82" s="7"/>
      <c r="M82" s="7"/>
    </row>
    <row r="83" spans="1:13" ht="12.75">
      <c r="A83" s="89" t="str">
        <f>IF(Adatlap!$L$1=Fordítások!C3,Fordítások!C158,Fordítások!B158)</f>
        <v>Üveg</v>
      </c>
      <c r="L83" s="7"/>
      <c r="M83" s="7"/>
    </row>
    <row r="84" spans="1:13" ht="12.75">
      <c r="A84" s="89" t="str">
        <f>IF(Adatlap!$L$1=Fordítások!C3,Fordítások!C159,Fordítások!B159)</f>
        <v>Fém</v>
      </c>
      <c r="L84" s="7"/>
      <c r="M84" s="7"/>
    </row>
    <row r="85" spans="1:13" ht="13" thickBot="1">
      <c r="A85" s="90" t="str">
        <f>IF(Adatlap!$L$1=Fordítások!C3,Fordítások!C149,Fordítások!B149)</f>
        <v>EVA – etilén-vinil-acetát</v>
      </c>
      <c r="L85" s="7"/>
      <c r="M85" s="7"/>
    </row>
    <row r="86" spans="12:13" ht="13" thickBot="1">
      <c r="L86" s="7"/>
      <c r="M86" s="7"/>
    </row>
    <row r="87" spans="1:13" ht="13">
      <c r="A87" s="8" t="s">
        <v>436</v>
      </c>
      <c r="L87" s="7"/>
      <c r="M87" s="7"/>
    </row>
    <row r="88" spans="1:13" ht="12.75">
      <c r="A88" s="89" t="str">
        <f>IF(Adatlap!$L$1=Fordítások!C3,Fordítások!C162,Fordítások!B162)</f>
        <v>poliamid</v>
      </c>
      <c r="L88" s="7"/>
      <c r="M88" s="7"/>
    </row>
    <row r="89" spans="1:13" ht="12.75">
      <c r="A89" s="89" t="str">
        <f>IF(Adatlap!$L$1=Fordítások!C3,Fordítások!C163,Fordítások!B163)</f>
        <v>EVOH - Etilén-vinil-alkohol</v>
      </c>
      <c r="L89" s="7"/>
      <c r="M89" s="7"/>
    </row>
    <row r="90" spans="1:13" ht="12.75">
      <c r="A90" s="89" t="str">
        <f>IF(Adatlap!$L$1=Fordítások!C3,Fordítások!C164,Fordítások!B164)</f>
        <v>funkcionális poliolefinek</v>
      </c>
      <c r="L90" s="7"/>
      <c r="M90" s="7"/>
    </row>
    <row r="91" spans="1:13" ht="12.75">
      <c r="A91" s="89" t="str">
        <f>IF(Adatlap!$L$1=Fordítások!C3,Fordítások!C165,Fordítások!B165)</f>
        <v>fémezett és fényvédő zárórétegek</v>
      </c>
      <c r="L91" s="7"/>
      <c r="M91" s="7"/>
    </row>
    <row r="92" spans="1:13" ht="13" thickBot="1">
      <c r="A92" s="90" t="str">
        <f>IF(Adatlap!$L$1=Fordítások!C3,Fordítások!C166,Fordítások!B166)</f>
        <v>nemlétező</v>
      </c>
      <c r="L92" s="7"/>
      <c r="M92" s="7"/>
    </row>
    <row r="93" spans="12:13" ht="13" thickBot="1">
      <c r="L93" s="7"/>
      <c r="M93" s="7"/>
    </row>
    <row r="94" spans="1:13" ht="13">
      <c r="A94" s="13" t="s">
        <v>517</v>
      </c>
      <c r="L94" s="7"/>
      <c r="M94" s="7"/>
    </row>
    <row r="95" spans="1:13" ht="12.75">
      <c r="A95" s="89" t="str">
        <f>IF(Adatlap!$L$1=Fordítások!C3,Fordítások!C206,Fordítások!B206)</f>
        <v>Por</v>
      </c>
      <c r="L95" s="7"/>
      <c r="M95" s="7"/>
    </row>
    <row r="96" spans="1:13" ht="13" thickBot="1">
      <c r="A96" s="90" t="str">
        <f>IF(Adatlap!$L$1=Fordítások!C3,Fordítások!C207,Fordítások!B207)</f>
        <v>Egyéb</v>
      </c>
      <c r="L96" s="7"/>
      <c r="M96" s="7"/>
    </row>
    <row r="97" spans="12:13" ht="13" thickBot="1">
      <c r="L97" s="7"/>
      <c r="M97" s="7"/>
    </row>
    <row r="98" spans="1:13" ht="13">
      <c r="A98" s="8" t="s">
        <v>616</v>
      </c>
      <c r="L98" s="7"/>
      <c r="M98" s="7"/>
    </row>
    <row r="99" spans="1:13" ht="12.75">
      <c r="A99" s="175" t="str">
        <f>IF(Adatlap!$L$1=Fordítások!C3,Fordítások!C224,Fordítások!B224)</f>
        <v>nincs</v>
      </c>
      <c r="L99" s="7"/>
      <c r="M99" s="7"/>
    </row>
    <row r="100" spans="1:13" ht="12.75">
      <c r="A100" s="175" t="str">
        <f>IF(Adatlap!$L$1=Fordítások!C$3,Fordítások!C685,Fordítások!B685)</f>
        <v>1. az anyag könnyen lebomlik és adszorpciója alacsony szintű (A &lt; 25 %)</v>
      </c>
      <c r="L100" s="7"/>
      <c r="M100" s="7"/>
    </row>
    <row r="101" spans="1:13" ht="12.75">
      <c r="A101" s="175" t="str">
        <f>IF(Adatlap!$L$1=Fordítások!C$3,Fordítások!C686,Fordítások!B686)</f>
        <v>2. az anyag könnyen lebomlik és deszorpciója magas szintű (D &gt; 75 %)</v>
      </c>
      <c r="L101" s="7"/>
      <c r="M101" s="7"/>
    </row>
    <row r="102" spans="1:13" ht="12.75">
      <c r="A102" s="175" t="str">
        <f>IF(Adatlap!$L$1=Fordítások!C$3,Fordítások!C687,Fordítások!B687)</f>
        <v>3. az anyag könnyen lebomlik és nem bioakkumulatív</v>
      </c>
      <c r="L102" s="7"/>
      <c r="M102" s="7"/>
    </row>
    <row r="103" spans="12:13" ht="13" thickBot="1">
      <c r="L103" s="7"/>
      <c r="M103" s="7"/>
    </row>
    <row r="104" spans="1:13" ht="13">
      <c r="A104" s="187" t="s">
        <v>714</v>
      </c>
      <c r="L104" s="7"/>
      <c r="M104" s="7"/>
    </row>
    <row r="105" spans="1:13" ht="12.75">
      <c r="A105" s="188" t="str">
        <f>IF(Adatlap!$L$1=Fordítások!C3,Fordítások!C237,Fordítások!B237)</f>
        <v>2017/1217/EU kemény felületekre szánt tisztítószerek uniós ökocímke kritériumairól</v>
      </c>
      <c r="L105" s="7"/>
      <c r="M105" s="7"/>
    </row>
    <row r="106" spans="1:13" ht="12.75">
      <c r="A106" s="188" t="str">
        <f>IF(Adatlap!$L$1=Fordítások!C3,Fordítások!C238,Fordítások!B238)</f>
        <v>2017/1214/EU a kézi mosogatószerek uniós ökocímke kritériumairól</v>
      </c>
      <c r="L106" s="7"/>
      <c r="M106" s="7"/>
    </row>
    <row r="107" spans="1:13" ht="12.75">
      <c r="A107" s="188" t="str">
        <f>IF(Adatlap!$L$1=Fordítások!C3,Fordítások!C239,Fordítások!B239)</f>
        <v>2017/1218/EU a mosószerek uniós ökocímke kritériumairól</v>
      </c>
      <c r="L107" s="7"/>
      <c r="M107" s="7"/>
    </row>
    <row r="108" spans="1:13" ht="12.75">
      <c r="A108" s="188" t="str">
        <f>IF(Adatlap!$L$1=Fordítások!C3,Fordítások!C240,Fordítások!B240)</f>
        <v>2017/1216/EU határozat a gépi mosogatószerek uniós ökocímke kritériumairól</v>
      </c>
      <c r="L108" s="7"/>
      <c r="M108" s="7"/>
    </row>
    <row r="109" spans="1:13" ht="12.75">
      <c r="A109" s="188" t="str">
        <f>IF(Adatlap!$L$1=Fordítások!C3,Fordítások!C241,Fordítások!B241)</f>
        <v>2017/1215/EU határozat az  ipari és intézményi felhasználásra szánt gépi mosogatószerek uniós ökocímke kritériumairól</v>
      </c>
      <c r="L109" s="7"/>
      <c r="M109" s="7"/>
    </row>
    <row r="110" spans="1:13" ht="13" thickBot="1">
      <c r="A110" s="189" t="str">
        <f>IF(Adatlap!$L$1=Fordítások!C3,Fordítások!C242,Fordítások!B242)</f>
        <v>2017/1219/EU az ipari  és  intézményi  felhasználásra szánt mosószerek uniós ökocímke kritériumairól</v>
      </c>
      <c r="L110" s="7"/>
      <c r="M110" s="7"/>
    </row>
    <row r="111" spans="12:13" ht="13" thickBot="1">
      <c r="L111" s="7"/>
      <c r="M111" s="7"/>
    </row>
    <row r="112" spans="1:13" ht="13">
      <c r="A112" s="8" t="s">
        <v>733</v>
      </c>
      <c r="B112" s="193" t="s">
        <v>815</v>
      </c>
      <c r="C112" s="194" t="s">
        <v>816</v>
      </c>
      <c r="D112" s="194" t="s">
        <v>817</v>
      </c>
      <c r="E112" s="194" t="s">
        <v>814</v>
      </c>
      <c r="F112" s="206" t="s">
        <v>35</v>
      </c>
      <c r="G112" s="209" t="s">
        <v>840</v>
      </c>
      <c r="H112" s="209" t="s">
        <v>853</v>
      </c>
      <c r="L112" s="7"/>
      <c r="M112" s="7"/>
    </row>
    <row r="113" spans="1:13" ht="12.75">
      <c r="A113" s="188" t="str">
        <f>IF(Adatlap!$L$1=Fordítások!C3,Fordítások!C243,Fordítások!B243)</f>
        <v>Általános tisztítószer, használatra kész</v>
      </c>
      <c r="B113" s="195">
        <v>350000</v>
      </c>
      <c r="C113" s="196">
        <v>3</v>
      </c>
      <c r="D113" s="196">
        <v>55</v>
      </c>
      <c r="E113" s="196">
        <v>30</v>
      </c>
      <c r="F113" s="207">
        <v>0.02</v>
      </c>
      <c r="G113" s="229">
        <v>150</v>
      </c>
      <c r="H113" s="229" t="s">
        <v>820</v>
      </c>
      <c r="K113" s="7">
        <f>F113</f>
        <v>0.02</v>
      </c>
      <c r="L113" s="7"/>
      <c r="M113" s="7" t="s">
        <v>992</v>
      </c>
    </row>
    <row r="114" spans="1:13" ht="12.75">
      <c r="A114" s="188" t="str">
        <f>IF(Adatlap!$L$1=Fordítások!C3,Fordítások!C244,Fordítások!B244)</f>
        <v>Általános tisztítószer, hígítatlan</v>
      </c>
      <c r="B114" s="195">
        <v>18000</v>
      </c>
      <c r="C114" s="196">
        <v>0.2</v>
      </c>
      <c r="D114" s="196">
        <v>0.5</v>
      </c>
      <c r="E114" s="196">
        <v>30</v>
      </c>
      <c r="F114" s="207">
        <v>0.02</v>
      </c>
      <c r="G114" s="230">
        <v>15</v>
      </c>
      <c r="H114" s="230" t="s">
        <v>820</v>
      </c>
      <c r="K114" s="7">
        <f aca="true" t="shared" si="0" ref="K114:K129">F114</f>
        <v>0.02</v>
      </c>
      <c r="L114" s="7"/>
      <c r="M114" s="7"/>
    </row>
    <row r="115" spans="1:13" ht="12.75">
      <c r="A115" s="188" t="str">
        <f>IF(Adatlap!$L$1=Fordítások!C3,Fordítások!C245,Fordítások!B245)</f>
        <v>Konyhai tisztítószer, használatra kész</v>
      </c>
      <c r="B115" s="195">
        <v>600000</v>
      </c>
      <c r="C115" s="196">
        <v>5</v>
      </c>
      <c r="D115" s="196">
        <v>35</v>
      </c>
      <c r="E115" s="196">
        <v>60</v>
      </c>
      <c r="F115" s="831">
        <v>1</v>
      </c>
      <c r="G115" s="229">
        <v>150</v>
      </c>
      <c r="H115" s="229" t="s">
        <v>820</v>
      </c>
      <c r="K115" s="832" t="s">
        <v>2087</v>
      </c>
      <c r="L115" s="7"/>
      <c r="M115" s="7"/>
    </row>
    <row r="116" spans="1:13" ht="12.75">
      <c r="A116" s="188" t="str">
        <f>IF(Adatlap!$L$1=Fordítások!C3,Fordítások!C246,Fordítások!B246)</f>
        <v xml:space="preserve">Konyhai tisztítószer, hígítatlan </v>
      </c>
      <c r="B116" s="195">
        <v>45000</v>
      </c>
      <c r="C116" s="196">
        <v>0.2</v>
      </c>
      <c r="D116" s="196">
        <v>0.5</v>
      </c>
      <c r="E116" s="196">
        <v>60</v>
      </c>
      <c r="F116" s="831">
        <v>1</v>
      </c>
      <c r="G116" s="230">
        <v>15</v>
      </c>
      <c r="H116" s="230" t="s">
        <v>820</v>
      </c>
      <c r="K116" s="832" t="s">
        <v>2087</v>
      </c>
      <c r="L116" s="7"/>
      <c r="M116" s="7"/>
    </row>
    <row r="117" spans="1:13" ht="12.75">
      <c r="A117" s="188" t="str">
        <f>IF(Adatlap!$L$1=Fordítások!C3,Fordítások!C247,Fordítások!B247)</f>
        <v>Ablaktisztítószer, használatra kész</v>
      </c>
      <c r="B117" s="195">
        <v>48000</v>
      </c>
      <c r="C117" s="196">
        <v>2</v>
      </c>
      <c r="D117" s="196">
        <v>20</v>
      </c>
      <c r="E117" s="196">
        <v>100</v>
      </c>
      <c r="F117" s="831">
        <v>0</v>
      </c>
      <c r="G117" s="229">
        <v>150</v>
      </c>
      <c r="H117" s="229" t="s">
        <v>820</v>
      </c>
      <c r="K117" s="832" t="s">
        <v>2088</v>
      </c>
      <c r="L117" s="7"/>
      <c r="M117" s="7"/>
    </row>
    <row r="118" spans="1:13" ht="12.75">
      <c r="A118" s="188" t="str">
        <f>IF(Adatlap!$L$1=Fordítások!C3,Fordítások!C248,Fordítások!B248)</f>
        <v>Ablaktisztítószer, hígítatlan</v>
      </c>
      <c r="B118" s="195">
        <v>18000</v>
      </c>
      <c r="C118" s="196">
        <v>0.2</v>
      </c>
      <c r="D118" s="196">
        <v>0.5</v>
      </c>
      <c r="E118" s="196">
        <v>100</v>
      </c>
      <c r="F118" s="831">
        <v>0</v>
      </c>
      <c r="G118" s="230">
        <v>15</v>
      </c>
      <c r="H118" s="230" t="s">
        <v>820</v>
      </c>
      <c r="K118" s="832" t="s">
        <v>2088</v>
      </c>
      <c r="L118" s="7"/>
      <c r="M118" s="7"/>
    </row>
    <row r="119" spans="1:13" ht="12.75">
      <c r="A119" s="188" t="str">
        <f>IF(Adatlap!$L$1=Fordítások!C3,Fordítások!C249,Fordítások!B249)</f>
        <v xml:space="preserve">Szanitertisztító, használatra kész </v>
      </c>
      <c r="B119" s="195">
        <v>600000</v>
      </c>
      <c r="C119" s="196">
        <v>5</v>
      </c>
      <c r="D119" s="196">
        <v>35</v>
      </c>
      <c r="E119" s="196">
        <v>60</v>
      </c>
      <c r="F119" s="831">
        <v>1</v>
      </c>
      <c r="G119" s="229">
        <v>150</v>
      </c>
      <c r="H119" s="229" t="s">
        <v>820</v>
      </c>
      <c r="K119" s="832" t="s">
        <v>2087</v>
      </c>
      <c r="L119" s="7"/>
      <c r="M119" s="7"/>
    </row>
    <row r="120" spans="1:13" ht="12.75">
      <c r="A120" s="188" t="str">
        <f>IF(Adatlap!$L$1=Fordítások!C3,Fordítások!C250,Fordítások!B250)</f>
        <v>Szanitertisztító, hígítatlan</v>
      </c>
      <c r="B120" s="195">
        <v>45000</v>
      </c>
      <c r="C120" s="196">
        <v>0.2</v>
      </c>
      <c r="D120" s="196">
        <v>0.5</v>
      </c>
      <c r="E120" s="196">
        <v>60</v>
      </c>
      <c r="F120" s="831">
        <v>1</v>
      </c>
      <c r="G120" s="230">
        <v>15</v>
      </c>
      <c r="H120" s="230" t="s">
        <v>820</v>
      </c>
      <c r="K120" s="832" t="s">
        <v>2087</v>
      </c>
      <c r="L120" s="7"/>
      <c r="M120" s="7"/>
    </row>
    <row r="121" spans="1:13" ht="12.75">
      <c r="A121" s="188" t="str">
        <f>IF(Adatlap!$L$1=Fordítások!C3,Fordítások!C251,Fordítások!B251)</f>
        <v>Kézi mosogatószer</v>
      </c>
      <c r="B121" s="197">
        <v>2500</v>
      </c>
      <c r="C121" s="198">
        <v>0.03</v>
      </c>
      <c r="D121" s="198">
        <v>0.08</v>
      </c>
      <c r="E121" s="199" t="s">
        <v>820</v>
      </c>
      <c r="F121" s="208">
        <v>0.08</v>
      </c>
      <c r="G121" s="230">
        <v>0.6</v>
      </c>
      <c r="H121" s="230" t="s">
        <v>820</v>
      </c>
      <c r="K121" s="7">
        <f t="shared" si="0"/>
        <v>0.08</v>
      </c>
      <c r="L121" s="7"/>
      <c r="M121" s="7" t="s">
        <v>992</v>
      </c>
    </row>
    <row r="122" spans="1:13" ht="12.75">
      <c r="A122" s="188" t="str">
        <f>IF(Adatlap!$L$1=Fordítások!C3,Fordítások!C252,Fordítások!B252)</f>
        <v>Egyfunkciós gépi mosogatószer</v>
      </c>
      <c r="B122" s="197">
        <v>22500</v>
      </c>
      <c r="C122" s="198">
        <v>1</v>
      </c>
      <c r="D122" s="198">
        <v>3</v>
      </c>
      <c r="E122" s="199" t="s">
        <v>820</v>
      </c>
      <c r="F122" s="208">
        <v>0.2</v>
      </c>
      <c r="G122" s="230">
        <v>2.4</v>
      </c>
      <c r="H122" s="230">
        <v>19</v>
      </c>
      <c r="K122" s="7">
        <f t="shared" si="0"/>
        <v>0.2</v>
      </c>
      <c r="L122" s="7"/>
      <c r="M122" s="7"/>
    </row>
    <row r="123" spans="1:13" ht="12.75">
      <c r="A123" s="188" t="str">
        <f>IF(Adatlap!$L$1=Fordítások!C3,Fordítások!C253,Fordítások!B253)</f>
        <v>Többfunkciós gépi mosogatószer</v>
      </c>
      <c r="B123" s="197">
        <v>27000</v>
      </c>
      <c r="C123" s="198">
        <v>1</v>
      </c>
      <c r="D123" s="198">
        <v>3</v>
      </c>
      <c r="E123" s="199" t="s">
        <v>820</v>
      </c>
      <c r="F123" s="208">
        <v>0.2</v>
      </c>
      <c r="G123" s="230">
        <v>2.4</v>
      </c>
      <c r="H123" s="230">
        <v>21</v>
      </c>
      <c r="K123" s="7">
        <f t="shared" si="0"/>
        <v>0.2</v>
      </c>
      <c r="L123" s="7"/>
      <c r="M123" s="7"/>
    </row>
    <row r="124" spans="1:13" ht="12.75">
      <c r="A124" s="188" t="str">
        <f>IF(Adatlap!$L$1=Fordítások!C3,Fordítások!C254,Fordítások!B254)</f>
        <v>Öblítő</v>
      </c>
      <c r="B124" s="197">
        <v>7500</v>
      </c>
      <c r="C124" s="198">
        <v>0.15</v>
      </c>
      <c r="D124" s="198">
        <v>0.5</v>
      </c>
      <c r="E124" s="199" t="s">
        <v>820</v>
      </c>
      <c r="F124" s="208">
        <v>0.03</v>
      </c>
      <c r="G124" s="230">
        <v>1.5</v>
      </c>
      <c r="H124" s="230" t="s">
        <v>820</v>
      </c>
      <c r="K124" s="7">
        <f t="shared" si="0"/>
        <v>0.03</v>
      </c>
      <c r="L124" s="7"/>
      <c r="M124" s="7"/>
    </row>
    <row r="125" spans="1:13" ht="12.75">
      <c r="A125" s="188" t="str">
        <f>IF(Adatlap!$L$1=Fordítások!C3,Fordítások!C255,Fordítások!B255)</f>
        <v>Intenzív tisztító hatású és színkímélő hatású mosószer (por/tabletta)</v>
      </c>
      <c r="B125" s="197">
        <v>31500</v>
      </c>
      <c r="C125" s="198">
        <v>1</v>
      </c>
      <c r="D125" s="198">
        <v>1.1</v>
      </c>
      <c r="E125" s="199" t="s">
        <v>820</v>
      </c>
      <c r="F125" s="208">
        <v>0.04</v>
      </c>
      <c r="G125" s="230">
        <v>1.2</v>
      </c>
      <c r="H125" s="230">
        <v>16</v>
      </c>
      <c r="K125" s="7">
        <f t="shared" si="0"/>
        <v>0.04</v>
      </c>
      <c r="L125" s="7"/>
      <c r="M125" s="7"/>
    </row>
    <row r="126" spans="1:13" ht="12.75">
      <c r="A126" s="188" t="str">
        <f>IF(Adatlap!$L$1=Fordítások!C3,Fordítások!C256,Fordítások!B256)</f>
        <v>Intenzív tisztító hatású és színkímélő hatású mosószer (folyékony, kapszulás, gél állagú)</v>
      </c>
      <c r="B126" s="197">
        <v>31500</v>
      </c>
      <c r="C126" s="198">
        <v>0.45</v>
      </c>
      <c r="D126" s="198">
        <v>0.55</v>
      </c>
      <c r="E126" s="199" t="s">
        <v>820</v>
      </c>
      <c r="F126" s="208">
        <v>0.04</v>
      </c>
      <c r="G126" s="230">
        <v>1.4</v>
      </c>
      <c r="H126" s="230">
        <v>16</v>
      </c>
      <c r="K126" s="7">
        <f t="shared" si="0"/>
        <v>0.04</v>
      </c>
      <c r="L126" s="7"/>
      <c r="M126" s="7"/>
    </row>
    <row r="127" spans="1:13" ht="12.75">
      <c r="A127" s="188" t="str">
        <f>IF(Adatlap!$L$1=Fordítások!C3,Fordítások!C257,Fordítások!B257)</f>
        <v>Kímélő mosószer (por/tabletta)</v>
      </c>
      <c r="B127" s="197">
        <v>20000</v>
      </c>
      <c r="C127" s="198">
        <v>0.55</v>
      </c>
      <c r="D127" s="198">
        <v>0.55</v>
      </c>
      <c r="E127" s="199" t="s">
        <v>820</v>
      </c>
      <c r="F127" s="208">
        <v>0.04</v>
      </c>
      <c r="G127" s="230">
        <v>1.2</v>
      </c>
      <c r="H127" s="230">
        <v>16</v>
      </c>
      <c r="K127" s="7">
        <f t="shared" si="0"/>
        <v>0.04</v>
      </c>
      <c r="L127" s="7"/>
      <c r="M127" s="7"/>
    </row>
    <row r="128" spans="1:13" ht="12.75">
      <c r="A128" s="188" t="str">
        <f>IF(Adatlap!$L$1=Fordítások!C3,Fordítások!C258,Fordítások!B258)</f>
        <v>Kímélő mosószer (folyékony, kapszulás, gél állagú)</v>
      </c>
      <c r="B128" s="197">
        <v>20000</v>
      </c>
      <c r="C128" s="198">
        <v>0.3</v>
      </c>
      <c r="D128" s="198">
        <v>0.3</v>
      </c>
      <c r="E128" s="199" t="s">
        <v>820</v>
      </c>
      <c r="F128" s="208">
        <v>0.04</v>
      </c>
      <c r="G128" s="230">
        <v>1.4</v>
      </c>
      <c r="H128" s="230">
        <v>16</v>
      </c>
      <c r="K128" s="7">
        <f t="shared" si="0"/>
        <v>0.04</v>
      </c>
      <c r="L128" s="7"/>
      <c r="M128" s="7"/>
    </row>
    <row r="129" spans="1:13" ht="12.75">
      <c r="A129" s="188" t="str">
        <f>IF(Adatlap!$L$1=Fordítások!C3,Fordítások!C259,Fordítások!B259)</f>
        <v>Folteltávolító (kizárólag előkezelésre)</v>
      </c>
      <c r="B129" s="197">
        <v>3500</v>
      </c>
      <c r="C129" s="198">
        <v>0.1</v>
      </c>
      <c r="D129" s="198">
        <v>0.1</v>
      </c>
      <c r="E129" s="199" t="s">
        <v>820</v>
      </c>
      <c r="F129" s="208">
        <v>0.005</v>
      </c>
      <c r="G129" s="230">
        <v>1.2</v>
      </c>
      <c r="H129" s="230">
        <v>2.7</v>
      </c>
      <c r="K129" s="7">
        <f t="shared" si="0"/>
        <v>0.005</v>
      </c>
      <c r="L129" s="7"/>
      <c r="M129" s="7"/>
    </row>
    <row r="130" spans="1:13" ht="12.75">
      <c r="A130" s="188" t="str">
        <f>IF(Adatlap!$L$1=Fordítások!C3,Fordítások!C260,Fordítások!B260)</f>
        <v>Többkomponensű rendszer 1. rész</v>
      </c>
      <c r="B130" s="199" t="s">
        <v>820</v>
      </c>
      <c r="C130" s="199" t="s">
        <v>820</v>
      </c>
      <c r="D130" s="199" t="s">
        <v>820</v>
      </c>
      <c r="E130" s="199" t="s">
        <v>820</v>
      </c>
      <c r="F130" s="208" t="s">
        <v>820</v>
      </c>
      <c r="G130" s="230"/>
      <c r="H130" s="230" t="s">
        <v>820</v>
      </c>
      <c r="L130" s="7"/>
      <c r="M130" s="7"/>
    </row>
    <row r="131" spans="1:13" ht="12.75">
      <c r="A131" s="188" t="str">
        <f>IF(Adatlap!$L$1=Fordítások!C3,Fordítások!C261,Fordítások!B261)</f>
        <v>Többkomponensű rendszer 2. rész</v>
      </c>
      <c r="B131" s="199" t="s">
        <v>820</v>
      </c>
      <c r="C131" s="199" t="s">
        <v>820</v>
      </c>
      <c r="D131" s="199" t="s">
        <v>820</v>
      </c>
      <c r="E131" s="199" t="s">
        <v>820</v>
      </c>
      <c r="F131" s="208" t="s">
        <v>820</v>
      </c>
      <c r="G131" s="230"/>
      <c r="H131" s="230" t="s">
        <v>820</v>
      </c>
      <c r="L131" s="7"/>
      <c r="M131" s="7"/>
    </row>
    <row r="132" spans="1:13" ht="12.75">
      <c r="A132" s="188" t="str">
        <f>IF(Adatlap!$L$1=Fordítások!C3,Fordítások!C262,Fordítások!B262)</f>
        <v>Többkomponensű rendszer 3. rész</v>
      </c>
      <c r="B132" s="199" t="s">
        <v>820</v>
      </c>
      <c r="C132" s="199" t="s">
        <v>820</v>
      </c>
      <c r="D132" s="199" t="s">
        <v>820</v>
      </c>
      <c r="E132" s="199" t="s">
        <v>820</v>
      </c>
      <c r="F132" s="208" t="s">
        <v>820</v>
      </c>
      <c r="G132" s="230"/>
      <c r="H132" s="230" t="s">
        <v>820</v>
      </c>
      <c r="L132" s="7"/>
      <c r="M132" s="7"/>
    </row>
    <row r="133" spans="1:13" ht="12.75">
      <c r="A133" s="188" t="str">
        <f>IF(Adatlap!$L$1=Fordítások!C3,Fordítások!C263,Fordítások!B263)</f>
        <v>Többkomponensű rendszer 4. rész</v>
      </c>
      <c r="B133" s="199" t="s">
        <v>820</v>
      </c>
      <c r="C133" s="199" t="s">
        <v>820</v>
      </c>
      <c r="D133" s="199" t="s">
        <v>820</v>
      </c>
      <c r="E133" s="199" t="s">
        <v>820</v>
      </c>
      <c r="F133" s="208" t="s">
        <v>820</v>
      </c>
      <c r="G133" s="230"/>
      <c r="H133" s="230" t="s">
        <v>820</v>
      </c>
      <c r="L133" s="7"/>
      <c r="M133" s="7"/>
    </row>
    <row r="134" spans="1:13" ht="12.75">
      <c r="A134" s="188" t="str">
        <f>IF(Adatlap!$L$1=Fordítások!C3,Fordítások!C264,Fordítások!B264)</f>
        <v>Többkomponensű rendszer 5. rész</v>
      </c>
      <c r="B134" s="199" t="s">
        <v>820</v>
      </c>
      <c r="C134" s="199" t="s">
        <v>820</v>
      </c>
      <c r="D134" s="199" t="s">
        <v>820</v>
      </c>
      <c r="E134" s="199" t="s">
        <v>820</v>
      </c>
      <c r="F134" s="208" t="s">
        <v>820</v>
      </c>
      <c r="G134" s="230"/>
      <c r="H134" s="230" t="s">
        <v>820</v>
      </c>
      <c r="L134" s="7"/>
      <c r="M134" s="7"/>
    </row>
    <row r="135" spans="1:13" ht="12.75">
      <c r="A135" s="188" t="str">
        <f>IF(Adatlap!$L$1=Fordítások!C3,Fordítások!C265,Fordítások!B265)</f>
        <v>Többkomponensű rendszer 6. rész</v>
      </c>
      <c r="B135" s="199" t="s">
        <v>820</v>
      </c>
      <c r="C135" s="199" t="s">
        <v>820</v>
      </c>
      <c r="D135" s="199" t="s">
        <v>820</v>
      </c>
      <c r="E135" s="199" t="s">
        <v>820</v>
      </c>
      <c r="F135" s="208" t="s">
        <v>820</v>
      </c>
      <c r="G135" s="230"/>
      <c r="H135" s="230" t="s">
        <v>820</v>
      </c>
      <c r="L135" s="7"/>
      <c r="M135" s="7"/>
    </row>
    <row r="136" spans="1:13" ht="12.75">
      <c r="A136" s="188" t="str">
        <f>IF(Adatlap!$L$1=Fordítások!C3,Fordítások!C266,Fordítások!B266)</f>
        <v>Többkomponensű rendszer 7. rész</v>
      </c>
      <c r="B136" s="199" t="s">
        <v>820</v>
      </c>
      <c r="C136" s="199" t="s">
        <v>820</v>
      </c>
      <c r="D136" s="199" t="s">
        <v>820</v>
      </c>
      <c r="E136" s="199" t="s">
        <v>820</v>
      </c>
      <c r="F136" s="208" t="s">
        <v>820</v>
      </c>
      <c r="G136" s="230"/>
      <c r="H136" s="230" t="s">
        <v>820</v>
      </c>
      <c r="L136" s="7"/>
      <c r="M136" s="7"/>
    </row>
    <row r="137" spans="1:13" ht="13" thickBot="1">
      <c r="A137" s="189" t="str">
        <f>IF(Adatlap!$L$1=Fordítások!C3,Fordítások!C267,Fordítások!B267)</f>
        <v>Többkomponensű rendszer 8. rész</v>
      </c>
      <c r="B137" s="199" t="s">
        <v>820</v>
      </c>
      <c r="C137" s="199" t="s">
        <v>820</v>
      </c>
      <c r="D137" s="199" t="s">
        <v>820</v>
      </c>
      <c r="E137" s="199" t="s">
        <v>820</v>
      </c>
      <c r="F137" s="208" t="s">
        <v>820</v>
      </c>
      <c r="G137" s="231"/>
      <c r="H137" s="231" t="s">
        <v>820</v>
      </c>
      <c r="L137" s="7"/>
      <c r="M137" s="7"/>
    </row>
    <row r="138" spans="12:13" ht="13" thickBot="1">
      <c r="L138" s="7"/>
      <c r="M138" s="7"/>
    </row>
    <row r="139" spans="1:13" ht="13">
      <c r="A139" s="8" t="s">
        <v>755</v>
      </c>
      <c r="L139" s="7"/>
      <c r="M139" s="7"/>
    </row>
    <row r="140" spans="1:13" ht="12.75">
      <c r="A140" s="188" t="str">
        <f>IF(Adatlap!$L$1=Fordítások!C3,Fordítások!C272,Fordítások!B272)</f>
        <v>háztartási felhasználásra</v>
      </c>
      <c r="L140" s="7"/>
      <c r="M140" s="7"/>
    </row>
    <row r="141" spans="1:13" ht="12.75">
      <c r="A141" s="188" t="str">
        <f>IF(Adatlap!$L$1=Fordítások!C3,Fordítások!C273,Fordítások!B273)</f>
        <v>üzleti célú (professzionális) felhasználásra</v>
      </c>
      <c r="L141" s="7"/>
      <c r="M141" s="7"/>
    </row>
    <row r="142" spans="1:13" ht="13" thickBot="1">
      <c r="A142" s="189" t="str">
        <f>IF(Adatlap!$L$1=Fordítások!C3,Fordítások!C274,Fordítások!B274)</f>
        <v>háztartási és üzleti célú (professzionális) felhasználásra</v>
      </c>
      <c r="L142" s="7"/>
      <c r="M142" s="7"/>
    </row>
    <row r="143" spans="12:13" ht="13" thickBot="1">
      <c r="L143" s="7"/>
      <c r="M143" s="7"/>
    </row>
    <row r="144" spans="1:13" ht="13">
      <c r="A144" s="8" t="s">
        <v>771</v>
      </c>
      <c r="L144" s="7"/>
      <c r="M144" s="7"/>
    </row>
    <row r="145" spans="1:13" ht="12.75">
      <c r="A145" s="188" t="str">
        <f>IF(Adatlap!$L$1=Fordítások!C3,Fordítások!C289,Fordítások!B289)</f>
        <v>Használatra kész kemény felületekre szánt tisztítószer</v>
      </c>
      <c r="C145" s="503"/>
      <c r="J145" s="503"/>
      <c r="L145" s="7"/>
      <c r="M145" s="7"/>
    </row>
    <row r="146" spans="1:13" ht="12.75">
      <c r="A146" s="188" t="str">
        <f>IF(Adatlap!$L$1=Fordítások!C3,Fordítások!C290,Fordítások!B290)</f>
        <v>g/1 liter tisztítószer oldat</v>
      </c>
      <c r="C146" s="503"/>
      <c r="L146" s="7"/>
      <c r="M146" s="7"/>
    </row>
    <row r="147" spans="1:13" ht="12.75">
      <c r="A147" s="188" t="str">
        <f>IF(Adatlap!$L$1=Fordítások!C3,Fordítások!C291,Fordítások!B291)</f>
        <v>ml/1 liter tisztítószeroldat</v>
      </c>
      <c r="L147" s="7"/>
      <c r="M147" s="7"/>
    </row>
    <row r="148" spans="1:13" ht="12.75">
      <c r="A148" s="188" t="str">
        <f>IF(Adatlap!$L$1=Fordítások!C3,Fordítások!C292,Fordítások!B292)</f>
        <v>g/1 liter mosogatóvíz</v>
      </c>
      <c r="C148" s="503"/>
      <c r="L148" s="7"/>
      <c r="M148" s="7"/>
    </row>
    <row r="149" spans="1:13" ht="12.75">
      <c r="A149" s="188" t="str">
        <f>IF(Adatlap!$L$1=Fordítások!C3,Fordítások!C293,Fordítások!B293)</f>
        <v>ml/1 liter mosogatóvíz</v>
      </c>
      <c r="L149" s="7"/>
      <c r="M149" s="7"/>
    </row>
    <row r="150" spans="1:13" ht="12.75">
      <c r="A150" s="188" t="str">
        <f>IF(Adatlap!$L$1=Fordítások!C3,Fordítások!C294,Fordítások!B294)</f>
        <v>g/1 kg szennyes ruha</v>
      </c>
      <c r="C150" s="503"/>
      <c r="L150" s="7"/>
      <c r="M150" s="7"/>
    </row>
    <row r="151" spans="1:13" ht="12.75">
      <c r="A151" s="188" t="str">
        <f>IF(Adatlap!$L$1=Fordítások!C3,Fordítások!C295,Fordítások!B295)</f>
        <v>ml/1 kg szennyes ruha</v>
      </c>
      <c r="J151" s="503"/>
      <c r="L151" s="7"/>
      <c r="M151" s="7"/>
    </row>
    <row r="152" spans="1:13" ht="12.75">
      <c r="A152" s="188" t="str">
        <f>IF(Adatlap!$L$1=Fordítások!C3,Fordítások!C296,Fordítások!B296)</f>
        <v>g/mosogatási ciklus</v>
      </c>
      <c r="C152" s="503"/>
      <c r="J152" s="503"/>
      <c r="L152" s="7"/>
      <c r="M152" s="7"/>
    </row>
    <row r="153" spans="1:13" ht="13" thickBot="1">
      <c r="A153" s="189" t="str">
        <f>IF(Adatlap!$L$1=Fordítások!C3,Fordítások!C297,Fordítások!B297)</f>
        <v>ml/mosogatási ciklus</v>
      </c>
      <c r="J153" s="503"/>
      <c r="L153" s="7"/>
      <c r="M153" s="7"/>
    </row>
    <row r="154" spans="12:13" ht="13" thickBot="1">
      <c r="L154" s="7"/>
      <c r="M154" s="7"/>
    </row>
    <row r="155" spans="1:13" ht="13">
      <c r="A155" s="187" t="s">
        <v>859</v>
      </c>
      <c r="L155" s="7"/>
      <c r="M155" s="7"/>
    </row>
    <row r="156" spans="1:13" ht="25">
      <c r="A156" s="670" t="str">
        <f>IF(Adatlap!$L$1=Fordítások!C3,Fordítások!C301,Fordítások!B301)</f>
        <v>Csak kemény felületekre szánt (használatra kész) tisztítószereknél: Szórófejes palack</v>
      </c>
      <c r="L156" s="7"/>
      <c r="M156" s="7"/>
    </row>
    <row r="157" spans="1:13" ht="25">
      <c r="A157" s="670" t="str">
        <f>IF(Adatlap!$L$1=Fordítások!C3,Fordítások!C302,Fordítások!B302)</f>
        <v>Csak kemény felületekre szánt tisztítószereknél: a szórófejes palackok újratöltésére szánt hígítatlan termék</v>
      </c>
      <c r="L157" s="7"/>
      <c r="M157" s="7"/>
    </row>
    <row r="158" spans="1:13" ht="25.5" thickBot="1">
      <c r="A158" s="671" t="str">
        <f>IF(Adatlap!$L$1=Fordítások!C3,Fordítások!C303,Fordítások!B303)</f>
        <v>Csak mosószereknél: Folyékony / gél állagú mosószerek (tablettában vagy kapszulában)</v>
      </c>
      <c r="L158" s="7"/>
      <c r="M158" s="7"/>
    </row>
    <row r="159" spans="12:13" ht="13" thickBot="1">
      <c r="L159" s="7"/>
      <c r="M159" s="7"/>
    </row>
    <row r="160" ht="13">
      <c r="A160" s="187" t="s">
        <v>1969</v>
      </c>
    </row>
    <row r="161" ht="12.75">
      <c r="A161" s="188" t="str">
        <f>IF(Adatlap!$L$1="Magyar",Fordítások!C341,Fordítások!B341)</f>
        <v>kemény felületekre szánt tisztítószerek</v>
      </c>
    </row>
    <row r="162" ht="12.75">
      <c r="A162" s="188" t="str">
        <f>IF(Adatlap!$L$1="Magyar",Fordítások!C342,Fordítások!B342)</f>
        <v>kézi mosogatószerek</v>
      </c>
    </row>
    <row r="163" ht="12.75">
      <c r="A163" s="188" t="str">
        <f>IF(Adatlap!$L$1="Magyar",Fordítások!C343,Fordítások!B343)</f>
        <v>gépi mosogatószerek</v>
      </c>
    </row>
    <row r="164" ht="12.75">
      <c r="A164" s="188" t="str">
        <f>IF(Adatlap!$L$1="Magyar",Fordítások!C344,Fordítások!B344)</f>
        <v>mosószerek</v>
      </c>
    </row>
    <row r="165" ht="12.75">
      <c r="A165" s="188" t="str">
        <f>IF(Adatlap!$L$1="Magyar",Fordítások!C345,Fordítások!B345)</f>
        <v>gépi mosogatószerek ipari és intézményi felhasználásra</v>
      </c>
    </row>
    <row r="166" ht="13" thickBot="1">
      <c r="A166" s="189" t="str">
        <f>IF(Adatlap!$L$1="Magyar",Fordítások!C346,Fordítások!B346)</f>
        <v>mosószerek ipari és intézményi felhasználásra</v>
      </c>
    </row>
  </sheetData>
  <sheetProtection algorithmName="SHA-512" hashValue="2WIDxYRB2EZFCuTa4shVbefjXYhu+szmo8BecEieVPIkIP3qOeORrvbKZrj0EjiL2RlNxunCpER0u/WPdH0yfg==" saltValue="iJjPT5HeT877M2rzH3+oNA==" spinCount="100000" sheet="1" objects="1" scenarios="1" selectLockedCells="1" selectUnlockedCells="1"/>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D19"/>
  <sheetViews>
    <sheetView workbookViewId="0" topLeftCell="B1">
      <selection activeCell="D20" sqref="D20"/>
    </sheetView>
  </sheetViews>
  <sheetFormatPr defaultColWidth="11.421875" defaultRowHeight="12.75"/>
  <cols>
    <col min="1" max="1" width="49.57421875" style="0" customWidth="1"/>
    <col min="2" max="2" width="19.7109375" style="0" bestFit="1" customWidth="1"/>
    <col min="3" max="3" width="12.421875" style="0" bestFit="1" customWidth="1"/>
    <col min="4" max="4" width="148.421875" style="0" customWidth="1"/>
    <col min="5" max="16384" width="11.421875" style="130" customWidth="1"/>
  </cols>
  <sheetData>
    <row r="1" spans="1:4" ht="13">
      <c r="A1" s="237" t="s">
        <v>500</v>
      </c>
      <c r="B1" s="237" t="s">
        <v>871</v>
      </c>
      <c r="C1" s="237" t="s">
        <v>501</v>
      </c>
      <c r="D1" s="237" t="s">
        <v>502</v>
      </c>
    </row>
    <row r="2" spans="1:4" ht="12.75">
      <c r="A2" s="93" t="s">
        <v>911</v>
      </c>
      <c r="B2" s="238" t="s">
        <v>872</v>
      </c>
      <c r="C2" s="239" t="s">
        <v>909</v>
      </c>
      <c r="D2" s="93"/>
    </row>
    <row r="3" spans="1:4" ht="12.75">
      <c r="A3" s="93" t="s">
        <v>912</v>
      </c>
      <c r="B3" s="238" t="s">
        <v>872</v>
      </c>
      <c r="C3" s="239" t="s">
        <v>909</v>
      </c>
      <c r="D3" s="93" t="s">
        <v>891</v>
      </c>
    </row>
    <row r="4" spans="1:4" ht="12.75">
      <c r="A4" s="93" t="s">
        <v>913</v>
      </c>
      <c r="B4" s="238" t="s">
        <v>872</v>
      </c>
      <c r="C4" s="239" t="s">
        <v>909</v>
      </c>
      <c r="D4" s="93" t="s">
        <v>892</v>
      </c>
    </row>
    <row r="5" spans="1:4" ht="12.75">
      <c r="A5" s="93" t="s">
        <v>914</v>
      </c>
      <c r="B5" s="238" t="s">
        <v>872</v>
      </c>
      <c r="C5" s="239" t="s">
        <v>909</v>
      </c>
      <c r="D5" s="93" t="s">
        <v>893</v>
      </c>
    </row>
    <row r="6" spans="1:4" ht="12.75">
      <c r="A6" s="93" t="s">
        <v>915</v>
      </c>
      <c r="B6" s="238" t="s">
        <v>894</v>
      </c>
      <c r="C6" s="239" t="s">
        <v>910</v>
      </c>
      <c r="D6" s="93" t="s">
        <v>897</v>
      </c>
    </row>
    <row r="7" spans="1:4" ht="12.75">
      <c r="A7" s="93" t="s">
        <v>916</v>
      </c>
      <c r="B7" s="238" t="s">
        <v>921</v>
      </c>
      <c r="C7" s="239" t="s">
        <v>917</v>
      </c>
      <c r="D7" s="93" t="s">
        <v>918</v>
      </c>
    </row>
    <row r="8" spans="1:4" ht="12.75">
      <c r="A8" s="93" t="s">
        <v>922</v>
      </c>
      <c r="B8" s="238" t="s">
        <v>923</v>
      </c>
      <c r="C8" s="239" t="s">
        <v>924</v>
      </c>
      <c r="D8" s="93" t="s">
        <v>925</v>
      </c>
    </row>
    <row r="9" spans="1:4" ht="12.75">
      <c r="A9" s="93" t="s">
        <v>926</v>
      </c>
      <c r="B9" s="238" t="s">
        <v>927</v>
      </c>
      <c r="C9" s="239">
        <v>43061</v>
      </c>
      <c r="D9" s="93" t="s">
        <v>928</v>
      </c>
    </row>
    <row r="10" spans="1:4" ht="12.75">
      <c r="A10" s="93"/>
      <c r="B10" s="519" t="s">
        <v>1206</v>
      </c>
      <c r="C10" s="520">
        <v>43745</v>
      </c>
      <c r="D10" s="93" t="s">
        <v>2165</v>
      </c>
    </row>
    <row r="11" spans="1:4" ht="12.75">
      <c r="A11" s="497"/>
      <c r="B11" s="497" t="s">
        <v>1972</v>
      </c>
      <c r="D11" s="497" t="s">
        <v>2017</v>
      </c>
    </row>
    <row r="12" spans="1:4" ht="13">
      <c r="A12" s="497" t="s">
        <v>2170</v>
      </c>
      <c r="B12" s="497" t="s">
        <v>2127</v>
      </c>
      <c r="C12" s="520">
        <v>43815</v>
      </c>
      <c r="D12" s="809" t="s">
        <v>2155</v>
      </c>
    </row>
    <row r="13" ht="12.75">
      <c r="D13" s="497" t="s">
        <v>2128</v>
      </c>
    </row>
    <row r="14" ht="12.75">
      <c r="D14" s="497" t="s">
        <v>2156</v>
      </c>
    </row>
    <row r="15" ht="12.75">
      <c r="D15" s="497" t="s">
        <v>2129</v>
      </c>
    </row>
    <row r="16" ht="12.75">
      <c r="D16" s="497" t="s">
        <v>2157</v>
      </c>
    </row>
    <row r="17" spans="1:4" ht="12.75">
      <c r="A17" s="497" t="s">
        <v>2171</v>
      </c>
      <c r="B17" s="497" t="s">
        <v>2166</v>
      </c>
      <c r="C17" s="520">
        <v>43832</v>
      </c>
      <c r="D17" s="497" t="s">
        <v>2167</v>
      </c>
    </row>
    <row r="18" spans="1:4" ht="12.75">
      <c r="A18" s="497" t="s">
        <v>2172</v>
      </c>
      <c r="B18" s="497" t="s">
        <v>2168</v>
      </c>
      <c r="D18" s="497" t="s">
        <v>2169</v>
      </c>
    </row>
    <row r="19" spans="1:4" ht="12.75">
      <c r="A19" s="497" t="s">
        <v>2172</v>
      </c>
      <c r="B19" s="497" t="s">
        <v>2168</v>
      </c>
      <c r="C19" s="520">
        <v>44042</v>
      </c>
      <c r="D19" s="497" t="s">
        <v>2240</v>
      </c>
    </row>
  </sheetData>
  <sheetProtection algorithmName="SHA-512" hashValue="SxkIhrErGhYd9l8xUlJoTyDqRrjmR1oDv3l5ycYuWAK7jKyn1XWU+q1O+TXoQ5OuBfmbRaYCgQcMftm4d7wmtA==" saltValue="c0dJj/hDljcaEc04wOiG2w==" spinCount="100000" sheet="1" selectLockedCells="1" selectUnlockedCells="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
    <tabColor rgb="FF92D050"/>
    <pageSetUpPr fitToPage="1"/>
  </sheetPr>
  <dimension ref="A1:U90"/>
  <sheetViews>
    <sheetView tabSelected="1" workbookViewId="0" topLeftCell="A1">
      <selection activeCell="D11" sqref="D11:F11"/>
    </sheetView>
  </sheetViews>
  <sheetFormatPr defaultColWidth="9.140625" defaultRowHeight="12.75"/>
  <cols>
    <col min="1" max="1" width="15.8515625" style="467" customWidth="1"/>
    <col min="2" max="2" width="4.421875" style="467" customWidth="1"/>
    <col min="3" max="3" width="29.00390625" style="467" customWidth="1"/>
    <col min="4" max="4" width="29.140625" style="467" customWidth="1"/>
    <col min="5" max="6" width="9.140625" style="467" customWidth="1"/>
    <col min="7" max="9" width="9.140625" style="481" customWidth="1"/>
    <col min="10" max="10" width="9.140625" style="494" customWidth="1"/>
    <col min="11" max="14" width="9.140625" style="494" hidden="1" customWidth="1"/>
    <col min="15" max="15" width="44.28125" style="494" hidden="1" customWidth="1"/>
    <col min="16" max="16" width="14.8515625" style="698" customWidth="1"/>
    <col min="17" max="17" width="15.8515625" style="489" customWidth="1"/>
    <col min="18" max="18" width="17.140625" style="489" customWidth="1"/>
    <col min="19" max="19" width="9.140625" style="489" customWidth="1"/>
    <col min="20" max="16384" width="9.140625" style="467" customWidth="1"/>
  </cols>
  <sheetData>
    <row r="1" spans="3:19" s="463" customFormat="1" ht="75" customHeight="1">
      <c r="C1" s="986" t="str">
        <f>IF(Adatlap!L1="Magyar",Fordítások!C310,Fordítások!B310)</f>
        <v>MOSÓ- ÉS TISZTÍTÓSZEREK</v>
      </c>
      <c r="D1" s="986"/>
      <c r="E1" s="986"/>
      <c r="F1" s="986"/>
      <c r="G1" s="478"/>
      <c r="H1" s="478"/>
      <c r="I1" s="478"/>
      <c r="J1" s="985"/>
      <c r="K1" s="985"/>
      <c r="L1" s="756" t="str">
        <f>IF(M1=1,"Magyar","English")</f>
        <v>Magyar</v>
      </c>
      <c r="M1" s="755">
        <v>1</v>
      </c>
      <c r="N1" s="492"/>
      <c r="O1" s="492"/>
      <c r="P1" s="701"/>
      <c r="Q1" s="478"/>
      <c r="R1" s="478"/>
      <c r="S1" s="478"/>
    </row>
    <row r="2" spans="3:13" ht="12.75">
      <c r="C2" s="522"/>
      <c r="L2" s="757"/>
      <c r="M2" s="757"/>
    </row>
    <row r="3" spans="1:19" s="465" customFormat="1" ht="20.25" customHeight="1">
      <c r="A3" s="464" t="str">
        <f>IF(L1="Magyar",Fordítások!C311,Fordítások!B311)</f>
        <v>1. Pályázati adatlap</v>
      </c>
      <c r="G3" s="479"/>
      <c r="H3" s="479"/>
      <c r="I3" s="479"/>
      <c r="J3" s="493"/>
      <c r="K3" s="493"/>
      <c r="L3" s="758" t="str">
        <f>IF(M3=0,"",CHOOSE(M3,H41,H42,H43,H44,H45,H46))</f>
        <v>kézi mosogatószerek</v>
      </c>
      <c r="M3" s="758">
        <v>2</v>
      </c>
      <c r="N3" s="493"/>
      <c r="O3" s="493"/>
      <c r="P3" s="697"/>
      <c r="Q3" s="488"/>
      <c r="R3" s="488"/>
      <c r="S3" s="488"/>
    </row>
    <row r="4" spans="1:19" s="465" customFormat="1" ht="20.25" customHeight="1">
      <c r="A4" s="464"/>
      <c r="G4" s="479"/>
      <c r="H4" s="479"/>
      <c r="I4" s="479"/>
      <c r="J4" s="493"/>
      <c r="K4" s="493"/>
      <c r="L4" s="493"/>
      <c r="M4" s="493"/>
      <c r="N4" s="493"/>
      <c r="O4" s="493"/>
      <c r="P4" s="697"/>
      <c r="Q4" s="488"/>
      <c r="R4" s="488"/>
      <c r="S4" s="488"/>
    </row>
    <row r="5" spans="1:19" s="465" customFormat="1" ht="20.25" customHeight="1">
      <c r="A5" s="969" t="str">
        <f>IF(L1="Magyar","Információk a pályázóról","Information about the applicant")</f>
        <v>Információk a pályázóról</v>
      </c>
      <c r="B5" s="969"/>
      <c r="C5" s="969"/>
      <c r="D5" s="969"/>
      <c r="E5" s="969"/>
      <c r="F5" s="969"/>
      <c r="G5" s="479"/>
      <c r="H5" s="479"/>
      <c r="I5" s="479"/>
      <c r="J5" s="479"/>
      <c r="K5" s="479"/>
      <c r="L5" s="479"/>
      <c r="M5" s="479"/>
      <c r="N5" s="479"/>
      <c r="O5" s="493"/>
      <c r="P5" s="697"/>
      <c r="Q5" s="479"/>
      <c r="R5" s="488"/>
      <c r="S5" s="488"/>
    </row>
    <row r="6" spans="10:17" ht="12.75">
      <c r="J6" s="481"/>
      <c r="K6" s="481"/>
      <c r="L6" s="481"/>
      <c r="M6" s="481"/>
      <c r="N6" s="481"/>
      <c r="Q6" s="481"/>
    </row>
    <row r="7" spans="1:18" ht="15.75" customHeight="1">
      <c r="A7" s="965" t="str">
        <f>IF($L$1="Magyar",O7,P7)</f>
        <v xml:space="preserve">A pályázó vállalat teljes neve: </v>
      </c>
      <c r="B7" s="965"/>
      <c r="C7" s="965"/>
      <c r="D7" s="987"/>
      <c r="E7" s="988"/>
      <c r="F7" s="989"/>
      <c r="G7" s="480"/>
      <c r="H7" s="480"/>
      <c r="I7" s="480"/>
      <c r="J7" s="696"/>
      <c r="K7" s="481"/>
      <c r="L7" s="481"/>
      <c r="M7" s="481"/>
      <c r="N7" s="481"/>
      <c r="O7" s="494" t="s">
        <v>943</v>
      </c>
      <c r="P7" s="698" t="s">
        <v>1917</v>
      </c>
      <c r="Q7" s="481"/>
      <c r="R7" s="481"/>
    </row>
    <row r="8" spans="1:18" ht="8.15" customHeight="1">
      <c r="A8" s="468"/>
      <c r="B8" s="469"/>
      <c r="C8" s="470"/>
      <c r="D8" s="958"/>
      <c r="E8" s="958"/>
      <c r="F8" s="958"/>
      <c r="G8" s="482"/>
      <c r="H8" s="482"/>
      <c r="I8" s="482"/>
      <c r="J8" s="696"/>
      <c r="K8" s="481"/>
      <c r="L8" s="481"/>
      <c r="M8" s="481"/>
      <c r="N8" s="481"/>
      <c r="Q8" s="481"/>
      <c r="R8" s="481"/>
    </row>
    <row r="9" spans="1:21" ht="27" customHeight="1">
      <c r="A9" s="965" t="str">
        <f>IF($L$1="Magyar",O9,P9)</f>
        <v>Székhelye (irányítószám, város, kerület, utca, házszám):</v>
      </c>
      <c r="B9" s="965"/>
      <c r="C9" s="965"/>
      <c r="D9" s="987"/>
      <c r="E9" s="988"/>
      <c r="F9" s="989"/>
      <c r="G9" s="480"/>
      <c r="H9" s="944"/>
      <c r="I9" s="944"/>
      <c r="J9" s="948"/>
      <c r="O9" s="494" t="s">
        <v>1940</v>
      </c>
      <c r="P9" s="698" t="s">
        <v>1919</v>
      </c>
      <c r="Q9" s="494"/>
      <c r="R9" s="494"/>
      <c r="S9" s="494"/>
      <c r="T9" s="494"/>
      <c r="U9" s="494"/>
    </row>
    <row r="10" spans="1:21" ht="8.15" customHeight="1">
      <c r="A10" s="471"/>
      <c r="B10" s="461"/>
      <c r="C10" s="470"/>
      <c r="D10" s="958"/>
      <c r="E10" s="958"/>
      <c r="F10" s="958"/>
      <c r="G10" s="482"/>
      <c r="H10" s="945"/>
      <c r="I10" s="945"/>
      <c r="J10" s="948"/>
      <c r="Q10" s="494"/>
      <c r="R10" s="494"/>
      <c r="S10" s="494"/>
      <c r="T10" s="494"/>
      <c r="U10" s="494"/>
    </row>
    <row r="11" spans="1:21" ht="15.75" customHeight="1">
      <c r="A11" s="965" t="str">
        <f>IF($L$1="Magyar",O11,P11)</f>
        <v>Postacíme:</v>
      </c>
      <c r="B11" s="965"/>
      <c r="C11" s="965"/>
      <c r="D11" s="987"/>
      <c r="E11" s="988"/>
      <c r="F11" s="989"/>
      <c r="G11" s="480"/>
      <c r="H11" s="944"/>
      <c r="I11" s="944"/>
      <c r="J11" s="948"/>
      <c r="O11" s="494" t="s">
        <v>944</v>
      </c>
      <c r="P11" s="698" t="s">
        <v>1918</v>
      </c>
      <c r="Q11" s="494"/>
      <c r="R11" s="494"/>
      <c r="S11" s="494"/>
      <c r="T11" s="494"/>
      <c r="U11" s="494"/>
    </row>
    <row r="12" spans="1:21" ht="8.15" customHeight="1">
      <c r="A12" s="471"/>
      <c r="B12" s="461"/>
      <c r="C12" s="470"/>
      <c r="D12" s="958"/>
      <c r="E12" s="958"/>
      <c r="F12" s="958"/>
      <c r="G12" s="482"/>
      <c r="H12" s="945"/>
      <c r="I12" s="945"/>
      <c r="J12" s="948"/>
      <c r="Q12" s="494"/>
      <c r="R12" s="494"/>
      <c r="S12" s="494"/>
      <c r="T12" s="494"/>
      <c r="U12" s="494"/>
    </row>
    <row r="13" spans="1:21" ht="15.75" customHeight="1">
      <c r="A13" s="965" t="str">
        <f>IF($L$1="Magyar",O13,P13)</f>
        <v>Adószáma:</v>
      </c>
      <c r="B13" s="965"/>
      <c r="C13" s="965"/>
      <c r="D13" s="987"/>
      <c r="E13" s="988"/>
      <c r="F13" s="989"/>
      <c r="G13" s="482"/>
      <c r="H13" s="945"/>
      <c r="I13" s="945"/>
      <c r="J13" s="948"/>
      <c r="O13" s="494" t="s">
        <v>945</v>
      </c>
      <c r="P13" s="698" t="s">
        <v>1920</v>
      </c>
      <c r="Q13" s="494"/>
      <c r="R13" s="494"/>
      <c r="S13" s="494"/>
      <c r="T13" s="494"/>
      <c r="U13" s="494"/>
    </row>
    <row r="14" spans="1:21" ht="8.15" customHeight="1">
      <c r="A14" s="471"/>
      <c r="B14" s="461"/>
      <c r="C14" s="470"/>
      <c r="D14" s="958"/>
      <c r="E14" s="958"/>
      <c r="F14" s="958"/>
      <c r="G14" s="482"/>
      <c r="H14" s="945"/>
      <c r="I14" s="945"/>
      <c r="J14" s="948"/>
      <c r="Q14" s="494"/>
      <c r="R14" s="494"/>
      <c r="S14" s="494"/>
      <c r="T14" s="494"/>
      <c r="U14" s="494"/>
    </row>
    <row r="15" spans="1:21" ht="15.75" customHeight="1">
      <c r="A15" s="965" t="str">
        <f>IF($L$1="Magyar",O15,P15)</f>
        <v>Bankszámlaszáma:</v>
      </c>
      <c r="B15" s="965"/>
      <c r="C15" s="965"/>
      <c r="D15" s="987"/>
      <c r="E15" s="988"/>
      <c r="F15" s="989"/>
      <c r="G15" s="490"/>
      <c r="H15" s="960"/>
      <c r="I15" s="961"/>
      <c r="J15" s="948"/>
      <c r="O15" s="494" t="s">
        <v>946</v>
      </c>
      <c r="P15" s="698" t="s">
        <v>1921</v>
      </c>
      <c r="Q15" s="494"/>
      <c r="R15" s="494"/>
      <c r="S15" s="494"/>
      <c r="T15" s="494"/>
      <c r="U15" s="494"/>
    </row>
    <row r="16" spans="1:21" ht="8.15" customHeight="1">
      <c r="A16" s="471"/>
      <c r="B16" s="461"/>
      <c r="C16" s="470"/>
      <c r="D16" s="958"/>
      <c r="E16" s="958"/>
      <c r="F16" s="958"/>
      <c r="G16" s="482"/>
      <c r="H16" s="945"/>
      <c r="I16" s="945"/>
      <c r="J16" s="948"/>
      <c r="Q16" s="494"/>
      <c r="R16" s="494"/>
      <c r="S16" s="494"/>
      <c r="T16" s="494"/>
      <c r="U16" s="494"/>
    </row>
    <row r="17" spans="1:21" ht="15.75" customHeight="1">
      <c r="A17" s="965" t="str">
        <f>IF($L$1="Magyar",O17,P17)</f>
        <v>Központi telefonszám(ok):</v>
      </c>
      <c r="B17" s="965"/>
      <c r="C17" s="965"/>
      <c r="D17" s="987" t="s">
        <v>954</v>
      </c>
      <c r="E17" s="988"/>
      <c r="F17" s="989"/>
      <c r="G17" s="480"/>
      <c r="H17" s="944"/>
      <c r="I17" s="944"/>
      <c r="J17" s="948"/>
      <c r="O17" s="494" t="s">
        <v>947</v>
      </c>
      <c r="P17" s="698" t="s">
        <v>1922</v>
      </c>
      <c r="Q17" s="494"/>
      <c r="R17" s="494"/>
      <c r="S17" s="494"/>
      <c r="T17" s="494"/>
      <c r="U17" s="494"/>
    </row>
    <row r="18" spans="1:21" ht="8.15" customHeight="1">
      <c r="A18" s="462"/>
      <c r="B18" s="461"/>
      <c r="C18" s="470"/>
      <c r="D18" s="958"/>
      <c r="E18" s="958"/>
      <c r="F18" s="958"/>
      <c r="G18" s="482"/>
      <c r="H18" s="945"/>
      <c r="I18" s="945"/>
      <c r="J18" s="948"/>
      <c r="Q18" s="494"/>
      <c r="R18" s="494"/>
      <c r="S18" s="494"/>
      <c r="T18" s="494"/>
      <c r="U18" s="494"/>
    </row>
    <row r="19" spans="1:21" ht="15.75" customHeight="1">
      <c r="A19" s="965" t="str">
        <f>IF($L$1="Magyar",O19,P19)</f>
        <v>Honlap címe:</v>
      </c>
      <c r="B19" s="965"/>
      <c r="C19" s="965"/>
      <c r="D19" s="987"/>
      <c r="E19" s="988"/>
      <c r="F19" s="989"/>
      <c r="G19" s="480"/>
      <c r="H19" s="944"/>
      <c r="I19" s="944"/>
      <c r="J19" s="948"/>
      <c r="O19" s="698" t="s">
        <v>948</v>
      </c>
      <c r="P19" s="698" t="s">
        <v>1923</v>
      </c>
      <c r="Q19" s="494"/>
      <c r="R19" s="494"/>
      <c r="S19" s="494"/>
      <c r="T19" s="494"/>
      <c r="U19" s="494"/>
    </row>
    <row r="20" spans="1:21" ht="8.15" customHeight="1">
      <c r="A20" s="462"/>
      <c r="B20" s="461"/>
      <c r="C20" s="470"/>
      <c r="D20" s="958"/>
      <c r="E20" s="958"/>
      <c r="F20" s="958"/>
      <c r="G20" s="482"/>
      <c r="H20" s="945"/>
      <c r="I20" s="945"/>
      <c r="J20" s="948"/>
      <c r="O20" s="698">
        <v>0</v>
      </c>
      <c r="Q20" s="494"/>
      <c r="R20" s="494"/>
      <c r="S20" s="494"/>
      <c r="T20" s="494"/>
      <c r="U20" s="494"/>
    </row>
    <row r="21" spans="1:21" ht="15.75" customHeight="1">
      <c r="A21" s="965" t="str">
        <f>IF($L$1="Magyar",O21,P21)</f>
        <v>Felelős vezető neve:</v>
      </c>
      <c r="B21" s="965"/>
      <c r="C21" s="965"/>
      <c r="D21" s="987"/>
      <c r="E21" s="988"/>
      <c r="F21" s="989"/>
      <c r="G21" s="480"/>
      <c r="H21" s="944"/>
      <c r="I21" s="944"/>
      <c r="J21" s="948"/>
      <c r="O21" s="698" t="s">
        <v>949</v>
      </c>
      <c r="P21" s="698" t="s">
        <v>1924</v>
      </c>
      <c r="Q21" s="494"/>
      <c r="R21" s="494"/>
      <c r="S21" s="494"/>
      <c r="T21" s="494"/>
      <c r="U21" s="494"/>
    </row>
    <row r="22" spans="1:21" ht="8.15" customHeight="1">
      <c r="A22" s="462"/>
      <c r="B22" s="461"/>
      <c r="C22" s="470"/>
      <c r="D22" s="958"/>
      <c r="E22" s="958"/>
      <c r="F22" s="958"/>
      <c r="G22" s="482"/>
      <c r="H22" s="945"/>
      <c r="I22" s="945"/>
      <c r="J22" s="948"/>
      <c r="O22" s="698">
        <v>0</v>
      </c>
      <c r="Q22" s="494"/>
      <c r="R22" s="494"/>
      <c r="S22" s="494"/>
      <c r="T22" s="494"/>
      <c r="U22" s="494"/>
    </row>
    <row r="23" spans="1:21" ht="15.75" customHeight="1">
      <c r="A23" s="965" t="str">
        <f>IF($L$1="Magyar",O23,P23)</f>
        <v>Beosztása:</v>
      </c>
      <c r="B23" s="965"/>
      <c r="C23" s="965"/>
      <c r="D23" s="987"/>
      <c r="E23" s="988"/>
      <c r="F23" s="989"/>
      <c r="G23" s="480"/>
      <c r="H23" s="944"/>
      <c r="I23" s="944"/>
      <c r="J23" s="948"/>
      <c r="O23" s="698" t="s">
        <v>950</v>
      </c>
      <c r="P23" s="698" t="s">
        <v>1925</v>
      </c>
      <c r="Q23" s="494"/>
      <c r="R23" s="494"/>
      <c r="S23" s="494"/>
      <c r="T23" s="494"/>
      <c r="U23" s="494"/>
    </row>
    <row r="24" spans="1:21" ht="8.15" customHeight="1">
      <c r="A24" s="462"/>
      <c r="B24" s="461"/>
      <c r="C24" s="470"/>
      <c r="D24" s="958"/>
      <c r="E24" s="958"/>
      <c r="F24" s="958"/>
      <c r="G24" s="482"/>
      <c r="H24" s="945"/>
      <c r="I24" s="945"/>
      <c r="J24" s="948"/>
      <c r="O24" s="698">
        <v>0</v>
      </c>
      <c r="Q24" s="494"/>
      <c r="R24" s="494"/>
      <c r="S24" s="494"/>
      <c r="T24" s="494"/>
      <c r="U24" s="494"/>
    </row>
    <row r="25" spans="1:21" ht="15.75" customHeight="1">
      <c r="A25" s="965" t="str">
        <f>IF($L$1="Magyar",O25,P25)</f>
        <v>Telefonszáma:</v>
      </c>
      <c r="B25" s="965"/>
      <c r="C25" s="965"/>
      <c r="D25" s="987" t="s">
        <v>954</v>
      </c>
      <c r="E25" s="988"/>
      <c r="F25" s="989"/>
      <c r="G25" s="483"/>
      <c r="H25" s="946"/>
      <c r="I25" s="946"/>
      <c r="J25" s="948"/>
      <c r="O25" s="698" t="s">
        <v>951</v>
      </c>
      <c r="P25" s="698" t="s">
        <v>1926</v>
      </c>
      <c r="Q25" s="494"/>
      <c r="R25" s="494"/>
      <c r="S25" s="494"/>
      <c r="T25" s="494"/>
      <c r="U25" s="494"/>
    </row>
    <row r="26" spans="1:21" ht="8.15" customHeight="1">
      <c r="A26" s="462"/>
      <c r="B26" s="461"/>
      <c r="C26" s="470"/>
      <c r="D26" s="958"/>
      <c r="E26" s="958"/>
      <c r="F26" s="958"/>
      <c r="G26" s="482"/>
      <c r="H26" s="945"/>
      <c r="I26" s="945"/>
      <c r="J26" s="948"/>
      <c r="O26" s="698">
        <v>0</v>
      </c>
      <c r="Q26" s="494"/>
      <c r="R26" s="494"/>
      <c r="S26" s="494"/>
      <c r="T26" s="494"/>
      <c r="U26" s="494"/>
    </row>
    <row r="27" spans="1:21" ht="15.75" customHeight="1">
      <c r="A27" s="965" t="str">
        <f>IF($L$1="Magyar",O27,P27)</f>
        <v>E-mail címe:</v>
      </c>
      <c r="B27" s="965"/>
      <c r="C27" s="965"/>
      <c r="D27" s="987"/>
      <c r="E27" s="988"/>
      <c r="F27" s="989"/>
      <c r="G27" s="480"/>
      <c r="H27" s="944" t="s">
        <v>979</v>
      </c>
      <c r="I27" s="944"/>
      <c r="J27" s="948"/>
      <c r="O27" s="698" t="s">
        <v>952</v>
      </c>
      <c r="P27" s="698" t="s">
        <v>1929</v>
      </c>
      <c r="Q27" s="494"/>
      <c r="R27" s="494"/>
      <c r="S27" s="494"/>
      <c r="T27" s="494"/>
      <c r="U27" s="494"/>
    </row>
    <row r="28" spans="1:21" ht="8.15" customHeight="1">
      <c r="A28" s="462"/>
      <c r="B28" s="461"/>
      <c r="C28" s="470"/>
      <c r="D28" s="958"/>
      <c r="E28" s="958"/>
      <c r="F28" s="958"/>
      <c r="G28" s="482"/>
      <c r="H28" s="945" t="s">
        <v>149</v>
      </c>
      <c r="I28" s="945"/>
      <c r="J28" s="948"/>
      <c r="O28" s="698">
        <v>0</v>
      </c>
      <c r="Q28" s="494"/>
      <c r="R28" s="494"/>
      <c r="S28" s="494"/>
      <c r="T28" s="494"/>
      <c r="U28" s="494"/>
    </row>
    <row r="29" spans="1:21" ht="15.75" customHeight="1">
      <c r="A29" s="965" t="str">
        <f>IF($L$1="Magyar",O29,P29)</f>
        <v>Kapcsolattartó személy neve:</v>
      </c>
      <c r="B29" s="965"/>
      <c r="C29" s="965"/>
      <c r="D29" s="987"/>
      <c r="E29" s="988"/>
      <c r="F29" s="989"/>
      <c r="G29" s="480"/>
      <c r="H29" s="944"/>
      <c r="I29" s="944"/>
      <c r="J29" s="948"/>
      <c r="O29" s="698" t="s">
        <v>953</v>
      </c>
      <c r="P29" s="698" t="s">
        <v>1927</v>
      </c>
      <c r="Q29" s="494"/>
      <c r="R29" s="494"/>
      <c r="S29" s="494"/>
      <c r="T29" s="494"/>
      <c r="U29" s="494"/>
    </row>
    <row r="30" spans="1:21" ht="8.15" customHeight="1">
      <c r="A30" s="462"/>
      <c r="B30" s="461"/>
      <c r="C30" s="470"/>
      <c r="D30" s="958"/>
      <c r="E30" s="958"/>
      <c r="F30" s="958"/>
      <c r="G30" s="482"/>
      <c r="H30" s="945"/>
      <c r="I30" s="945"/>
      <c r="J30" s="948"/>
      <c r="O30" s="698">
        <v>0</v>
      </c>
      <c r="Q30" s="494"/>
      <c r="R30" s="494"/>
      <c r="S30" s="494"/>
      <c r="T30" s="494"/>
      <c r="U30" s="494"/>
    </row>
    <row r="31" spans="1:21" ht="15.75" customHeight="1">
      <c r="A31" s="965" t="str">
        <f>IF($L$1="Magyar",O31,P31)</f>
        <v>Beosztása:</v>
      </c>
      <c r="B31" s="965"/>
      <c r="C31" s="965"/>
      <c r="D31" s="987"/>
      <c r="E31" s="988"/>
      <c r="F31" s="989"/>
      <c r="G31" s="480"/>
      <c r="H31" s="944" t="str">
        <f>IF($L$1="Magyar",Fordítások!C336,Fordítások!B336)</f>
        <v>Gyártóként</v>
      </c>
      <c r="I31" s="944"/>
      <c r="J31" s="948"/>
      <c r="M31" s="494" t="str">
        <f>IF(L1="Magyar","Igen","Yes")</f>
        <v>Igen</v>
      </c>
      <c r="O31" s="698" t="s">
        <v>950</v>
      </c>
      <c r="P31" s="698" t="s">
        <v>1925</v>
      </c>
      <c r="Q31" s="494"/>
      <c r="R31" s="494"/>
      <c r="S31" s="494"/>
      <c r="T31" s="494"/>
      <c r="U31" s="494"/>
    </row>
    <row r="32" spans="1:21" ht="8.15" customHeight="1">
      <c r="A32" s="462"/>
      <c r="B32" s="461"/>
      <c r="C32" s="470"/>
      <c r="D32" s="958"/>
      <c r="E32" s="958"/>
      <c r="F32" s="958"/>
      <c r="G32" s="482"/>
      <c r="H32" s="944" t="str">
        <f>IF($L$1="Magyar",Fordítások!C337,Fordítások!B337)</f>
        <v>Importőrként</v>
      </c>
      <c r="I32" s="945"/>
      <c r="J32" s="948"/>
      <c r="M32" s="494" t="str">
        <f>IF(L1="Magyar","Nem","No")</f>
        <v>Nem</v>
      </c>
      <c r="O32" s="698">
        <v>0</v>
      </c>
      <c r="Q32" s="494"/>
      <c r="R32" s="494"/>
      <c r="S32" s="494"/>
      <c r="T32" s="494"/>
      <c r="U32" s="494"/>
    </row>
    <row r="33" spans="1:21" ht="15.75" customHeight="1">
      <c r="A33" s="965" t="str">
        <f>IF($L$1="Magyar",O33,P33)</f>
        <v>Telefonszáma:</v>
      </c>
      <c r="B33" s="965"/>
      <c r="C33" s="965"/>
      <c r="D33" s="987" t="s">
        <v>954</v>
      </c>
      <c r="E33" s="988"/>
      <c r="F33" s="989"/>
      <c r="G33" s="483"/>
      <c r="H33" s="944" t="str">
        <f>IF($L$1="Magyar",Fordítások!C338,Fordítások!B338)</f>
        <v>Forgalmazóként (nagykereskedő)</v>
      </c>
      <c r="I33" s="946"/>
      <c r="J33" s="948"/>
      <c r="O33" s="698" t="s">
        <v>951</v>
      </c>
      <c r="P33" s="698" t="s">
        <v>1928</v>
      </c>
      <c r="Q33" s="494"/>
      <c r="R33" s="494"/>
      <c r="S33" s="494"/>
      <c r="T33" s="494"/>
      <c r="U33" s="494"/>
    </row>
    <row r="34" spans="1:21" ht="8.15" customHeight="1">
      <c r="A34" s="462"/>
      <c r="B34" s="461"/>
      <c r="C34" s="470"/>
      <c r="D34" s="958"/>
      <c r="E34" s="958"/>
      <c r="F34" s="958"/>
      <c r="G34" s="482"/>
      <c r="H34" s="944" t="str">
        <f>IF($L$1="Magyar",Fordítások!C339,Fordítások!B339)</f>
        <v>Forgalmazóként (kiskereskedő)</v>
      </c>
      <c r="I34" s="945"/>
      <c r="J34" s="948"/>
      <c r="O34" s="698">
        <v>0</v>
      </c>
      <c r="Q34" s="494"/>
      <c r="R34" s="494"/>
      <c r="S34" s="494"/>
      <c r="T34" s="494"/>
      <c r="U34" s="494"/>
    </row>
    <row r="35" spans="1:21" ht="15.75" customHeight="1">
      <c r="A35" s="965" t="str">
        <f>IF($L$1="Magyar",O35,P35)</f>
        <v>E-mail címe:</v>
      </c>
      <c r="B35" s="965"/>
      <c r="C35" s="965"/>
      <c r="D35" s="987"/>
      <c r="E35" s="988"/>
      <c r="F35" s="989"/>
      <c r="G35" s="480"/>
      <c r="H35" s="944" t="str">
        <f>IF($L$1="Magyar",Fordítások!C340,Fordítások!B340)</f>
        <v>Szolgáltatóként</v>
      </c>
      <c r="I35" s="944"/>
      <c r="J35" s="948"/>
      <c r="O35" s="698" t="s">
        <v>952</v>
      </c>
      <c r="P35" s="698" t="s">
        <v>1929</v>
      </c>
      <c r="Q35" s="494"/>
      <c r="R35" s="494"/>
      <c r="S35" s="494"/>
      <c r="T35" s="494"/>
      <c r="U35" s="494"/>
    </row>
    <row r="36" spans="7:21" ht="8.15" customHeight="1">
      <c r="G36" s="696"/>
      <c r="H36" s="947"/>
      <c r="I36" s="948"/>
      <c r="J36" s="948"/>
      <c r="O36" s="698">
        <v>0</v>
      </c>
      <c r="Q36" s="494"/>
      <c r="R36" s="494"/>
      <c r="S36" s="494"/>
      <c r="T36" s="494"/>
      <c r="U36" s="494"/>
    </row>
    <row r="37" spans="1:21" ht="38.5">
      <c r="A37" s="965" t="str">
        <f>IF($L$1="Magyar",O37,P37)</f>
        <v>Milyen minőségben pályázik az EU-ökocímkére?</v>
      </c>
      <c r="B37" s="965"/>
      <c r="C37" s="965"/>
      <c r="D37" s="475"/>
      <c r="G37" s="696"/>
      <c r="H37" s="949"/>
      <c r="I37" s="948"/>
      <c r="J37" s="948"/>
      <c r="O37" s="698" t="s">
        <v>955</v>
      </c>
      <c r="P37" s="698" t="s">
        <v>1930</v>
      </c>
      <c r="Q37" s="494"/>
      <c r="R37" s="494"/>
      <c r="S37" s="494"/>
      <c r="T37" s="494"/>
      <c r="U37" s="494"/>
    </row>
    <row r="38" spans="8:21" ht="15.75" customHeight="1">
      <c r="H38" s="950"/>
      <c r="I38" s="494"/>
      <c r="O38" s="698">
        <v>0</v>
      </c>
      <c r="Q38" s="494"/>
      <c r="R38" s="494"/>
      <c r="S38" s="494"/>
      <c r="T38" s="494"/>
      <c r="U38" s="494"/>
    </row>
    <row r="39" spans="1:21" ht="15.75" customHeight="1">
      <c r="A39" s="969" t="str">
        <f>IF($L$1="Magyar",O39,P39)</f>
        <v>Információk a termékről</v>
      </c>
      <c r="B39" s="969"/>
      <c r="C39" s="969"/>
      <c r="D39" s="969"/>
      <c r="E39" s="969"/>
      <c r="F39" s="969"/>
      <c r="H39" s="951"/>
      <c r="I39" s="494"/>
      <c r="O39" s="698" t="s">
        <v>1941</v>
      </c>
      <c r="P39" s="698" t="s">
        <v>1931</v>
      </c>
      <c r="Q39" s="494"/>
      <c r="R39" s="494"/>
      <c r="S39" s="494"/>
      <c r="T39" s="494"/>
      <c r="U39" s="494"/>
    </row>
    <row r="40" spans="1:21" s="474" customFormat="1" ht="15.75" customHeight="1">
      <c r="A40" s="473"/>
      <c r="B40" s="473"/>
      <c r="C40" s="473"/>
      <c r="D40" s="473"/>
      <c r="E40" s="473"/>
      <c r="F40" s="473"/>
      <c r="G40" s="484"/>
      <c r="H40" s="951"/>
      <c r="I40" s="952"/>
      <c r="J40" s="952"/>
      <c r="K40" s="952"/>
      <c r="L40" s="952"/>
      <c r="M40" s="952"/>
      <c r="N40" s="494"/>
      <c r="O40" s="699">
        <v>0</v>
      </c>
      <c r="P40" s="699"/>
      <c r="Q40" s="952"/>
      <c r="R40" s="952"/>
      <c r="S40" s="952"/>
      <c r="T40" s="952"/>
      <c r="U40" s="952"/>
    </row>
    <row r="41" spans="1:21" s="474" customFormat="1" ht="30" customHeight="1">
      <c r="A41" s="965" t="str">
        <f>IF($L$1="Magyar",O41,P41)</f>
        <v>A termék kereskedelmi neve:</v>
      </c>
      <c r="B41" s="965"/>
      <c r="C41" s="965"/>
      <c r="D41" s="979"/>
      <c r="E41" s="980"/>
      <c r="F41" s="981"/>
      <c r="G41" s="484"/>
      <c r="H41" s="494" t="str">
        <f>IF($L$1="Magyar",Fordítások!C341,Fordítások!B341)</f>
        <v>kemény felületekre szánt tisztítószerek</v>
      </c>
      <c r="I41" s="952"/>
      <c r="J41" s="952"/>
      <c r="K41" s="952"/>
      <c r="L41" s="952"/>
      <c r="M41" s="952"/>
      <c r="N41" s="952"/>
      <c r="O41" s="699" t="s">
        <v>963</v>
      </c>
      <c r="P41" s="699" t="s">
        <v>1932</v>
      </c>
      <c r="Q41" s="952"/>
      <c r="R41" s="952"/>
      <c r="S41" s="952"/>
      <c r="T41" s="952"/>
      <c r="U41" s="952"/>
    </row>
    <row r="42" spans="1:21" s="474" customFormat="1" ht="8.15" customHeight="1">
      <c r="A42" s="473"/>
      <c r="B42" s="473"/>
      <c r="C42" s="473"/>
      <c r="D42" s="882"/>
      <c r="E42" s="882"/>
      <c r="F42" s="882"/>
      <c r="G42" s="484"/>
      <c r="H42" s="494" t="str">
        <f>IF($L$1="Magyar",Fordítások!C342,Fordítások!B342)</f>
        <v>kézi mosogatószerek</v>
      </c>
      <c r="I42" s="952"/>
      <c r="J42" s="952"/>
      <c r="K42" s="952"/>
      <c r="L42" s="952"/>
      <c r="M42" s="952"/>
      <c r="N42" s="952"/>
      <c r="O42" s="699">
        <v>0</v>
      </c>
      <c r="P42" s="699"/>
      <c r="Q42" s="952"/>
      <c r="R42" s="952"/>
      <c r="S42" s="952"/>
      <c r="T42" s="952"/>
      <c r="U42" s="952"/>
    </row>
    <row r="43" spans="1:21" s="474" customFormat="1" ht="30" customHeight="1">
      <c r="A43" s="965" t="str">
        <f>IF($L$1="Magyar",O43,P43)</f>
        <v>A termék rendeltetése és specifikációja (kiszerelése)</v>
      </c>
      <c r="B43" s="965"/>
      <c r="C43" s="965"/>
      <c r="D43" s="979"/>
      <c r="E43" s="980"/>
      <c r="F43" s="981"/>
      <c r="G43" s="484"/>
      <c r="H43" s="494" t="str">
        <f>IF($L$1="Magyar",Fordítások!C344,Fordítások!B344)</f>
        <v>mosószerek</v>
      </c>
      <c r="I43" s="952"/>
      <c r="J43" s="952"/>
      <c r="K43" s="952"/>
      <c r="L43" s="952"/>
      <c r="M43" s="952"/>
      <c r="N43" s="952"/>
      <c r="O43" s="699" t="s">
        <v>964</v>
      </c>
      <c r="P43" s="699" t="s">
        <v>1934</v>
      </c>
      <c r="Q43" s="952"/>
      <c r="R43" s="952"/>
      <c r="S43" s="952"/>
      <c r="T43" s="952"/>
      <c r="U43" s="952"/>
    </row>
    <row r="44" spans="1:21" s="474" customFormat="1" ht="8.15" customHeight="1">
      <c r="A44" s="473"/>
      <c r="B44" s="473"/>
      <c r="C44" s="473"/>
      <c r="D44" s="882"/>
      <c r="E44" s="882"/>
      <c r="F44" s="882"/>
      <c r="G44" s="484"/>
      <c r="H44" s="494" t="str">
        <f>IF($L$1="Magyar",Fordítások!C343,Fordítások!B343)</f>
        <v>gépi mosogatószerek</v>
      </c>
      <c r="I44" s="952"/>
      <c r="J44" s="952"/>
      <c r="K44" s="952"/>
      <c r="L44" s="952"/>
      <c r="M44" s="952"/>
      <c r="N44" s="952"/>
      <c r="O44" s="699">
        <v>0</v>
      </c>
      <c r="P44" s="699"/>
      <c r="Q44" s="952"/>
      <c r="R44" s="952"/>
      <c r="S44" s="952"/>
      <c r="T44" s="952"/>
      <c r="U44" s="952"/>
    </row>
    <row r="45" spans="1:21" s="474" customFormat="1" ht="15.75" customHeight="1">
      <c r="A45" s="965" t="str">
        <f>IF($L$1="Magyar",O45,P45)</f>
        <v>Termékcsoport</v>
      </c>
      <c r="B45" s="965"/>
      <c r="C45" s="965"/>
      <c r="D45" s="982" t="str">
        <f>L3</f>
        <v>kézi mosogatószerek</v>
      </c>
      <c r="E45" s="983"/>
      <c r="F45" s="984"/>
      <c r="G45" s="484"/>
      <c r="H45" s="494" t="str">
        <f>IF($L$1="Magyar",Fordítások!C345,Fordítások!B345)</f>
        <v>gépi mosogatószerek ipari és intézményi felhasználásra</v>
      </c>
      <c r="I45" s="952"/>
      <c r="J45" s="952"/>
      <c r="K45" s="952"/>
      <c r="L45" s="952"/>
      <c r="M45" s="952"/>
      <c r="N45" s="952"/>
      <c r="O45" s="699" t="s">
        <v>965</v>
      </c>
      <c r="P45" s="699" t="s">
        <v>1933</v>
      </c>
      <c r="Q45" s="952"/>
      <c r="R45" s="952"/>
      <c r="S45" s="952"/>
      <c r="T45" s="952"/>
      <c r="U45" s="952"/>
    </row>
    <row r="46" spans="1:21" s="474" customFormat="1" ht="8.15" customHeight="1">
      <c r="A46" s="473"/>
      <c r="B46" s="473"/>
      <c r="C46" s="473"/>
      <c r="D46" s="882"/>
      <c r="E46" s="882"/>
      <c r="F46" s="882"/>
      <c r="G46" s="484"/>
      <c r="H46" s="494" t="str">
        <f>IF($L$1="Magyar",Fordítások!C346,Fordítások!B346)</f>
        <v>mosószerek ipari és intézményi felhasználásra</v>
      </c>
      <c r="I46" s="952"/>
      <c r="J46" s="952"/>
      <c r="K46" s="952"/>
      <c r="L46" s="952"/>
      <c r="M46" s="952"/>
      <c r="N46" s="952"/>
      <c r="O46" s="699">
        <v>0</v>
      </c>
      <c r="P46" s="699"/>
      <c r="Q46" s="952"/>
      <c r="R46" s="952"/>
      <c r="S46" s="952"/>
      <c r="T46" s="952"/>
      <c r="U46" s="952"/>
    </row>
    <row r="47" spans="1:21" s="474" customFormat="1" ht="15.75" customHeight="1">
      <c r="A47" s="966" t="str">
        <f aca="true" t="shared" si="0" ref="A47:A48">IF($L$1="Magyar",O47,P47)</f>
        <v>A gyártóhely megnevezése és címe (amennyiben eltér a vállalati székhely címétől):</v>
      </c>
      <c r="B47" s="966"/>
      <c r="C47" s="967"/>
      <c r="D47" s="990"/>
      <c r="E47" s="991"/>
      <c r="F47" s="992"/>
      <c r="G47" s="484"/>
      <c r="H47" s="951"/>
      <c r="I47" s="952"/>
      <c r="J47" s="952"/>
      <c r="K47" s="952"/>
      <c r="L47" s="952"/>
      <c r="M47" s="952"/>
      <c r="N47" s="952"/>
      <c r="O47" s="699" t="s">
        <v>1957</v>
      </c>
      <c r="P47" s="699" t="s">
        <v>1935</v>
      </c>
      <c r="Q47" s="952"/>
      <c r="R47" s="952"/>
      <c r="S47" s="952"/>
      <c r="T47" s="952"/>
      <c r="U47" s="952"/>
    </row>
    <row r="48" spans="1:21" s="474" customFormat="1" ht="24" customHeight="1">
      <c r="A48" s="966">
        <f t="shared" si="0"/>
        <v>0</v>
      </c>
      <c r="B48" s="966"/>
      <c r="C48" s="967"/>
      <c r="D48" s="993"/>
      <c r="E48" s="994"/>
      <c r="F48" s="995"/>
      <c r="G48" s="484"/>
      <c r="H48" s="951"/>
      <c r="I48" s="952"/>
      <c r="J48" s="952"/>
      <c r="K48" s="952"/>
      <c r="L48" s="952"/>
      <c r="M48" s="952"/>
      <c r="N48" s="952"/>
      <c r="O48" s="699"/>
      <c r="P48" s="699"/>
      <c r="Q48" s="952"/>
      <c r="R48" s="952"/>
      <c r="S48" s="952"/>
      <c r="T48" s="952"/>
      <c r="U48" s="952"/>
    </row>
    <row r="49" spans="1:21" s="474" customFormat="1" ht="8.15" customHeight="1">
      <c r="A49" s="473"/>
      <c r="B49" s="473"/>
      <c r="C49" s="473"/>
      <c r="D49" s="882"/>
      <c r="E49" s="882"/>
      <c r="F49" s="882"/>
      <c r="G49" s="484"/>
      <c r="H49" s="951"/>
      <c r="I49" s="952"/>
      <c r="J49" s="952"/>
      <c r="K49" s="952"/>
      <c r="L49" s="952"/>
      <c r="M49" s="952"/>
      <c r="N49" s="952"/>
      <c r="O49" s="699">
        <v>0</v>
      </c>
      <c r="P49" s="699"/>
      <c r="Q49" s="952"/>
      <c r="R49" s="952"/>
      <c r="S49" s="952"/>
      <c r="T49" s="952"/>
      <c r="U49" s="952"/>
    </row>
    <row r="50" spans="1:21" s="474" customFormat="1" ht="56.25" customHeight="1">
      <c r="A50" s="965" t="str">
        <f>IF($L$1="Magyar",O50,P50)</f>
        <v>Amennyiben a termék az Európai Gazdasági Térségen (EU + Izland +  Lichtenstein + Norvégia) kívülről származik, az EGT mely tagállamaiban forgalmazzák vagy fogják forgalmazni?</v>
      </c>
      <c r="B50" s="965"/>
      <c r="C50" s="965"/>
      <c r="D50" s="979"/>
      <c r="E50" s="980"/>
      <c r="F50" s="981"/>
      <c r="G50" s="484"/>
      <c r="H50" s="951"/>
      <c r="I50" s="952"/>
      <c r="J50" s="952"/>
      <c r="K50" s="952"/>
      <c r="L50" s="952"/>
      <c r="M50" s="952"/>
      <c r="N50" s="952"/>
      <c r="O50" s="699" t="s">
        <v>966</v>
      </c>
      <c r="P50" s="699" t="s">
        <v>1936</v>
      </c>
      <c r="Q50" s="952"/>
      <c r="R50" s="952"/>
      <c r="S50" s="952"/>
      <c r="T50" s="952"/>
      <c r="U50" s="952"/>
    </row>
    <row r="51" spans="1:21" s="474" customFormat="1" ht="8.15" customHeight="1">
      <c r="A51" s="473"/>
      <c r="B51" s="473"/>
      <c r="C51" s="473"/>
      <c r="D51" s="882"/>
      <c r="E51" s="882"/>
      <c r="F51" s="882"/>
      <c r="G51" s="484"/>
      <c r="H51" s="951"/>
      <c r="I51" s="952"/>
      <c r="J51" s="952"/>
      <c r="K51" s="952"/>
      <c r="L51" s="952"/>
      <c r="M51" s="952"/>
      <c r="N51" s="952"/>
      <c r="O51" s="699">
        <v>0</v>
      </c>
      <c r="P51" s="699"/>
      <c r="Q51" s="952"/>
      <c r="R51" s="952"/>
      <c r="S51" s="952"/>
      <c r="T51" s="952"/>
      <c r="U51" s="952"/>
    </row>
    <row r="52" spans="1:21" s="474" customFormat="1" ht="39" customHeight="1">
      <c r="A52" s="965" t="str">
        <f>IF($L$1="Magyar",O52,P52)</f>
        <v>Kérjük, adja meg, hogy a termék melyik országban milyen néven kerül forgalomba!</v>
      </c>
      <c r="B52" s="965"/>
      <c r="C52" s="965"/>
      <c r="D52" s="979"/>
      <c r="E52" s="980"/>
      <c r="F52" s="981"/>
      <c r="G52" s="484"/>
      <c r="H52" s="951"/>
      <c r="I52" s="952"/>
      <c r="J52" s="952"/>
      <c r="K52" s="952"/>
      <c r="L52" s="952"/>
      <c r="M52" s="952"/>
      <c r="N52" s="952"/>
      <c r="O52" s="699" t="s">
        <v>967</v>
      </c>
      <c r="P52" s="699" t="s">
        <v>1937</v>
      </c>
      <c r="Q52" s="952"/>
      <c r="R52" s="952"/>
      <c r="S52" s="952"/>
      <c r="T52" s="952"/>
      <c r="U52" s="952"/>
    </row>
    <row r="53" spans="1:21" s="474" customFormat="1" ht="8.15" customHeight="1">
      <c r="A53" s="473"/>
      <c r="B53" s="473"/>
      <c r="C53" s="473"/>
      <c r="D53" s="882"/>
      <c r="E53" s="882"/>
      <c r="F53" s="882"/>
      <c r="G53" s="484"/>
      <c r="H53" s="951"/>
      <c r="I53" s="952"/>
      <c r="J53" s="952"/>
      <c r="K53" s="952"/>
      <c r="L53" s="952"/>
      <c r="M53" s="952"/>
      <c r="N53" s="952"/>
      <c r="O53" s="699">
        <v>0</v>
      </c>
      <c r="P53" s="699"/>
      <c r="Q53" s="952"/>
      <c r="R53" s="952"/>
      <c r="S53" s="952"/>
      <c r="T53" s="952"/>
      <c r="U53" s="952"/>
    </row>
    <row r="54" spans="1:21" ht="33" customHeight="1">
      <c r="A54" s="965" t="str">
        <f>IF($L$1="Magyar",O54,P54)</f>
        <v>Először pályáznak ezzel a termékkel az EU-ökocímkére?</v>
      </c>
      <c r="B54" s="965"/>
      <c r="C54" s="965"/>
      <c r="D54" s="953"/>
      <c r="E54" s="884"/>
      <c r="F54" s="884"/>
      <c r="H54" s="951"/>
      <c r="I54" s="494"/>
      <c r="N54" s="952"/>
      <c r="O54" s="698" t="s">
        <v>1939</v>
      </c>
      <c r="P54" s="698" t="s">
        <v>1938</v>
      </c>
      <c r="Q54" s="494"/>
      <c r="R54" s="494"/>
      <c r="S54" s="494"/>
      <c r="T54" s="494"/>
      <c r="U54" s="494"/>
    </row>
    <row r="55" spans="4:21" ht="8.15" customHeight="1">
      <c r="D55" s="884"/>
      <c r="E55" s="884"/>
      <c r="F55" s="884"/>
      <c r="H55" s="950"/>
      <c r="I55" s="494"/>
      <c r="O55" s="698">
        <v>0</v>
      </c>
      <c r="Q55" s="494"/>
      <c r="R55" s="494"/>
      <c r="S55" s="494"/>
      <c r="T55" s="494"/>
      <c r="U55" s="494"/>
    </row>
    <row r="56" spans="1:21" ht="15.75" customHeight="1">
      <c r="A56" s="998" t="str">
        <f aca="true" t="shared" si="1" ref="A56:A57">IF($L$1="Magyar",O56,P56)</f>
        <v>Ha nem, hol és mikor pályáztak, és mi volt az eredmény?</v>
      </c>
      <c r="B56" s="998"/>
      <c r="C56" s="999"/>
      <c r="D56" s="970"/>
      <c r="E56" s="971"/>
      <c r="F56" s="972"/>
      <c r="H56" s="951"/>
      <c r="I56" s="494"/>
      <c r="O56" s="698" t="s">
        <v>1943</v>
      </c>
      <c r="P56" s="700" t="s">
        <v>1942</v>
      </c>
      <c r="Q56" s="494"/>
      <c r="R56" s="494"/>
      <c r="S56" s="494"/>
      <c r="T56" s="494"/>
      <c r="U56" s="494"/>
    </row>
    <row r="57" spans="1:21" ht="21" customHeight="1">
      <c r="A57" s="998">
        <f t="shared" si="1"/>
        <v>0</v>
      </c>
      <c r="B57" s="998"/>
      <c r="C57" s="999"/>
      <c r="D57" s="973"/>
      <c r="E57" s="974"/>
      <c r="F57" s="975"/>
      <c r="H57" s="950"/>
      <c r="I57" s="494"/>
      <c r="O57" s="698">
        <v>0</v>
      </c>
      <c r="Q57" s="494"/>
      <c r="R57" s="494"/>
      <c r="S57" s="494"/>
      <c r="T57" s="494"/>
      <c r="U57" s="494"/>
    </row>
    <row r="58" spans="4:21" ht="15.75" customHeight="1">
      <c r="D58" s="976"/>
      <c r="E58" s="977"/>
      <c r="F58" s="978"/>
      <c r="H58" s="959"/>
      <c r="I58" s="494"/>
      <c r="O58" s="698">
        <v>0</v>
      </c>
      <c r="Q58" s="494"/>
      <c r="R58" s="494"/>
      <c r="S58" s="494"/>
      <c r="T58" s="494"/>
      <c r="U58" s="494"/>
    </row>
    <row r="59" spans="4:21" ht="8.15" customHeight="1">
      <c r="D59" s="884"/>
      <c r="E59" s="884"/>
      <c r="F59" s="884"/>
      <c r="H59" s="494"/>
      <c r="I59" s="494"/>
      <c r="O59" s="698">
        <v>0</v>
      </c>
      <c r="Q59" s="494"/>
      <c r="R59" s="494"/>
      <c r="S59" s="494"/>
      <c r="T59" s="494"/>
      <c r="U59" s="494"/>
    </row>
    <row r="60" spans="1:21" ht="15" customHeight="1">
      <c r="A60" s="998" t="str">
        <f aca="true" t="shared" si="2" ref="A60:A62">IF($L$1="Magyar",O60,P60)</f>
        <v>Pályázott-e már korábban ezzel a termékkel valamelyik más ökocímkére (pl. a német vagy a skandináv ökocímkére)?</v>
      </c>
      <c r="B60" s="998"/>
      <c r="C60" s="998"/>
      <c r="D60" s="883"/>
      <c r="E60" s="884"/>
      <c r="F60" s="884"/>
      <c r="H60" s="494"/>
      <c r="I60" s="494"/>
      <c r="O60" s="698" t="s">
        <v>1958</v>
      </c>
      <c r="P60" s="698" t="s">
        <v>2202</v>
      </c>
      <c r="Q60" s="494"/>
      <c r="R60" s="494"/>
      <c r="S60" s="494"/>
      <c r="T60" s="494"/>
      <c r="U60" s="494"/>
    </row>
    <row r="61" spans="1:21" ht="12.75" customHeight="1">
      <c r="A61" s="998">
        <f t="shared" si="2"/>
        <v>0</v>
      </c>
      <c r="B61" s="998"/>
      <c r="C61" s="998"/>
      <c r="H61" s="494"/>
      <c r="I61" s="494"/>
      <c r="O61" s="698"/>
      <c r="P61" s="698" t="s">
        <v>1944</v>
      </c>
      <c r="Q61" s="494"/>
      <c r="R61" s="494"/>
      <c r="S61" s="494"/>
      <c r="T61" s="494"/>
      <c r="U61" s="494"/>
    </row>
    <row r="62" spans="1:21" ht="24" customHeight="1">
      <c r="A62" s="998">
        <f t="shared" si="2"/>
        <v>0</v>
      </c>
      <c r="B62" s="998"/>
      <c r="C62" s="998"/>
      <c r="H62" s="494"/>
      <c r="I62" s="494"/>
      <c r="O62" s="698">
        <v>0</v>
      </c>
      <c r="Q62" s="494"/>
      <c r="R62" s="494"/>
      <c r="S62" s="494"/>
      <c r="T62" s="494"/>
      <c r="U62" s="494"/>
    </row>
    <row r="63" spans="1:21" ht="15.75" customHeight="1">
      <c r="A63" s="477"/>
      <c r="B63" s="477"/>
      <c r="C63" s="477"/>
      <c r="D63" s="477"/>
      <c r="E63" s="477"/>
      <c r="F63" s="477"/>
      <c r="H63" s="951"/>
      <c r="I63" s="494"/>
      <c r="O63" s="698">
        <v>0</v>
      </c>
      <c r="Q63" s="494"/>
      <c r="R63" s="494"/>
      <c r="S63" s="494"/>
      <c r="T63" s="494"/>
      <c r="U63" s="494"/>
    </row>
    <row r="64" spans="1:21" ht="83.25" customHeight="1">
      <c r="A64" s="1000" t="str">
        <f>IF($L$1="Magyar",O64,P64)</f>
        <v xml:space="preserve">Az Európai Parlament és Tanács uniós ökocímkéről szóló  66/2010/EK rendelete értelmében a kérelmet fogadó illetékes testület a rendelet III. mellékletében foglaltak szerint díjat számít fel. A díj, illetve a különböző díjkedvezmények megállapításához  a pályázónak nyilatkoznia kell az alábbiakról. A pályázat feldolgozásának feltétele a pályázati díj befizetésének igazolása.
Kérjük, hogy minden alábbi kérdésre adjon választ.
</v>
      </c>
      <c r="B64" s="1001"/>
      <c r="C64" s="1001"/>
      <c r="D64" s="1001">
        <f aca="true" t="shared" si="3" ref="D64:D65">IF($L$1="Magyar",R64,S64)</f>
        <v>0</v>
      </c>
      <c r="E64" s="1001"/>
      <c r="F64" s="1001"/>
      <c r="H64" s="494"/>
      <c r="I64" s="494"/>
      <c r="O64" s="698" t="s">
        <v>1945</v>
      </c>
      <c r="P64" s="698" t="s">
        <v>1946</v>
      </c>
      <c r="Q64" s="494"/>
      <c r="R64" s="494"/>
      <c r="S64" s="494"/>
      <c r="T64" s="494"/>
      <c r="U64" s="494"/>
    </row>
    <row r="65" spans="1:21" ht="15.75" customHeight="1">
      <c r="A65" s="969" t="str">
        <f aca="true" t="shared" si="4" ref="A65">IF($L$1="Magyar",O65,P65)</f>
        <v>A pályázó vállalati besorolására vonatkozó nyilatkozat</v>
      </c>
      <c r="B65" s="969"/>
      <c r="C65" s="969"/>
      <c r="D65" s="969">
        <f t="shared" si="3"/>
        <v>0</v>
      </c>
      <c r="E65" s="969"/>
      <c r="F65" s="969"/>
      <c r="H65" s="951" t="s">
        <v>977</v>
      </c>
      <c r="I65" s="494"/>
      <c r="O65" s="698" t="s">
        <v>968</v>
      </c>
      <c r="P65" s="698" t="s">
        <v>1947</v>
      </c>
      <c r="Q65" s="494"/>
      <c r="R65" s="494"/>
      <c r="S65" s="494"/>
      <c r="T65" s="494"/>
      <c r="U65" s="494"/>
    </row>
    <row r="66" spans="1:21" ht="8.15" customHeight="1">
      <c r="A66" s="477"/>
      <c r="B66" s="477"/>
      <c r="C66" s="477"/>
      <c r="D66" s="477"/>
      <c r="E66" s="477"/>
      <c r="F66" s="477"/>
      <c r="H66" s="951"/>
      <c r="I66" s="494"/>
      <c r="O66" s="698">
        <v>0</v>
      </c>
      <c r="Q66" s="494"/>
      <c r="R66" s="494"/>
      <c r="S66" s="494"/>
      <c r="T66" s="494"/>
      <c r="U66" s="494"/>
    </row>
    <row r="67" spans="1:21" ht="30.75" customHeight="1">
      <c r="A67" s="968" t="str">
        <f>IF($L$1="Magyar",O67,P67)</f>
        <v>A pályázó vállalat a Bizottság 2003/361/EK  ajánlása értelmében mikrovállalkozásnak minősül (vagyis legfeljebb 10 alkalmazottja van, és az éves forgalma vagy a mérlegfőösszege 2 millió eurónál kisebb)?</v>
      </c>
      <c r="B67" s="968"/>
      <c r="C67" s="968"/>
      <c r="D67" s="968"/>
      <c r="H67" s="494"/>
      <c r="I67" s="494"/>
      <c r="O67" s="698" t="s">
        <v>1949</v>
      </c>
      <c r="P67" s="698" t="s">
        <v>1948</v>
      </c>
      <c r="Q67" s="494"/>
      <c r="R67" s="494"/>
      <c r="S67" s="494"/>
      <c r="T67" s="494"/>
      <c r="U67" s="494"/>
    </row>
    <row r="68" spans="1:21" ht="15" customHeight="1">
      <c r="A68" s="968"/>
      <c r="B68" s="968"/>
      <c r="C68" s="968"/>
      <c r="D68" s="968"/>
      <c r="F68" s="476"/>
      <c r="H68" s="494">
        <f>F68</f>
        <v>0</v>
      </c>
      <c r="I68" s="494"/>
      <c r="O68" s="698"/>
      <c r="Q68" s="494"/>
      <c r="R68" s="494"/>
      <c r="S68" s="494"/>
      <c r="T68" s="494"/>
      <c r="U68" s="494"/>
    </row>
    <row r="69" spans="8:21" ht="8.15" customHeight="1">
      <c r="H69" s="494"/>
      <c r="I69" s="494"/>
      <c r="O69" s="698">
        <v>0</v>
      </c>
      <c r="Q69" s="494"/>
      <c r="R69" s="494"/>
      <c r="S69" s="494"/>
      <c r="T69" s="494"/>
      <c r="U69" s="494"/>
    </row>
    <row r="70" spans="1:21" ht="29.25" customHeight="1">
      <c r="A70" s="968" t="str">
        <f>IF($L$1="Magyar",O70,P70)</f>
        <v>A pályázó vállalat a Bizottság 2003/361/EK  ajánlása értelmében KKV-nak minősül (legfeljebb 250 alkalmazottja van, az éves forgalma kisebb, mint 50 millió euró vagy a mérlegfőösszege kisebb mint 43 millió euró).</v>
      </c>
      <c r="B70" s="968"/>
      <c r="C70" s="968"/>
      <c r="D70" s="968"/>
      <c r="H70" s="494"/>
      <c r="I70" s="494"/>
      <c r="O70" s="698" t="s">
        <v>1950</v>
      </c>
      <c r="P70" s="698" t="s">
        <v>1951</v>
      </c>
      <c r="Q70" s="494"/>
      <c r="R70" s="494"/>
      <c r="S70" s="494"/>
      <c r="T70" s="494"/>
      <c r="U70" s="494"/>
    </row>
    <row r="71" spans="1:21" ht="15" customHeight="1">
      <c r="A71" s="968"/>
      <c r="B71" s="968"/>
      <c r="C71" s="968"/>
      <c r="D71" s="968"/>
      <c r="F71" s="476"/>
      <c r="H71" s="494">
        <f>F71</f>
        <v>0</v>
      </c>
      <c r="I71" s="494"/>
      <c r="O71" s="698"/>
      <c r="Q71" s="494"/>
      <c r="R71" s="494"/>
      <c r="S71" s="494"/>
      <c r="T71" s="494"/>
      <c r="U71" s="494"/>
    </row>
    <row r="72" spans="1:21" ht="8.15" customHeight="1">
      <c r="A72" s="485"/>
      <c r="H72" s="494"/>
      <c r="I72" s="494"/>
      <c r="O72" s="698">
        <v>0</v>
      </c>
      <c r="Q72" s="494"/>
      <c r="R72" s="494"/>
      <c r="S72" s="494"/>
      <c r="T72" s="494"/>
      <c r="U72" s="494"/>
    </row>
    <row r="73" spans="1:21" ht="15" customHeight="1">
      <c r="A73" s="968" t="str">
        <f>IF($L$1="Magyar",O73,P73)</f>
        <v>A vállalat fejlődő országban található (rajta van az OECD által a fejlesztési segélyben részülő országokról összeállított listán - DAC List of ODA Recipients)</v>
      </c>
      <c r="B73" s="968"/>
      <c r="C73" s="968"/>
      <c r="D73" s="968"/>
      <c r="H73" s="962"/>
      <c r="I73" s="494"/>
      <c r="O73" s="698" t="s">
        <v>1959</v>
      </c>
      <c r="P73" s="698" t="s">
        <v>1952</v>
      </c>
      <c r="Q73" s="494"/>
      <c r="R73" s="494"/>
      <c r="S73" s="494"/>
      <c r="T73" s="494"/>
      <c r="U73" s="494"/>
    </row>
    <row r="74" spans="1:21" ht="13.5" customHeight="1">
      <c r="A74" s="968"/>
      <c r="B74" s="968"/>
      <c r="C74" s="968"/>
      <c r="D74" s="968"/>
      <c r="F74" s="476"/>
      <c r="H74" s="494">
        <f>F74</f>
        <v>0</v>
      </c>
      <c r="I74" s="494"/>
      <c r="O74" s="698"/>
      <c r="Q74" s="494"/>
      <c r="R74" s="494"/>
      <c r="S74" s="494"/>
      <c r="T74" s="494"/>
      <c r="U74" s="494"/>
    </row>
    <row r="75" spans="8:21" ht="8.15" customHeight="1">
      <c r="H75" s="494"/>
      <c r="I75" s="494"/>
      <c r="O75" s="698">
        <v>0</v>
      </c>
      <c r="Q75" s="494"/>
      <c r="R75" s="494"/>
      <c r="S75" s="494"/>
      <c r="T75" s="494"/>
      <c r="U75" s="494"/>
    </row>
    <row r="76" spans="1:21" ht="56.25" customHeight="1">
      <c r="A76" s="968" t="str">
        <f>IF($L$1="Magyar",O76,P76)</f>
        <v>A pályázó vállalat EMAS regisztrációval és/vagy érvényes ISO 14001 tanúsítvánnyal rendelkezik, és elkötelezi magát, hogy környezeti politikájában biztosítja, hogy ökocímkével ellátott termékei a címkehasználati szerződés érvényességének időtartama alatt az uniós ökocímke-kritériumoknak teljes mértékben megfelelnek, és hogy ez a kötelezettségvállalás megfelelő módon beépül a részletes környezetvédelmi célkitűzésekbe."</v>
      </c>
      <c r="B76" s="968"/>
      <c r="C76" s="968"/>
      <c r="D76" s="968"/>
      <c r="H76" s="494"/>
      <c r="I76" s="494"/>
      <c r="O76" s="698" t="s">
        <v>1954</v>
      </c>
      <c r="P76" s="698" t="s">
        <v>1953</v>
      </c>
      <c r="Q76" s="494"/>
      <c r="R76" s="494"/>
      <c r="S76" s="494"/>
      <c r="T76" s="494"/>
      <c r="U76" s="494"/>
    </row>
    <row r="77" spans="1:21" ht="12.75">
      <c r="A77" s="968"/>
      <c r="B77" s="968"/>
      <c r="C77" s="968"/>
      <c r="D77" s="968"/>
      <c r="F77" s="476"/>
      <c r="H77" s="494">
        <f>F77</f>
        <v>0</v>
      </c>
      <c r="I77" s="494"/>
      <c r="O77" s="698">
        <v>0</v>
      </c>
      <c r="Q77" s="494"/>
      <c r="R77" s="494"/>
      <c r="S77" s="494"/>
      <c r="T77" s="494"/>
      <c r="U77" s="494"/>
    </row>
    <row r="78" spans="8:21" ht="12.75">
      <c r="H78" s="494"/>
      <c r="I78" s="494"/>
      <c r="O78" s="698">
        <v>0</v>
      </c>
      <c r="Q78" s="494"/>
      <c r="R78" s="494"/>
      <c r="S78" s="494"/>
      <c r="T78" s="494"/>
      <c r="U78" s="494"/>
    </row>
    <row r="79" spans="1:21" ht="15.75" customHeight="1">
      <c r="A79" s="472" t="str">
        <f>IF($L$1="Magyar",O79,P79)</f>
        <v>Keltezés:</v>
      </c>
      <c r="B79" s="1002"/>
      <c r="C79" s="1002"/>
      <c r="H79" s="494"/>
      <c r="I79" s="494"/>
      <c r="O79" s="698" t="s">
        <v>969</v>
      </c>
      <c r="P79" s="698" t="s">
        <v>1904</v>
      </c>
      <c r="Q79" s="494"/>
      <c r="R79" s="494"/>
      <c r="S79" s="494"/>
      <c r="T79" s="494"/>
      <c r="U79" s="494"/>
    </row>
    <row r="80" spans="8:21" ht="12.75">
      <c r="H80" s="494">
        <f>B79</f>
        <v>0</v>
      </c>
      <c r="I80" s="494">
        <f>SUM(H68:H77)</f>
        <v>0</v>
      </c>
      <c r="O80" s="698">
        <v>0</v>
      </c>
      <c r="Q80" s="494"/>
      <c r="R80" s="494"/>
      <c r="S80" s="494"/>
      <c r="T80" s="494"/>
      <c r="U80" s="494"/>
    </row>
    <row r="81" spans="8:21" ht="12.75">
      <c r="H81" s="494"/>
      <c r="I81" s="494"/>
      <c r="O81" s="698">
        <v>0</v>
      </c>
      <c r="Q81" s="494"/>
      <c r="R81" s="494"/>
      <c r="S81" s="494"/>
      <c r="T81" s="494"/>
      <c r="U81" s="494"/>
    </row>
    <row r="82" spans="2:21" ht="27" customHeight="1">
      <c r="B82" s="1009" t="str">
        <f>IF(C7="","",C7)</f>
        <v/>
      </c>
      <c r="C82" s="1009"/>
      <c r="D82" s="466"/>
      <c r="H82" s="494"/>
      <c r="I82" s="494"/>
      <c r="O82" s="698">
        <v>0</v>
      </c>
      <c r="Q82" s="494"/>
      <c r="R82" s="494"/>
      <c r="S82" s="494"/>
      <c r="T82" s="494"/>
      <c r="U82" s="494"/>
    </row>
    <row r="83" spans="2:21" ht="12.75">
      <c r="B83" s="997" t="str">
        <f>IF($L$1="Magyar",O83,P83)</f>
        <v>Aláírás</v>
      </c>
      <c r="C83" s="997"/>
      <c r="D83" s="1006" t="str">
        <f>IF($L$1="Magyar",O84,P84)</f>
        <v>Pecsét</v>
      </c>
      <c r="E83" s="1006"/>
      <c r="F83" s="1006"/>
      <c r="H83" s="494"/>
      <c r="I83" s="494"/>
      <c r="O83" s="698" t="s">
        <v>970</v>
      </c>
      <c r="P83" s="698" t="s">
        <v>1955</v>
      </c>
      <c r="Q83" s="494"/>
      <c r="R83" s="494"/>
      <c r="S83" s="494"/>
      <c r="T83" s="494"/>
      <c r="U83" s="494"/>
    </row>
    <row r="84" spans="2:21" ht="21" customHeight="1">
      <c r="B84" s="996" t="str">
        <f>IF(D21="","",D21)</f>
        <v/>
      </c>
      <c r="C84" s="996"/>
      <c r="D84" s="1003"/>
      <c r="E84" s="1003"/>
      <c r="H84" s="494"/>
      <c r="I84" s="494"/>
      <c r="O84" s="698" t="s">
        <v>971</v>
      </c>
      <c r="P84" s="698" t="s">
        <v>1956</v>
      </c>
      <c r="Q84" s="494"/>
      <c r="R84" s="494"/>
      <c r="S84" s="494"/>
      <c r="T84" s="494"/>
      <c r="U84" s="494"/>
    </row>
    <row r="85" spans="2:21" ht="15.75" customHeight="1">
      <c r="B85" s="1007" t="str">
        <f>IF(D23="","",D23)</f>
        <v/>
      </c>
      <c r="C85" s="1007"/>
      <c r="D85" s="487"/>
      <c r="E85" s="487"/>
      <c r="H85" s="494"/>
      <c r="I85" s="494"/>
      <c r="Q85" s="494"/>
      <c r="R85" s="494"/>
      <c r="S85" s="494"/>
      <c r="T85" s="494"/>
      <c r="U85" s="494"/>
    </row>
    <row r="86" spans="2:21" ht="15.75" customHeight="1">
      <c r="B86" s="1008" t="str">
        <f>IF(D7="","",D7)</f>
        <v/>
      </c>
      <c r="C86" s="1008"/>
      <c r="D86" s="487"/>
      <c r="E86" s="487"/>
      <c r="H86" s="494"/>
      <c r="I86" s="494"/>
      <c r="Q86" s="494"/>
      <c r="R86" s="494"/>
      <c r="S86" s="494"/>
      <c r="T86" s="494"/>
      <c r="U86" s="494"/>
    </row>
    <row r="87" spans="4:21" ht="12.75">
      <c r="D87" s="487"/>
      <c r="E87" s="487"/>
      <c r="H87" s="494"/>
      <c r="I87" s="494"/>
      <c r="Q87" s="494"/>
      <c r="R87" s="494"/>
      <c r="S87" s="494"/>
      <c r="T87" s="494"/>
      <c r="U87" s="494"/>
    </row>
    <row r="88" spans="1:21" ht="13">
      <c r="A88" s="491" t="s">
        <v>978</v>
      </c>
      <c r="C88" s="486"/>
      <c r="H88" s="494"/>
      <c r="I88" s="494"/>
      <c r="Q88" s="494"/>
      <c r="R88" s="494"/>
      <c r="S88" s="494"/>
      <c r="T88" s="494"/>
      <c r="U88" s="494"/>
    </row>
    <row r="89" spans="1:21" ht="25.5" customHeight="1">
      <c r="A89" s="1004" t="s">
        <v>976</v>
      </c>
      <c r="B89" s="1005"/>
      <c r="C89" s="1005"/>
      <c r="D89" s="1005"/>
      <c r="E89" s="1005"/>
      <c r="F89" s="1005"/>
      <c r="H89" s="494"/>
      <c r="I89" s="494"/>
      <c r="Q89" s="494"/>
      <c r="R89" s="494"/>
      <c r="S89" s="494"/>
      <c r="T89" s="494"/>
      <c r="U89" s="494"/>
    </row>
    <row r="90" ht="12.75">
      <c r="C90" s="486" t="str">
        <f>IF(D7="","",D7)</f>
        <v/>
      </c>
    </row>
  </sheetData>
  <sheetProtection algorithmName="SHA-512" hashValue="IOJmlwBLNIa3W512H97amGbJSDJa4OJGx7z+WZ4aPmWrVedO2hrPDdSEu3Nbo9rPWle1RI/7nCTTIKUEWHALKA==" saltValue="mNiAk6Mmp2kYRgH5JBar8g==" spinCount="100000" sheet="1" objects="1" scenarios="1" selectLockedCells="1"/>
  <mergeCells count="66">
    <mergeCell ref="A70:D71"/>
    <mergeCell ref="B79:C79"/>
    <mergeCell ref="D84:E84"/>
    <mergeCell ref="A89:F89"/>
    <mergeCell ref="D83:F83"/>
    <mergeCell ref="B85:C85"/>
    <mergeCell ref="B86:C86"/>
    <mergeCell ref="A76:D77"/>
    <mergeCell ref="B82:C82"/>
    <mergeCell ref="A56:C57"/>
    <mergeCell ref="A60:C62"/>
    <mergeCell ref="A64:F64"/>
    <mergeCell ref="A65:F65"/>
    <mergeCell ref="A67:D68"/>
    <mergeCell ref="A29:C29"/>
    <mergeCell ref="A31:C31"/>
    <mergeCell ref="A17:C17"/>
    <mergeCell ref="A21:C21"/>
    <mergeCell ref="A23:C23"/>
    <mergeCell ref="A33:C33"/>
    <mergeCell ref="A9:C9"/>
    <mergeCell ref="D47:F48"/>
    <mergeCell ref="B84:C84"/>
    <mergeCell ref="B83:C83"/>
    <mergeCell ref="A35:C35"/>
    <mergeCell ref="D13:F13"/>
    <mergeCell ref="D19:F19"/>
    <mergeCell ref="D27:F27"/>
    <mergeCell ref="D29:F29"/>
    <mergeCell ref="D31:F31"/>
    <mergeCell ref="D33:F33"/>
    <mergeCell ref="D35:F35"/>
    <mergeCell ref="A13:C13"/>
    <mergeCell ref="A19:C19"/>
    <mergeCell ref="A27:C27"/>
    <mergeCell ref="J1:K1"/>
    <mergeCell ref="C1:F1"/>
    <mergeCell ref="A5:F5"/>
    <mergeCell ref="A25:C25"/>
    <mergeCell ref="D25:F25"/>
    <mergeCell ref="D11:F11"/>
    <mergeCell ref="D15:F15"/>
    <mergeCell ref="D17:F17"/>
    <mergeCell ref="A11:C11"/>
    <mergeCell ref="A15:C15"/>
    <mergeCell ref="D21:F21"/>
    <mergeCell ref="D23:F23"/>
    <mergeCell ref="D7:F7"/>
    <mergeCell ref="D9:F9"/>
    <mergeCell ref="A7:C7"/>
    <mergeCell ref="A37:C37"/>
    <mergeCell ref="A45:C45"/>
    <mergeCell ref="A47:C48"/>
    <mergeCell ref="A54:C54"/>
    <mergeCell ref="A73:D74"/>
    <mergeCell ref="A39:F39"/>
    <mergeCell ref="D56:F58"/>
    <mergeCell ref="A41:C41"/>
    <mergeCell ref="D41:F41"/>
    <mergeCell ref="A43:C43"/>
    <mergeCell ref="D43:F43"/>
    <mergeCell ref="A50:C50"/>
    <mergeCell ref="D50:F50"/>
    <mergeCell ref="A52:C52"/>
    <mergeCell ref="D52:F52"/>
    <mergeCell ref="D45:F45"/>
  </mergeCells>
  <conditionalFormatting sqref="A88">
    <cfRule type="expression" priority="1" dxfId="619">
      <formula>AND($H$80&gt;0,$I$80&lt;4)</formula>
    </cfRule>
  </conditionalFormatting>
  <dataValidations count="5" xWindow="395" yWindow="501">
    <dataValidation type="list" allowBlank="1" showInputMessage="1" showErrorMessage="1" sqref="D37">
      <formula1>$H$31:$H$36</formula1>
    </dataValidation>
    <dataValidation type="list" allowBlank="1" showInputMessage="1" showErrorMessage="1" sqref="D54 D60">
      <formula1>$M$31:$M$33</formula1>
    </dataValidation>
    <dataValidation allowBlank="1" showInputMessage="1" showErrorMessage="1" prompt="Pl. általános tisztítószer, 500 ml-es, 1 literes és 5 literes kiszerelésben" sqref="D43:F43"/>
    <dataValidation type="list" allowBlank="1" showInputMessage="1" showErrorMessage="1" sqref="F68 F71 F77 F74">
      <formula1>$M$31:$M$32</formula1>
    </dataValidation>
    <dataValidation allowBlank="1" showInputMessage="1" showErrorMessage="1" prompt="Ne felejtse el a település nevét is beírni!/Don't forget to add place!_x000a_" sqref="B79:C79"/>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92" r:id="rId3"/>
  <headerFooter>
    <oddFooter>&amp;C&amp;"Calibri,Normál"&amp;P</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1030" r:id="rId4" name="Drop Down 6">
              <controlPr defaultSize="0" autoLine="0" autoPict="0" macro="[0]!Termékcsoport">
                <anchor moveWithCells="1">
                  <from>
                    <xdr:col>7</xdr:col>
                    <xdr:colOff>0</xdr:colOff>
                    <xdr:row>5</xdr:row>
                    <xdr:rowOff>127000</xdr:rowOff>
                  </from>
                  <to>
                    <xdr:col>9</xdr:col>
                    <xdr:colOff>584200</xdr:colOff>
                    <xdr:row>6</xdr:row>
                    <xdr:rowOff>184150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pageSetUpPr fitToPage="1"/>
  </sheetPr>
  <dimension ref="A1:Q23"/>
  <sheetViews>
    <sheetView workbookViewId="0" topLeftCell="A1">
      <selection activeCell="A1" sqref="A1:XFD1048576"/>
    </sheetView>
  </sheetViews>
  <sheetFormatPr defaultColWidth="11.421875" defaultRowHeight="12.75"/>
  <cols>
    <col min="1" max="1" width="27.8515625" style="0" bestFit="1" customWidth="1"/>
    <col min="2" max="2" width="16.8515625" style="0" customWidth="1"/>
    <col min="3" max="3" width="18.8515625" style="0" customWidth="1"/>
    <col min="10" max="10" width="19.00390625" style="0" customWidth="1"/>
    <col min="12" max="12" width="41.28125" style="0" customWidth="1"/>
  </cols>
  <sheetData>
    <row r="1" spans="1:17" ht="15.5">
      <c r="A1" s="95"/>
      <c r="B1" s="95"/>
      <c r="C1" s="95"/>
      <c r="D1" s="95"/>
      <c r="E1" s="95"/>
      <c r="F1" s="95"/>
      <c r="G1" s="95"/>
      <c r="H1" s="16"/>
      <c r="I1" s="1036" t="e">
        <f>Termék!#REF!</f>
        <v>#REF!</v>
      </c>
      <c r="J1" s="1037"/>
      <c r="K1" s="1405" t="e">
        <f>Termék!#REF!</f>
        <v>#REF!</v>
      </c>
      <c r="L1" s="1406"/>
      <c r="M1" s="16"/>
      <c r="N1" s="16"/>
      <c r="O1" s="16"/>
      <c r="P1" s="16"/>
      <c r="Q1" s="16"/>
    </row>
    <row r="2" spans="1:17" ht="15.5">
      <c r="A2" s="95"/>
      <c r="B2" s="124"/>
      <c r="C2" s="125"/>
      <c r="D2" s="125"/>
      <c r="E2" s="125"/>
      <c r="F2" s="125"/>
      <c r="G2" s="126"/>
      <c r="H2" s="16"/>
      <c r="I2" s="88"/>
      <c r="J2" s="16"/>
      <c r="K2" s="16"/>
      <c r="L2" s="16"/>
      <c r="M2" s="16"/>
      <c r="N2" s="16"/>
      <c r="O2" s="16"/>
      <c r="P2" s="16"/>
      <c r="Q2" s="16"/>
    </row>
    <row r="3" spans="1:17" ht="15.5">
      <c r="A3" s="1410" t="str">
        <f>Termék!A6</f>
        <v>Szerződés száma:</v>
      </c>
      <c r="B3" s="1411"/>
      <c r="C3" s="1053">
        <f>Termék!C6:E6</f>
        <v>0</v>
      </c>
      <c r="D3" s="1054"/>
      <c r="E3" s="1054"/>
      <c r="F3" s="1054"/>
      <c r="G3" s="1054"/>
      <c r="H3" s="1054"/>
      <c r="I3" s="1055"/>
      <c r="J3" s="18"/>
      <c r="K3" s="192">
        <f>Termék!H6</f>
        <v>0</v>
      </c>
      <c r="L3" s="73">
        <f>Termék!I6</f>
        <v>0</v>
      </c>
      <c r="M3" s="16"/>
      <c r="N3" s="16"/>
      <c r="O3" s="16"/>
      <c r="P3" s="16"/>
      <c r="Q3" s="16"/>
    </row>
    <row r="4" spans="1:17" ht="15.5">
      <c r="A4" s="1410" t="str">
        <f>Termék!A7</f>
        <v>Védjegyhasználó</v>
      </c>
      <c r="B4" s="1411"/>
      <c r="C4" s="1053" t="str">
        <f>Termék!C7:E7</f>
        <v/>
      </c>
      <c r="D4" s="1054"/>
      <c r="E4" s="1054"/>
      <c r="F4" s="1054"/>
      <c r="G4" s="1054"/>
      <c r="H4" s="1054"/>
      <c r="I4" s="1055"/>
      <c r="J4" s="18"/>
      <c r="K4" s="192" t="e">
        <f>Termék!#REF!</f>
        <v>#REF!</v>
      </c>
      <c r="L4" s="74">
        <f>Termék!I7</f>
        <v>0</v>
      </c>
      <c r="M4" s="16"/>
      <c r="N4" s="16"/>
      <c r="O4" s="16"/>
      <c r="P4" s="16"/>
      <c r="Q4" s="16"/>
    </row>
    <row r="5" spans="1:17" ht="15.5">
      <c r="A5" s="1410" t="str">
        <f>Termék!A8</f>
        <v>Forgalmazó / Termék neve (Ország):</v>
      </c>
      <c r="B5" s="1411"/>
      <c r="C5" s="1053">
        <f>Termék!C8:E8</f>
        <v>0</v>
      </c>
      <c r="D5" s="1054"/>
      <c r="E5" s="1054"/>
      <c r="F5" s="1054"/>
      <c r="G5" s="1054"/>
      <c r="H5" s="1054"/>
      <c r="I5" s="1055"/>
      <c r="J5" s="19"/>
      <c r="K5" s="16"/>
      <c r="L5" s="16"/>
      <c r="M5" s="16"/>
      <c r="N5" s="16"/>
      <c r="O5" s="16"/>
      <c r="P5" s="16"/>
      <c r="Q5" s="16"/>
    </row>
    <row r="6" spans="1:9" ht="12.75">
      <c r="A6" s="131"/>
      <c r="B6" s="131"/>
      <c r="C6" s="131"/>
      <c r="D6" s="131"/>
      <c r="E6" s="131"/>
      <c r="F6" s="131"/>
      <c r="G6" s="131"/>
      <c r="H6" s="131"/>
      <c r="I6" s="131"/>
    </row>
    <row r="7" spans="1:12" ht="40.5" customHeight="1">
      <c r="A7" s="132" t="s">
        <v>503</v>
      </c>
      <c r="B7" s="133"/>
      <c r="C7" s="132" t="s">
        <v>504</v>
      </c>
      <c r="D7" s="1407"/>
      <c r="E7" s="1408"/>
      <c r="F7" s="1408"/>
      <c r="G7" s="1408"/>
      <c r="H7" s="1408"/>
      <c r="I7" s="1408"/>
      <c r="J7" s="1408"/>
      <c r="K7" s="1408"/>
      <c r="L7" s="1409"/>
    </row>
    <row r="8" spans="1:12" ht="40.5" customHeight="1">
      <c r="A8" s="132" t="s">
        <v>505</v>
      </c>
      <c r="B8" s="133"/>
      <c r="C8" s="132" t="s">
        <v>504</v>
      </c>
      <c r="D8" s="1407"/>
      <c r="E8" s="1408"/>
      <c r="F8" s="1408"/>
      <c r="G8" s="1408"/>
      <c r="H8" s="1408"/>
      <c r="I8" s="1408"/>
      <c r="J8" s="1408"/>
      <c r="K8" s="1408"/>
      <c r="L8" s="1409"/>
    </row>
    <row r="9" spans="1:12" ht="40.5" customHeight="1">
      <c r="A9" s="132" t="s">
        <v>506</v>
      </c>
      <c r="B9" s="134"/>
      <c r="C9" s="132" t="s">
        <v>504</v>
      </c>
      <c r="D9" s="1407"/>
      <c r="E9" s="1408"/>
      <c r="F9" s="1408"/>
      <c r="G9" s="1408"/>
      <c r="H9" s="1408"/>
      <c r="I9" s="1408"/>
      <c r="J9" s="1408"/>
      <c r="K9" s="1408"/>
      <c r="L9" s="1409"/>
    </row>
    <row r="10" spans="1:12" ht="40.5" customHeight="1">
      <c r="A10" s="132" t="s">
        <v>507</v>
      </c>
      <c r="B10" s="134"/>
      <c r="C10" s="132" t="s">
        <v>504</v>
      </c>
      <c r="D10" s="1407"/>
      <c r="E10" s="1408"/>
      <c r="F10" s="1408"/>
      <c r="G10" s="1408"/>
      <c r="H10" s="1408"/>
      <c r="I10" s="1408"/>
      <c r="J10" s="1408"/>
      <c r="K10" s="1408"/>
      <c r="L10" s="1409"/>
    </row>
    <row r="11" spans="1:12" ht="40.5" customHeight="1">
      <c r="A11" s="132" t="s">
        <v>508</v>
      </c>
      <c r="B11" s="134"/>
      <c r="C11" s="132" t="s">
        <v>504</v>
      </c>
      <c r="D11" s="1407"/>
      <c r="E11" s="1408"/>
      <c r="F11" s="1408"/>
      <c r="G11" s="1408"/>
      <c r="H11" s="1408"/>
      <c r="I11" s="1408"/>
      <c r="J11" s="1408"/>
      <c r="K11" s="1408"/>
      <c r="L11" s="1409"/>
    </row>
    <row r="12" spans="1:12" ht="40.5" customHeight="1">
      <c r="A12" s="132" t="s">
        <v>509</v>
      </c>
      <c r="B12" s="133"/>
      <c r="C12" s="132" t="s">
        <v>504</v>
      </c>
      <c r="D12" s="1407"/>
      <c r="E12" s="1408"/>
      <c r="F12" s="1408"/>
      <c r="G12" s="1408"/>
      <c r="H12" s="1408"/>
      <c r="I12" s="1408"/>
      <c r="J12" s="1408"/>
      <c r="K12" s="1408"/>
      <c r="L12" s="1409"/>
    </row>
    <row r="13" spans="1:12" ht="40.5" customHeight="1">
      <c r="A13" s="132" t="s">
        <v>510</v>
      </c>
      <c r="B13" s="133"/>
      <c r="C13" s="132" t="s">
        <v>504</v>
      </c>
      <c r="D13" s="1407"/>
      <c r="E13" s="1408"/>
      <c r="F13" s="1408"/>
      <c r="G13" s="1408"/>
      <c r="H13" s="1408"/>
      <c r="I13" s="1408"/>
      <c r="J13" s="1408"/>
      <c r="K13" s="1408"/>
      <c r="L13" s="1409"/>
    </row>
    <row r="14" spans="1:12" ht="40.5" customHeight="1">
      <c r="A14" s="132" t="s">
        <v>506</v>
      </c>
      <c r="B14" s="134"/>
      <c r="C14" s="132" t="s">
        <v>504</v>
      </c>
      <c r="D14" s="1407"/>
      <c r="E14" s="1408"/>
      <c r="F14" s="1408"/>
      <c r="G14" s="1408"/>
      <c r="H14" s="1408"/>
      <c r="I14" s="1408"/>
      <c r="J14" s="1408"/>
      <c r="K14" s="1408"/>
      <c r="L14" s="1409"/>
    </row>
    <row r="15" spans="1:9" ht="12.75">
      <c r="A15" s="131"/>
      <c r="B15" s="131"/>
      <c r="C15" s="131"/>
      <c r="D15" s="131"/>
      <c r="E15" s="131"/>
      <c r="F15" s="131"/>
      <c r="G15" s="131"/>
      <c r="H15" s="131"/>
      <c r="I15" s="131"/>
    </row>
    <row r="16" spans="1:9" ht="12.75">
      <c r="A16" s="131"/>
      <c r="B16" s="131"/>
      <c r="C16" s="131"/>
      <c r="D16" s="131"/>
      <c r="E16" s="131"/>
      <c r="F16" s="131"/>
      <c r="G16" s="131"/>
      <c r="H16" s="131"/>
      <c r="I16" s="131"/>
    </row>
    <row r="17" spans="1:9" ht="12.75">
      <c r="A17" s="131"/>
      <c r="B17" s="131"/>
      <c r="C17" s="131"/>
      <c r="D17" s="131"/>
      <c r="E17" s="131"/>
      <c r="F17" s="131"/>
      <c r="G17" s="131"/>
      <c r="H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sheetData>
  <sheetProtection password="CC17" sheet="1" objects="1" scenarios="1" selectLockedCells="1" selectUnlockedCells="1"/>
  <mergeCells count="16">
    <mergeCell ref="A3:B3"/>
    <mergeCell ref="C3:I3"/>
    <mergeCell ref="A4:B4"/>
    <mergeCell ref="C4:I4"/>
    <mergeCell ref="A5:B5"/>
    <mergeCell ref="C5:I5"/>
    <mergeCell ref="I1:J1"/>
    <mergeCell ref="K1:L1"/>
    <mergeCell ref="D12:L12"/>
    <mergeCell ref="D13:L13"/>
    <mergeCell ref="D14:L14"/>
    <mergeCell ref="D7:L7"/>
    <mergeCell ref="D8:L8"/>
    <mergeCell ref="D9:L9"/>
    <mergeCell ref="D10:L10"/>
    <mergeCell ref="D11:L11"/>
  </mergeCells>
  <dataValidations count="1">
    <dataValidation allowBlank="1" showInputMessage="1" showErrorMessage="1" errorTitle="Please select" sqref="K1:L1"/>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pageSetUpPr fitToPage="1"/>
  </sheetPr>
  <dimension ref="A1:AN87"/>
  <sheetViews>
    <sheetView workbookViewId="0" topLeftCell="A14">
      <selection activeCell="C26" sqref="C26"/>
    </sheetView>
  </sheetViews>
  <sheetFormatPr defaultColWidth="11.421875" defaultRowHeight="12.75"/>
  <cols>
    <col min="1" max="1" width="15.421875" style="7" customWidth="1"/>
    <col min="2" max="2" width="24.140625" style="7" customWidth="1"/>
    <col min="3" max="3" width="36.00390625" style="7" customWidth="1"/>
    <col min="4" max="4" width="26.28125" style="7" customWidth="1"/>
    <col min="5" max="5" width="18.57421875" style="7" bestFit="1" customWidth="1"/>
    <col min="6" max="6" width="22.57421875" style="7" bestFit="1" customWidth="1"/>
    <col min="7" max="7" width="21.8515625" style="503" customWidth="1"/>
    <col min="8" max="8" width="15.7109375" style="503" customWidth="1"/>
    <col min="9" max="9" width="44.421875" style="503" customWidth="1"/>
    <col min="10" max="11" width="11.421875" style="503" customWidth="1"/>
    <col min="12" max="12" width="11.421875" style="703" customWidth="1"/>
    <col min="13" max="13" width="11.421875" style="503" customWidth="1"/>
    <col min="14" max="14" width="10.421875" style="497" customWidth="1"/>
    <col min="15" max="25" width="11.421875" style="525" customWidth="1"/>
    <col min="26" max="40" width="11.421875" style="523" customWidth="1"/>
  </cols>
  <sheetData>
    <row r="1" spans="1:14" ht="38.25" customHeight="1">
      <c r="A1" s="1029" t="str">
        <f>IF(Adatlap!$L$1=Fordítások!C3,Fordítások!C236,Fordítások!B236)</f>
        <v>A BIZOTTSÁG HATÁROZATA</v>
      </c>
      <c r="B1" s="1030"/>
      <c r="C1" s="1031" t="str">
        <f>IF(J1=0,"",CHOOSE(J1,H7,H8,H9,H10,H11,H12))</f>
        <v>2017/1214/EU a kézi mosogatószerek uniós ökocímke kritériumairól</v>
      </c>
      <c r="D1" s="1032"/>
      <c r="E1" s="1032"/>
      <c r="F1" s="542" t="str">
        <f>Document!B17</f>
        <v>Magyar 3.0</v>
      </c>
      <c r="G1" s="1028" t="str">
        <f>IF(Adatlap!$L$1=Fordítások!C3,Fordítások!C31,Fordítások!B31)</f>
        <v>Kérjük, töltse ki a piros mezőket!</v>
      </c>
      <c r="H1" s="1028"/>
      <c r="I1" s="1028"/>
      <c r="J1" s="494">
        <f>Adatlap!M3</f>
        <v>2</v>
      </c>
      <c r="K1" s="494"/>
      <c r="L1" s="494"/>
      <c r="M1" s="494"/>
      <c r="N1" s="494"/>
    </row>
    <row r="2" spans="1:25" s="523" customFormat="1" ht="12.75">
      <c r="A2" s="489"/>
      <c r="B2" s="489"/>
      <c r="C2" s="489"/>
      <c r="D2" s="489"/>
      <c r="E2" s="489"/>
      <c r="F2" s="489"/>
      <c r="G2" s="696"/>
      <c r="H2" s="696"/>
      <c r="I2" s="696"/>
      <c r="J2" s="948"/>
      <c r="K2" s="494"/>
      <c r="L2" s="494"/>
      <c r="M2" s="494"/>
      <c r="N2" s="494"/>
      <c r="O2" s="525"/>
      <c r="P2" s="525"/>
      <c r="Q2" s="525"/>
      <c r="R2" s="525"/>
      <c r="S2" s="525"/>
      <c r="T2" s="525"/>
      <c r="U2" s="525"/>
      <c r="V2" s="525"/>
      <c r="W2" s="525"/>
      <c r="X2" s="525"/>
      <c r="Y2" s="525"/>
    </row>
    <row r="3" spans="1:25" s="523" customFormat="1" ht="18.75" customHeight="1">
      <c r="A3" s="548" t="str">
        <f>IF(Adatlap!$L$1=Fordítások!C3,Fordítások!C8,Fordítások!B8)</f>
        <v>Dátum:</v>
      </c>
      <c r="B3" s="743"/>
      <c r="C3" s="125"/>
      <c r="D3" s="126"/>
      <c r="E3" s="125"/>
      <c r="F3" s="125"/>
      <c r="G3" s="543"/>
      <c r="H3" s="543"/>
      <c r="I3" s="544"/>
      <c r="J3" s="963"/>
      <c r="K3" s="494"/>
      <c r="L3" s="494"/>
      <c r="M3" s="963"/>
      <c r="N3" s="963"/>
      <c r="O3" s="525"/>
      <c r="P3" s="525"/>
      <c r="Q3" s="525"/>
      <c r="R3" s="525"/>
      <c r="S3" s="525"/>
      <c r="T3" s="525"/>
      <c r="U3" s="525"/>
      <c r="V3" s="525"/>
      <c r="W3" s="525"/>
      <c r="X3" s="525"/>
      <c r="Y3" s="525"/>
    </row>
    <row r="4" spans="1:25" s="523" customFormat="1" ht="15.5">
      <c r="A4" s="549" t="str">
        <f>IF(Adatlap!$L$1=Fordítások!C3,Fordítások!C9,Fordítások!B9)</f>
        <v>Verziószám:</v>
      </c>
      <c r="B4" s="744"/>
      <c r="C4" s="489"/>
      <c r="D4" s="126"/>
      <c r="E4" s="546"/>
      <c r="F4" s="546"/>
      <c r="G4" s="547"/>
      <c r="H4" s="545"/>
      <c r="I4" s="710"/>
      <c r="J4" s="963"/>
      <c r="K4" s="494"/>
      <c r="L4" s="494"/>
      <c r="M4" s="963"/>
      <c r="N4" s="963"/>
      <c r="O4" s="525"/>
      <c r="P4" s="525"/>
      <c r="Q4" s="525"/>
      <c r="R4" s="525"/>
      <c r="S4" s="525"/>
      <c r="T4" s="525"/>
      <c r="U4" s="525"/>
      <c r="V4" s="525"/>
      <c r="W4" s="525"/>
      <c r="X4" s="525"/>
      <c r="Y4" s="525"/>
    </row>
    <row r="5" spans="1:14" ht="8.25" customHeight="1">
      <c r="A5" s="14"/>
      <c r="B5" s="14"/>
      <c r="C5" s="14"/>
      <c r="D5" s="14"/>
      <c r="E5" s="14"/>
      <c r="F5" s="14"/>
      <c r="G5" s="750"/>
      <c r="H5" s="750"/>
      <c r="I5" s="750"/>
      <c r="J5" s="964"/>
      <c r="K5" s="494"/>
      <c r="L5" s="494"/>
      <c r="M5" s="963"/>
      <c r="N5" s="963"/>
    </row>
    <row r="6" spans="1:14" ht="15.5">
      <c r="A6" s="1017" t="str">
        <f>IF(Adatlap!$L$1=Fordítások!C3,Fordítások!C6,Fordítások!B6)</f>
        <v>Szerződés száma:</v>
      </c>
      <c r="B6" s="1018"/>
      <c r="C6" s="1021"/>
      <c r="D6" s="1022"/>
      <c r="E6" s="1023"/>
      <c r="F6" s="202"/>
      <c r="G6" s="751"/>
      <c r="H6" s="752"/>
      <c r="I6" s="753"/>
      <c r="J6" s="963"/>
      <c r="K6" s="494"/>
      <c r="L6" s="494"/>
      <c r="M6" s="963"/>
      <c r="N6" s="963"/>
    </row>
    <row r="7" spans="1:14" ht="26.5">
      <c r="A7" s="1019" t="str">
        <f>IF(Adatlap!$L$1=Fordítások!C3,Fordítások!C4,Fordítások!B4)</f>
        <v>Védjegyhasználó</v>
      </c>
      <c r="B7" s="1020"/>
      <c r="C7" s="1021" t="str">
        <f>IF(Adatlap!D7="","",Adatlap!D7)</f>
        <v/>
      </c>
      <c r="D7" s="1022"/>
      <c r="E7" s="1023"/>
      <c r="F7" s="877" t="str">
        <f>IF(Adatlap!$L$1=Fordítások!C3,Fordítások!C307,Fordítások!B307)</f>
        <v>Kiszerelési egység sorszáma, 1-től 8-ig</v>
      </c>
      <c r="G7" s="751"/>
      <c r="H7" s="759" t="str">
        <f>Auswahldaten!A105</f>
        <v>2017/1217/EU kemény felületekre szánt tisztítószerek uniós ökocímke kritériumairól</v>
      </c>
      <c r="I7" s="754"/>
      <c r="J7" s="545"/>
      <c r="K7" s="496"/>
      <c r="L7" s="704"/>
      <c r="M7" s="496"/>
      <c r="N7" s="496"/>
    </row>
    <row r="8" spans="1:14" ht="15.5">
      <c r="A8" s="1017" t="str">
        <f>IF(Adatlap!$L$1=Fordítások!C3,Fordítások!C5,Fordítások!B5)</f>
        <v>Forgalmazó / Termék neve (Ország):</v>
      </c>
      <c r="B8" s="1018"/>
      <c r="C8" s="1010"/>
      <c r="D8" s="1011"/>
      <c r="E8" s="1012"/>
      <c r="F8" s="232"/>
      <c r="G8" s="751"/>
      <c r="H8" s="759" t="str">
        <f>Auswahldaten!A106</f>
        <v>2017/1214/EU a kézi mosogatószerek uniós ökocímke kritériumairól</v>
      </c>
      <c r="I8" s="545"/>
      <c r="J8" s="545"/>
      <c r="K8" s="496"/>
      <c r="L8" s="704"/>
      <c r="M8" s="496"/>
      <c r="N8" s="496"/>
    </row>
    <row r="9" spans="1:14" ht="15.5">
      <c r="A9" s="1017" t="str">
        <f>A8</f>
        <v>Forgalmazó / Termék neve (Ország):</v>
      </c>
      <c r="B9" s="1018"/>
      <c r="C9" s="1010"/>
      <c r="D9" s="1011"/>
      <c r="E9" s="1012"/>
      <c r="F9" s="232"/>
      <c r="G9" s="751"/>
      <c r="H9" s="759" t="str">
        <f>Auswahldaten!A107</f>
        <v>2017/1218/EU a mosószerek uniós ökocímke kritériumairól</v>
      </c>
      <c r="I9" s="545"/>
      <c r="J9" s="545"/>
      <c r="K9" s="496"/>
      <c r="L9" s="704"/>
      <c r="M9" s="496"/>
      <c r="N9" s="496"/>
    </row>
    <row r="10" spans="1:14" ht="15.5">
      <c r="A10" s="1017" t="str">
        <f aca="true" t="shared" si="0" ref="A10:A22">A9</f>
        <v>Forgalmazó / Termék neve (Ország):</v>
      </c>
      <c r="B10" s="1018"/>
      <c r="C10" s="1010"/>
      <c r="D10" s="1011"/>
      <c r="E10" s="1012"/>
      <c r="F10" s="232"/>
      <c r="G10" s="751"/>
      <c r="H10" s="759" t="str">
        <f>Auswahldaten!A108</f>
        <v>2017/1216/EU határozat a gépi mosogatószerek uniós ökocímke kritériumairól</v>
      </c>
      <c r="I10" s="545"/>
      <c r="J10" s="545"/>
      <c r="K10" s="496"/>
      <c r="L10" s="704"/>
      <c r="M10" s="496"/>
      <c r="N10" s="496"/>
    </row>
    <row r="11" spans="1:14" ht="15.5">
      <c r="A11" s="1017" t="str">
        <f t="shared" si="0"/>
        <v>Forgalmazó / Termék neve (Ország):</v>
      </c>
      <c r="B11" s="1018"/>
      <c r="C11" s="1010"/>
      <c r="D11" s="1011"/>
      <c r="E11" s="1012"/>
      <c r="F11" s="232"/>
      <c r="G11" s="751"/>
      <c r="H11" s="759" t="str">
        <f>Auswahldaten!A109</f>
        <v>2017/1215/EU határozat az  ipari és intézményi felhasználásra szánt gépi mosogatószerek uniós ökocímke kritériumairól</v>
      </c>
      <c r="I11" s="545"/>
      <c r="J11" s="545"/>
      <c r="K11" s="496"/>
      <c r="L11" s="704"/>
      <c r="M11" s="496"/>
      <c r="N11" s="496"/>
    </row>
    <row r="12" spans="1:14" ht="15.5">
      <c r="A12" s="1017" t="str">
        <f t="shared" si="0"/>
        <v>Forgalmazó / Termék neve (Ország):</v>
      </c>
      <c r="B12" s="1018"/>
      <c r="C12" s="1010"/>
      <c r="D12" s="1011"/>
      <c r="E12" s="1012"/>
      <c r="F12" s="232"/>
      <c r="G12" s="499"/>
      <c r="H12" s="759" t="str">
        <f>Auswahldaten!A110</f>
        <v>2017/1219/EU az ipari  és  intézményi  felhasználásra szánt mosószerek uniós ökocímke kritériumairól</v>
      </c>
      <c r="I12" s="496"/>
      <c r="J12" s="496"/>
      <c r="K12" s="496"/>
      <c r="L12" s="704"/>
      <c r="M12" s="496"/>
      <c r="N12" s="496"/>
    </row>
    <row r="13" spans="1:14" ht="15.5">
      <c r="A13" s="1017" t="str">
        <f t="shared" si="0"/>
        <v>Forgalmazó / Termék neve (Ország):</v>
      </c>
      <c r="B13" s="1018"/>
      <c r="C13" s="1010"/>
      <c r="D13" s="1011"/>
      <c r="E13" s="1012"/>
      <c r="F13" s="232"/>
      <c r="G13" s="499"/>
      <c r="H13" s="759"/>
      <c r="I13" s="496"/>
      <c r="J13" s="496"/>
      <c r="K13" s="496"/>
      <c r="L13" s="704"/>
      <c r="M13" s="496"/>
      <c r="N13" s="496"/>
    </row>
    <row r="14" spans="1:14" ht="15.5">
      <c r="A14" s="1017" t="str">
        <f t="shared" si="0"/>
        <v>Forgalmazó / Termék neve (Ország):</v>
      </c>
      <c r="B14" s="1018"/>
      <c r="C14" s="1010"/>
      <c r="D14" s="1011"/>
      <c r="E14" s="1012"/>
      <c r="F14" s="232"/>
      <c r="G14" s="499"/>
      <c r="H14" s="496"/>
      <c r="I14" s="496"/>
      <c r="J14" s="496"/>
      <c r="K14" s="496"/>
      <c r="L14" s="704"/>
      <c r="M14" s="496"/>
      <c r="N14" s="496"/>
    </row>
    <row r="15" spans="1:14" ht="15.5">
      <c r="A15" s="1017" t="str">
        <f t="shared" si="0"/>
        <v>Forgalmazó / Termék neve (Ország):</v>
      </c>
      <c r="B15" s="1018"/>
      <c r="C15" s="1010"/>
      <c r="D15" s="1011"/>
      <c r="E15" s="1012"/>
      <c r="F15" s="232"/>
      <c r="G15" s="499"/>
      <c r="H15" s="496"/>
      <c r="I15" s="496"/>
      <c r="J15" s="496"/>
      <c r="K15" s="496"/>
      <c r="L15" s="705">
        <v>300</v>
      </c>
      <c r="M15" s="496"/>
      <c r="N15" s="496"/>
    </row>
    <row r="16" spans="1:14" ht="15.5">
      <c r="A16" s="1017" t="str">
        <f t="shared" si="0"/>
        <v>Forgalmazó / Termék neve (Ország):</v>
      </c>
      <c r="B16" s="1018"/>
      <c r="C16" s="1010"/>
      <c r="D16" s="1011"/>
      <c r="E16" s="1012"/>
      <c r="F16" s="232"/>
      <c r="G16" s="499"/>
      <c r="H16" s="496"/>
      <c r="I16" s="496"/>
      <c r="J16" s="496"/>
      <c r="K16" s="496"/>
      <c r="L16" s="705">
        <v>301</v>
      </c>
      <c r="M16" s="496"/>
      <c r="N16" s="496"/>
    </row>
    <row r="17" spans="1:14" ht="15.5">
      <c r="A17" s="1017" t="str">
        <f t="shared" si="0"/>
        <v>Forgalmazó / Termék neve (Ország):</v>
      </c>
      <c r="B17" s="1018"/>
      <c r="C17" s="1010"/>
      <c r="D17" s="1011"/>
      <c r="E17" s="1012"/>
      <c r="F17" s="232"/>
      <c r="G17" s="499"/>
      <c r="H17" s="496"/>
      <c r="I17" s="496"/>
      <c r="J17" s="496"/>
      <c r="K17" s="496"/>
      <c r="L17" s="705">
        <v>304</v>
      </c>
      <c r="M17" s="496"/>
      <c r="N17" s="496"/>
    </row>
    <row r="18" spans="1:14" ht="15.5">
      <c r="A18" s="1017" t="str">
        <f t="shared" si="0"/>
        <v>Forgalmazó / Termék neve (Ország):</v>
      </c>
      <c r="B18" s="1018"/>
      <c r="C18" s="1010"/>
      <c r="D18" s="1011"/>
      <c r="E18" s="1012"/>
      <c r="F18" s="232"/>
      <c r="G18" s="499"/>
      <c r="H18" s="496"/>
      <c r="I18" s="496"/>
      <c r="J18" s="496"/>
      <c r="K18" s="496"/>
      <c r="L18" s="705">
        <v>310</v>
      </c>
      <c r="M18" s="496"/>
      <c r="N18" s="496"/>
    </row>
    <row r="19" spans="1:14" ht="15.5">
      <c r="A19" s="1017" t="str">
        <f t="shared" si="0"/>
        <v>Forgalmazó / Termék neve (Ország):</v>
      </c>
      <c r="B19" s="1018"/>
      <c r="C19" s="1010"/>
      <c r="D19" s="1011"/>
      <c r="E19" s="1012"/>
      <c r="F19" s="232"/>
      <c r="G19" s="499"/>
      <c r="H19" s="496"/>
      <c r="I19" s="496"/>
      <c r="J19" s="496"/>
      <c r="K19" s="496"/>
      <c r="L19" s="705">
        <v>311</v>
      </c>
      <c r="M19" s="496"/>
      <c r="N19" s="496"/>
    </row>
    <row r="20" spans="1:14" ht="15.5">
      <c r="A20" s="1017" t="str">
        <f t="shared" si="0"/>
        <v>Forgalmazó / Termék neve (Ország):</v>
      </c>
      <c r="B20" s="1018"/>
      <c r="C20" s="1010"/>
      <c r="D20" s="1011"/>
      <c r="E20" s="1012"/>
      <c r="F20" s="232"/>
      <c r="G20" s="499"/>
      <c r="H20" s="496"/>
      <c r="I20" s="496"/>
      <c r="J20" s="496"/>
      <c r="K20" s="496"/>
      <c r="L20" s="705">
        <v>317</v>
      </c>
      <c r="M20" s="496"/>
      <c r="N20" s="496"/>
    </row>
    <row r="21" spans="1:14" ht="15.5">
      <c r="A21" s="1017" t="str">
        <f t="shared" si="0"/>
        <v>Forgalmazó / Termék neve (Ország):</v>
      </c>
      <c r="B21" s="1018"/>
      <c r="C21" s="1010"/>
      <c r="D21" s="1011"/>
      <c r="E21" s="1012"/>
      <c r="F21" s="232"/>
      <c r="G21" s="499"/>
      <c r="H21" s="496"/>
      <c r="I21" s="496"/>
      <c r="J21" s="496"/>
      <c r="K21" s="496"/>
      <c r="L21" s="705">
        <v>330</v>
      </c>
      <c r="M21" s="496"/>
      <c r="N21" s="496"/>
    </row>
    <row r="22" spans="1:14" ht="15.5">
      <c r="A22" s="1017" t="str">
        <f t="shared" si="0"/>
        <v>Forgalmazó / Termék neve (Ország):</v>
      </c>
      <c r="B22" s="1018"/>
      <c r="C22" s="1010"/>
      <c r="D22" s="1011"/>
      <c r="E22" s="1012"/>
      <c r="F22" s="232"/>
      <c r="G22" s="499"/>
      <c r="H22" s="496"/>
      <c r="I22" s="496"/>
      <c r="J22" s="496"/>
      <c r="K22" s="496"/>
      <c r="L22" s="705">
        <v>331</v>
      </c>
      <c r="M22" s="496"/>
      <c r="N22" s="496"/>
    </row>
    <row r="23" spans="1:14" ht="15.5">
      <c r="A23" s="14"/>
      <c r="B23" s="14"/>
      <c r="C23" s="14"/>
      <c r="D23" s="14"/>
      <c r="E23" s="14"/>
      <c r="F23" s="14"/>
      <c r="G23" s="498"/>
      <c r="H23" s="498"/>
      <c r="I23" s="498"/>
      <c r="J23" s="498"/>
      <c r="K23" s="496"/>
      <c r="L23" s="705">
        <v>334</v>
      </c>
      <c r="M23" s="496"/>
      <c r="N23" s="496"/>
    </row>
    <row r="24" spans="1:14" ht="15.5">
      <c r="A24" s="1017" t="str">
        <f>IF(Adatlap!$L$1=Fordítások!C3,Fordítások!C7,Fordítások!B7)</f>
        <v>A termék fajtája:</v>
      </c>
      <c r="B24" s="1018"/>
      <c r="C24" s="1010"/>
      <c r="D24" s="1011"/>
      <c r="E24" s="1012"/>
      <c r="F24" s="14"/>
      <c r="G24" s="500"/>
      <c r="H24" s="498"/>
      <c r="I24" s="496"/>
      <c r="J24" s="496"/>
      <c r="K24" s="496"/>
      <c r="L24" s="705">
        <v>340</v>
      </c>
      <c r="M24" s="496"/>
      <c r="N24" s="496"/>
    </row>
    <row r="25" spans="1:14" ht="57" customHeight="1" hidden="1">
      <c r="A25" s="1013" t="str">
        <f>IF(Adatlap!$L$1=Fordítások!C3,Fordítások!C269,Fordítások!B269)</f>
        <v>Kemény felületekre szánt tisztítószer esetén adja meg a termék rendeltetését (pl. fürdőszobai tisztító, vízkőeltávolító WC tisztító, padlótisztító stb.)</v>
      </c>
      <c r="B25" s="1014"/>
      <c r="C25" s="1027"/>
      <c r="D25" s="1027"/>
      <c r="E25" s="1027"/>
      <c r="F25" s="14"/>
      <c r="G25" s="500"/>
      <c r="H25" s="498"/>
      <c r="I25" s="496"/>
      <c r="J25" s="496"/>
      <c r="K25" s="496"/>
      <c r="L25" s="705">
        <v>350</v>
      </c>
      <c r="M25" s="496"/>
      <c r="N25" s="496"/>
    </row>
    <row r="26" spans="1:14" ht="15.5">
      <c r="A26" s="1017" t="str">
        <f>IF(Adatlap!$L$1=Fordítások!C3,Fordítások!C178,Fordítások!B178)</f>
        <v>A termék halmazállapota:</v>
      </c>
      <c r="B26" s="1018"/>
      <c r="C26" s="236"/>
      <c r="D26" s="505"/>
      <c r="E26" s="84"/>
      <c r="F26" s="14"/>
      <c r="G26" s="500"/>
      <c r="H26" s="498"/>
      <c r="I26" s="500"/>
      <c r="J26" s="496"/>
      <c r="K26" s="496"/>
      <c r="L26" s="705">
        <v>351</v>
      </c>
      <c r="M26" s="496"/>
      <c r="N26" s="496"/>
    </row>
    <row r="27" spans="1:14" ht="32.25" customHeight="1">
      <c r="A27" s="1015" t="str">
        <f>IF(Adatlap!$L$1=Fordítások!C3,Fordítások!C21,Fordítások!B21)</f>
        <v>Figyelmeztető mondatok 
(H-mondatok)</v>
      </c>
      <c r="B27" s="1016"/>
      <c r="C27" s="232"/>
      <c r="D27" s="234"/>
      <c r="E27" s="234"/>
      <c r="F27" s="14"/>
      <c r="G27" s="501"/>
      <c r="H27" s="501"/>
      <c r="I27" s="496"/>
      <c r="J27" s="496"/>
      <c r="K27" s="496"/>
      <c r="L27" s="705">
        <v>360</v>
      </c>
      <c r="M27" s="496"/>
      <c r="N27" s="496"/>
    </row>
    <row r="28" spans="1:14" ht="32.25" customHeight="1">
      <c r="A28" s="1015" t="str">
        <f>IF(Adatlap!$L$1=Fordítások!C3,Fordítások!C181,Fordítások!B181)</f>
        <v>A koncentrátum sűrűsége (folyékony/gél állapotú tisztítószer esetén)</v>
      </c>
      <c r="B28" s="1016"/>
      <c r="C28" s="885"/>
      <c r="D28" s="84"/>
      <c r="E28" s="84"/>
      <c r="F28" s="14"/>
      <c r="G28" s="502"/>
      <c r="H28" s="498"/>
      <c r="I28" s="498"/>
      <c r="J28" s="496"/>
      <c r="K28" s="496"/>
      <c r="L28" s="705">
        <v>361</v>
      </c>
      <c r="M28" s="496"/>
      <c r="N28" s="496"/>
    </row>
    <row r="29" spans="1:14" ht="15.5">
      <c r="A29" s="1017" t="str">
        <f>IF(Adatlap!$L$1=Fordítások!C3,Fordítások!C270,Fordítások!B270)</f>
        <v>pH (koncentrátum)</v>
      </c>
      <c r="B29" s="1018"/>
      <c r="C29" s="232"/>
      <c r="D29" s="84"/>
      <c r="E29" s="84"/>
      <c r="F29" s="14"/>
      <c r="G29" s="502"/>
      <c r="H29" s="498"/>
      <c r="I29" s="498"/>
      <c r="J29" s="496"/>
      <c r="K29" s="496"/>
      <c r="L29" s="705">
        <v>362</v>
      </c>
      <c r="M29" s="496"/>
      <c r="N29" s="496"/>
    </row>
    <row r="30" spans="1:14" ht="15.5">
      <c r="A30" s="1017" t="str">
        <f>IF(Adatlap!$L$1=Fordítások!C3,Fordítások!C271,Fordítások!B271)</f>
        <v>pH (használatra kész)</v>
      </c>
      <c r="B30" s="1018"/>
      <c r="C30" s="232"/>
      <c r="D30" s="84"/>
      <c r="E30" s="84"/>
      <c r="F30" s="14"/>
      <c r="G30" s="502"/>
      <c r="H30" s="498"/>
      <c r="I30" s="498"/>
      <c r="J30" s="496"/>
      <c r="K30" s="496"/>
      <c r="L30" s="705">
        <v>370</v>
      </c>
      <c r="M30" s="496"/>
      <c r="N30" s="496"/>
    </row>
    <row r="31" spans="1:40" s="564" customFormat="1" ht="22.5" customHeight="1">
      <c r="A31" s="1019" t="str">
        <f>IF(Adatlap!$L$1=Fordítások!C3,Fordítások!C282,Fordítások!B282)</f>
        <v>Ajánlott felhasználási terület</v>
      </c>
      <c r="B31" s="1020"/>
      <c r="C31" s="233"/>
      <c r="D31" s="1024" t="str">
        <f>IF(Adatlap!L1="Magyar",Fordítások!C325,Fordítások!B325)</f>
        <v>A háztartási felhasználásra szánt termékek nem tartalmazhatnak a gyártó által szándékosan hozzáadott mikroorganizmusokat.</v>
      </c>
      <c r="E31" s="1025"/>
      <c r="F31" s="1025"/>
      <c r="G31" s="666"/>
      <c r="H31" s="667"/>
      <c r="I31" s="667"/>
      <c r="J31" s="667"/>
      <c r="K31" s="666"/>
      <c r="L31" s="706">
        <v>371</v>
      </c>
      <c r="M31" s="666"/>
      <c r="N31" s="666"/>
      <c r="O31" s="526"/>
      <c r="P31" s="526"/>
      <c r="Q31" s="526"/>
      <c r="R31" s="526"/>
      <c r="S31" s="526"/>
      <c r="T31" s="526"/>
      <c r="U31" s="526"/>
      <c r="V31" s="526"/>
      <c r="W31" s="526"/>
      <c r="X31" s="526"/>
      <c r="Y31" s="526"/>
      <c r="Z31" s="527"/>
      <c r="AA31" s="527"/>
      <c r="AB31" s="527"/>
      <c r="AC31" s="527"/>
      <c r="AD31" s="527"/>
      <c r="AE31" s="527"/>
      <c r="AF31" s="527"/>
      <c r="AG31" s="527"/>
      <c r="AH31" s="527"/>
      <c r="AI31" s="527"/>
      <c r="AJ31" s="527"/>
      <c r="AK31" s="527"/>
      <c r="AL31" s="527"/>
      <c r="AM31" s="527"/>
      <c r="AN31" s="527"/>
    </row>
    <row r="32" spans="1:14" ht="15.5">
      <c r="A32" s="1017" t="str">
        <f>IF(Adatlap!$L$1=Fordítások!C3,Fordítások!C283,Fordítások!B283)</f>
        <v>Tartósítószert tartalmaz</v>
      </c>
      <c r="B32" s="1018"/>
      <c r="C32" s="232"/>
      <c r="D32" s="84"/>
      <c r="E32" s="84"/>
      <c r="F32" s="14"/>
      <c r="G32" s="502"/>
      <c r="H32" s="498"/>
      <c r="I32" s="498"/>
      <c r="J32" s="498"/>
      <c r="K32" s="496"/>
      <c r="L32" s="705">
        <v>372</v>
      </c>
      <c r="M32" s="496"/>
      <c r="N32" s="496"/>
    </row>
    <row r="33" spans="1:14" ht="15.5">
      <c r="A33" s="1017" t="str">
        <f>IF(Adatlap!$L$1=Fordítások!C3,Fordítások!C284,Fordítások!B284)</f>
        <v>Illatanyagokat tartalmaz</v>
      </c>
      <c r="B33" s="1018"/>
      <c r="C33" s="232"/>
      <c r="D33" s="84"/>
      <c r="E33" s="84"/>
      <c r="F33" s="14"/>
      <c r="G33" s="502"/>
      <c r="H33" s="498"/>
      <c r="I33" s="498"/>
      <c r="J33" s="498"/>
      <c r="K33" s="496"/>
      <c r="L33" s="705">
        <v>373</v>
      </c>
      <c r="M33" s="496"/>
      <c r="N33" s="496"/>
    </row>
    <row r="34" spans="1:14" ht="15.5">
      <c r="A34" s="1017" t="str">
        <f>IF(Adatlap!$L$1=Fordítások!C3,Fordítások!C285,Fordítások!B285)</f>
        <v>Színezéket tartalmaz</v>
      </c>
      <c r="B34" s="1018"/>
      <c r="C34" s="232"/>
      <c r="D34" s="84"/>
      <c r="E34" s="84"/>
      <c r="F34" s="14"/>
      <c r="G34" s="502"/>
      <c r="H34" s="498"/>
      <c r="I34" s="498"/>
      <c r="J34" s="498"/>
      <c r="K34" s="496"/>
      <c r="L34" s="705">
        <v>400</v>
      </c>
      <c r="M34" s="496"/>
      <c r="N34" s="496"/>
    </row>
    <row r="35" spans="1:14" ht="15.5">
      <c r="A35" s="1017" t="str">
        <f>IF(Adatlap!$L$1=Fordítások!C3,Fordítások!C286,Fordítások!B286)</f>
        <v>Mikroorganizmusokat tartalmaz</v>
      </c>
      <c r="B35" s="1018"/>
      <c r="C35" s="232"/>
      <c r="D35" s="84"/>
      <c r="E35" s="84"/>
      <c r="F35" s="14"/>
      <c r="G35" s="502"/>
      <c r="H35" s="498"/>
      <c r="I35" s="498"/>
      <c r="J35" s="498"/>
      <c r="K35" s="496"/>
      <c r="L35" s="705">
        <v>410</v>
      </c>
      <c r="M35" s="496"/>
      <c r="N35" s="496"/>
    </row>
    <row r="36" spans="1:14" ht="15.5">
      <c r="A36" s="1017" t="str">
        <f>IF(Adatlap!$L$1=Fordítások!C3,Fordítások!C287,Fordítások!B287)</f>
        <v>Enzimeket tartalmaz</v>
      </c>
      <c r="B36" s="1018"/>
      <c r="C36" s="232"/>
      <c r="D36" s="84"/>
      <c r="E36" s="84"/>
      <c r="F36" s="14"/>
      <c r="G36" s="502"/>
      <c r="H36" s="498"/>
      <c r="I36" s="498"/>
      <c r="J36" s="498"/>
      <c r="K36" s="496"/>
      <c r="L36" s="705">
        <v>411</v>
      </c>
      <c r="M36" s="496"/>
      <c r="N36" s="496"/>
    </row>
    <row r="37" spans="1:14" ht="32.25" customHeight="1">
      <c r="A37" s="1013" t="str">
        <f>IF(Adatlap!$L$1=Fordítások!C3,Fordítások!C288,Fordítások!B288)</f>
        <v>Pálmaolajat, pálmamagbélolajat vagy ezek származékait tartalmazza</v>
      </c>
      <c r="B37" s="1014"/>
      <c r="C37" s="232"/>
      <c r="D37" s="84"/>
      <c r="E37" s="84"/>
      <c r="F37" s="14"/>
      <c r="G37" s="502"/>
      <c r="H37" s="498"/>
      <c r="I37" s="498"/>
      <c r="J37" s="498"/>
      <c r="K37" s="496"/>
      <c r="L37" s="705">
        <v>412</v>
      </c>
      <c r="M37" s="496"/>
      <c r="N37" s="496"/>
    </row>
    <row r="38" spans="1:14" ht="55.5" customHeight="1">
      <c r="A38" s="1015" t="str">
        <f>IF(Adatlap!$L$1=Fordítások!C3,Fordítások!C299,Fordítások!B299)</f>
        <v>Referenciaadag:</v>
      </c>
      <c r="B38" s="1016"/>
      <c r="C38" s="232"/>
      <c r="D38" s="261" t="str">
        <f>IF(C38="",IF(Adatlap!$L$1=Fordítások!C3,Fordítások!C279,Fordítások!B279),"")</f>
        <v>A használatra kész kemény felületekre szánt tisztítószerek esetében 1000-t, az öblítőszerek esetében 3-t kell beírni</v>
      </c>
      <c r="E38" s="1025" t="str">
        <f>IF(C38="",IF(Adatlap!L1=Fordítások!C3,"A gyártó által 1 liter, átlagosan szennyezett felület /ruha/ edény tisztítására alkalmas tisztítószeroldat elkészítéséhez ajánlott legnagyobb adag (g/l vagy ml/l). Használatra kész termékek esetében 1 liter használatra kész termék.","Highest dosage recommended by the manufacturer for preparing 1 litre of cleaning solution for cleaning normally soiled surfaces /laundry/dishes (g/l or ml/l). For RTU products 1 liter of product."),"")</f>
        <v>A gyártó által 1 liter, átlagosan szennyezett felület /ruha/ edény tisztítására alkalmas tisztítószeroldat elkészítéséhez ajánlott legnagyobb adag (g/l vagy ml/l). Használatra kész termékek esetében 1 liter használatra kész termék.</v>
      </c>
      <c r="F38" s="1025"/>
      <c r="G38" s="550"/>
      <c r="H38" s="498"/>
      <c r="I38" s="498"/>
      <c r="J38" s="498"/>
      <c r="K38" s="496"/>
      <c r="L38" s="705">
        <v>413</v>
      </c>
      <c r="M38" s="496"/>
      <c r="N38" s="496"/>
    </row>
    <row r="39" spans="1:14" ht="30" customHeight="1">
      <c r="A39" s="1013" t="str">
        <f>IF(Adatlap!$L$1=Fordítások!C3,Fordítások!C281,Fordítások!B281)</f>
        <v>A referenciaadag mértékegysége (válassza ki!)</v>
      </c>
      <c r="B39" s="1014"/>
      <c r="C39" s="233"/>
      <c r="D39" s="1024" t="str">
        <f>IF(Adatlap!L1=Fordítások!C3,IF(OR(C24=Fordítások!C243,C24=Fordítások!C245,C24=Fordítások!C247,C24=Fordítások!C247,C24=Fordítások!C249),"Hagyja üresen a mezőt!","Tisztítószer esetén válassza a 2.vagy 3., kézi mosogatószer esetén a 4. vagy 5., mosószer esetén a 6. vagy 7., gépi mosogatószer esetén a 8. vagy 9. választ! "),"")</f>
        <v xml:space="preserve">Tisztítószer esetén válassza a 2.vagy 3., kézi mosogatószer esetén a 4. vagy 5., mosószer esetén a 6. vagy 7., gépi mosogatószer esetén a 8. vagy 9. választ! </v>
      </c>
      <c r="E39" s="1025"/>
      <c r="F39" s="1025"/>
      <c r="G39" s="498"/>
      <c r="H39" s="498"/>
      <c r="I39" s="498"/>
      <c r="J39" s="498"/>
      <c r="K39" s="496"/>
      <c r="L39" s="707" t="s">
        <v>631</v>
      </c>
      <c r="M39" s="496"/>
      <c r="N39" s="496"/>
    </row>
    <row r="40" spans="1:14" ht="27" customHeight="1">
      <c r="A40" s="1013" t="str">
        <f>IF(Adatlap!$L$1=Fordítások!C3,Fordítások!C280,Fordítások!B280)</f>
        <v>Referenciaadag
(g/a feltételrendszerben megadott egység)</v>
      </c>
      <c r="B40" s="1014"/>
      <c r="C40" s="262">
        <f>IF(NOT(ISERROR(SEARCH("ml",C39,1))),C38*C28,C38)</f>
        <v>0</v>
      </c>
      <c r="D40" s="84"/>
      <c r="E40" s="84"/>
      <c r="F40" s="14"/>
      <c r="G40" s="498"/>
      <c r="H40" s="498"/>
      <c r="I40" s="498"/>
      <c r="J40" s="498"/>
      <c r="K40" s="496"/>
      <c r="L40" s="707" t="s">
        <v>833</v>
      </c>
      <c r="M40" s="496"/>
      <c r="N40" s="496"/>
    </row>
    <row r="41" spans="1:14" ht="15.75" customHeight="1">
      <c r="A41" s="1013" t="str">
        <f>IF(Adatlap!$L$1=Fordítások!C3,Fordítások!C305,Fordítások!B305)</f>
        <v>A referenciaadagra vonatkozó határérték:</v>
      </c>
      <c r="B41" s="1014"/>
      <c r="C41" s="235" t="e">
        <f>VLOOKUP(Termék!$C$24,Auswahldaten!$A$113:$H$137,8,FALSE)</f>
        <v>#N/A</v>
      </c>
      <c r="D41" s="84"/>
      <c r="E41" s="84"/>
      <c r="F41" s="14"/>
      <c r="G41" s="498"/>
      <c r="H41" s="498"/>
      <c r="I41" s="498"/>
      <c r="J41" s="498"/>
      <c r="K41" s="496"/>
      <c r="L41" s="707"/>
      <c r="M41" s="496"/>
      <c r="N41" s="496"/>
    </row>
    <row r="42" spans="1:14" ht="30" customHeight="1">
      <c r="A42" s="1013" t="str">
        <f>IF(Adatlap!$L$1=Fordítások!C3,Fordítások!C306,Fordítások!B306)</f>
        <v>A referenciaadagra vonatkozó határérték teljesül:</v>
      </c>
      <c r="B42" s="1014"/>
      <c r="C42" s="263" t="e">
        <f>IF(C40&lt;=C41,"ok","not ok")</f>
        <v>#N/A</v>
      </c>
      <c r="D42" s="84"/>
      <c r="E42" s="84"/>
      <c r="F42" s="14"/>
      <c r="G42" s="498"/>
      <c r="H42" s="498"/>
      <c r="I42" s="498"/>
      <c r="J42" s="498"/>
      <c r="K42" s="496"/>
      <c r="L42" s="707" t="s">
        <v>833</v>
      </c>
      <c r="M42" s="496"/>
      <c r="N42" s="496"/>
    </row>
    <row r="43" spans="1:14" ht="15.5">
      <c r="A43" s="14"/>
      <c r="B43" s="14"/>
      <c r="C43" s="54"/>
      <c r="D43" s="14"/>
      <c r="E43" s="14"/>
      <c r="F43" s="14"/>
      <c r="G43" s="498"/>
      <c r="H43" s="498"/>
      <c r="I43" s="498"/>
      <c r="J43" s="498"/>
      <c r="K43" s="496"/>
      <c r="M43" s="496"/>
      <c r="N43" s="496"/>
    </row>
    <row r="44" spans="1:14" ht="25.5" customHeight="1">
      <c r="A44" s="14"/>
      <c r="B44" s="1026" t="str">
        <f>IF(Adatlap!$L$1=Fordítások!C3,Fordítások!C53,Fordítások!B53)</f>
        <v>1) 1272/2008/EK rendelet az anyagok és keverékek osztályozásáról, címkézéséről és csomagolásáról, a 67/548/EGK és az 1999/45/EK irányelv módosításáról és hatályon kívül helyezéséről, valamint az 1907/2006/EK rendelet módosításáról</v>
      </c>
      <c r="C44" s="1026"/>
      <c r="D44" s="1026"/>
      <c r="E44" s="1026"/>
      <c r="F44" s="14"/>
      <c r="G44" s="504"/>
      <c r="H44" s="504"/>
      <c r="I44" s="504"/>
      <c r="J44" s="498"/>
      <c r="K44" s="496"/>
      <c r="L44" s="705"/>
      <c r="M44" s="496"/>
      <c r="N44" s="496"/>
    </row>
    <row r="45" spans="1:40" s="554" customFormat="1" ht="15.5">
      <c r="A45" s="551"/>
      <c r="B45" s="551"/>
      <c r="C45" s="551"/>
      <c r="D45" s="551"/>
      <c r="E45" s="551"/>
      <c r="F45" s="551"/>
      <c r="G45" s="552"/>
      <c r="H45" s="552"/>
      <c r="I45" s="552"/>
      <c r="J45" s="552"/>
      <c r="K45" s="553"/>
      <c r="L45" s="708"/>
      <c r="M45" s="553"/>
      <c r="N45" s="553"/>
      <c r="O45" s="525"/>
      <c r="P45" s="525"/>
      <c r="Q45" s="525"/>
      <c r="R45" s="525"/>
      <c r="S45" s="525"/>
      <c r="T45" s="525"/>
      <c r="U45" s="525"/>
      <c r="V45" s="525"/>
      <c r="W45" s="525"/>
      <c r="X45" s="525"/>
      <c r="Y45" s="525"/>
      <c r="Z45" s="523"/>
      <c r="AA45" s="523"/>
      <c r="AB45" s="523"/>
      <c r="AC45" s="523"/>
      <c r="AD45" s="523"/>
      <c r="AE45" s="523"/>
      <c r="AF45" s="523"/>
      <c r="AG45" s="523"/>
      <c r="AH45" s="523"/>
      <c r="AI45" s="523"/>
      <c r="AJ45" s="523"/>
      <c r="AK45" s="523"/>
      <c r="AL45" s="523"/>
      <c r="AM45" s="523"/>
      <c r="AN45" s="523"/>
    </row>
    <row r="46" spans="1:40" s="554" customFormat="1" ht="15.5">
      <c r="A46" s="551"/>
      <c r="B46" s="551"/>
      <c r="C46" s="551"/>
      <c r="D46" s="551"/>
      <c r="E46" s="551"/>
      <c r="F46" s="551"/>
      <c r="G46" s="552"/>
      <c r="H46" s="552"/>
      <c r="I46" s="552"/>
      <c r="J46" s="552"/>
      <c r="K46" s="553"/>
      <c r="L46" s="709"/>
      <c r="M46" s="553"/>
      <c r="N46" s="553"/>
      <c r="O46" s="525"/>
      <c r="P46" s="525"/>
      <c r="Q46" s="525"/>
      <c r="R46" s="525"/>
      <c r="S46" s="525"/>
      <c r="T46" s="525"/>
      <c r="U46" s="525"/>
      <c r="V46" s="525"/>
      <c r="W46" s="525"/>
      <c r="X46" s="525"/>
      <c r="Y46" s="525"/>
      <c r="Z46" s="523"/>
      <c r="AA46" s="523"/>
      <c r="AB46" s="523"/>
      <c r="AC46" s="523"/>
      <c r="AD46" s="523"/>
      <c r="AE46" s="523"/>
      <c r="AF46" s="523"/>
      <c r="AG46" s="523"/>
      <c r="AH46" s="523"/>
      <c r="AI46" s="523"/>
      <c r="AJ46" s="523"/>
      <c r="AK46" s="523"/>
      <c r="AL46" s="523"/>
      <c r="AM46" s="523"/>
      <c r="AN46" s="523"/>
    </row>
    <row r="47" spans="1:40" s="554" customFormat="1" ht="15.5">
      <c r="A47" s="551"/>
      <c r="B47" s="551"/>
      <c r="C47" s="551"/>
      <c r="D47" s="551"/>
      <c r="E47" s="551"/>
      <c r="F47" s="551"/>
      <c r="G47" s="552"/>
      <c r="H47" s="552"/>
      <c r="I47" s="552"/>
      <c r="J47" s="552"/>
      <c r="K47" s="553"/>
      <c r="L47" s="709"/>
      <c r="M47" s="553"/>
      <c r="N47" s="553"/>
      <c r="O47" s="525"/>
      <c r="P47" s="525"/>
      <c r="Q47" s="525"/>
      <c r="R47" s="525"/>
      <c r="S47" s="525"/>
      <c r="T47" s="525"/>
      <c r="U47" s="525"/>
      <c r="V47" s="525"/>
      <c r="W47" s="525"/>
      <c r="X47" s="525"/>
      <c r="Y47" s="525"/>
      <c r="Z47" s="523"/>
      <c r="AA47" s="523"/>
      <c r="AB47" s="523"/>
      <c r="AC47" s="523"/>
      <c r="AD47" s="523"/>
      <c r="AE47" s="523"/>
      <c r="AF47" s="523"/>
      <c r="AG47" s="523"/>
      <c r="AH47" s="523"/>
      <c r="AI47" s="523"/>
      <c r="AJ47" s="523"/>
      <c r="AK47" s="523"/>
      <c r="AL47" s="523"/>
      <c r="AM47" s="523"/>
      <c r="AN47" s="523"/>
    </row>
    <row r="48" spans="1:40" s="554" customFormat="1" ht="15.5">
      <c r="A48" s="551"/>
      <c r="B48" s="551"/>
      <c r="C48" s="551"/>
      <c r="D48" s="551"/>
      <c r="E48" s="551"/>
      <c r="F48" s="551"/>
      <c r="G48" s="552"/>
      <c r="H48" s="552"/>
      <c r="I48" s="552"/>
      <c r="J48" s="552"/>
      <c r="K48" s="553"/>
      <c r="L48" s="709"/>
      <c r="M48" s="553"/>
      <c r="N48" s="553"/>
      <c r="O48" s="525"/>
      <c r="P48" s="525"/>
      <c r="Q48" s="525"/>
      <c r="R48" s="525"/>
      <c r="S48" s="525"/>
      <c r="T48" s="525"/>
      <c r="U48" s="525"/>
      <c r="V48" s="525"/>
      <c r="W48" s="525"/>
      <c r="X48" s="525"/>
      <c r="Y48" s="525"/>
      <c r="Z48" s="523"/>
      <c r="AA48" s="523"/>
      <c r="AB48" s="523"/>
      <c r="AC48" s="523"/>
      <c r="AD48" s="523"/>
      <c r="AE48" s="523"/>
      <c r="AF48" s="523"/>
      <c r="AG48" s="523"/>
      <c r="AH48" s="523"/>
      <c r="AI48" s="523"/>
      <c r="AJ48" s="523"/>
      <c r="AK48" s="523"/>
      <c r="AL48" s="523"/>
      <c r="AM48" s="523"/>
      <c r="AN48" s="523"/>
    </row>
    <row r="49" spans="1:40" s="554" customFormat="1" ht="15.5">
      <c r="A49" s="551"/>
      <c r="B49" s="551"/>
      <c r="C49" s="551"/>
      <c r="D49" s="551"/>
      <c r="E49" s="551"/>
      <c r="F49" s="551"/>
      <c r="G49" s="552"/>
      <c r="H49" s="552"/>
      <c r="I49" s="552"/>
      <c r="J49" s="552"/>
      <c r="K49" s="553"/>
      <c r="L49" s="709"/>
      <c r="M49" s="553"/>
      <c r="N49" s="553"/>
      <c r="O49" s="525"/>
      <c r="P49" s="525"/>
      <c r="Q49" s="525"/>
      <c r="R49" s="525"/>
      <c r="S49" s="525"/>
      <c r="T49" s="525"/>
      <c r="U49" s="525"/>
      <c r="V49" s="525"/>
      <c r="W49" s="525"/>
      <c r="X49" s="525"/>
      <c r="Y49" s="525"/>
      <c r="Z49" s="523"/>
      <c r="AA49" s="523"/>
      <c r="AB49" s="523"/>
      <c r="AC49" s="523"/>
      <c r="AD49" s="523"/>
      <c r="AE49" s="523"/>
      <c r="AF49" s="523"/>
      <c r="AG49" s="523"/>
      <c r="AH49" s="523"/>
      <c r="AI49" s="523"/>
      <c r="AJ49" s="523"/>
      <c r="AK49" s="523"/>
      <c r="AL49" s="523"/>
      <c r="AM49" s="523"/>
      <c r="AN49" s="523"/>
    </row>
    <row r="50" spans="1:40" s="554" customFormat="1" ht="15.5">
      <c r="A50" s="551"/>
      <c r="B50" s="551"/>
      <c r="C50" s="551"/>
      <c r="D50" s="551"/>
      <c r="E50" s="551"/>
      <c r="F50" s="551"/>
      <c r="G50" s="552"/>
      <c r="H50" s="552"/>
      <c r="I50" s="552"/>
      <c r="J50" s="552"/>
      <c r="K50" s="553"/>
      <c r="L50" s="709"/>
      <c r="M50" s="553"/>
      <c r="N50" s="553"/>
      <c r="O50" s="525"/>
      <c r="P50" s="525"/>
      <c r="Q50" s="525"/>
      <c r="R50" s="525"/>
      <c r="S50" s="525"/>
      <c r="T50" s="525"/>
      <c r="U50" s="525"/>
      <c r="V50" s="525"/>
      <c r="W50" s="525"/>
      <c r="X50" s="525"/>
      <c r="Y50" s="525"/>
      <c r="Z50" s="523"/>
      <c r="AA50" s="523"/>
      <c r="AB50" s="523"/>
      <c r="AC50" s="523"/>
      <c r="AD50" s="523"/>
      <c r="AE50" s="523"/>
      <c r="AF50" s="523"/>
      <c r="AG50" s="523"/>
      <c r="AH50" s="523"/>
      <c r="AI50" s="523"/>
      <c r="AJ50" s="523"/>
      <c r="AK50" s="523"/>
      <c r="AL50" s="523"/>
      <c r="AM50" s="523"/>
      <c r="AN50" s="523"/>
    </row>
    <row r="51" spans="1:40" s="554" customFormat="1" ht="15.5">
      <c r="A51" s="551"/>
      <c r="B51" s="551"/>
      <c r="C51" s="551"/>
      <c r="D51" s="551"/>
      <c r="E51" s="551"/>
      <c r="F51" s="551"/>
      <c r="G51" s="552"/>
      <c r="H51" s="552"/>
      <c r="I51" s="552"/>
      <c r="J51" s="552"/>
      <c r="K51" s="553"/>
      <c r="L51" s="709"/>
      <c r="M51" s="553"/>
      <c r="N51" s="553"/>
      <c r="O51" s="525"/>
      <c r="P51" s="525"/>
      <c r="Q51" s="525"/>
      <c r="R51" s="525"/>
      <c r="S51" s="525"/>
      <c r="T51" s="525"/>
      <c r="U51" s="525"/>
      <c r="V51" s="525"/>
      <c r="W51" s="525"/>
      <c r="X51" s="525"/>
      <c r="Y51" s="525"/>
      <c r="Z51" s="523"/>
      <c r="AA51" s="523"/>
      <c r="AB51" s="523"/>
      <c r="AC51" s="523"/>
      <c r="AD51" s="523"/>
      <c r="AE51" s="523"/>
      <c r="AF51" s="523"/>
      <c r="AG51" s="523"/>
      <c r="AH51" s="523"/>
      <c r="AI51" s="523"/>
      <c r="AJ51" s="523"/>
      <c r="AK51" s="523"/>
      <c r="AL51" s="523"/>
      <c r="AM51" s="523"/>
      <c r="AN51" s="523"/>
    </row>
    <row r="52" spans="1:40" s="554" customFormat="1" ht="15.5">
      <c r="A52" s="551"/>
      <c r="B52" s="551"/>
      <c r="C52" s="551"/>
      <c r="D52" s="551"/>
      <c r="E52" s="551"/>
      <c r="F52" s="551"/>
      <c r="G52" s="552"/>
      <c r="H52" s="552"/>
      <c r="I52" s="552"/>
      <c r="J52" s="552"/>
      <c r="K52" s="553"/>
      <c r="L52" s="709"/>
      <c r="M52" s="553"/>
      <c r="N52" s="553"/>
      <c r="O52" s="525"/>
      <c r="P52" s="525"/>
      <c r="Q52" s="525"/>
      <c r="R52" s="525"/>
      <c r="S52" s="525"/>
      <c r="T52" s="525"/>
      <c r="U52" s="525"/>
      <c r="V52" s="525"/>
      <c r="W52" s="525"/>
      <c r="X52" s="525"/>
      <c r="Y52" s="525"/>
      <c r="Z52" s="523"/>
      <c r="AA52" s="523"/>
      <c r="AB52" s="523"/>
      <c r="AC52" s="523"/>
      <c r="AD52" s="523"/>
      <c r="AE52" s="523"/>
      <c r="AF52" s="523"/>
      <c r="AG52" s="523"/>
      <c r="AH52" s="523"/>
      <c r="AI52" s="523"/>
      <c r="AJ52" s="523"/>
      <c r="AK52" s="523"/>
      <c r="AL52" s="523"/>
      <c r="AM52" s="523"/>
      <c r="AN52" s="523"/>
    </row>
    <row r="53" spans="1:40" s="554" customFormat="1" ht="15.5">
      <c r="A53" s="551"/>
      <c r="B53" s="551"/>
      <c r="C53" s="551"/>
      <c r="D53" s="551"/>
      <c r="E53" s="551"/>
      <c r="F53" s="551"/>
      <c r="G53" s="552"/>
      <c r="H53" s="552"/>
      <c r="I53" s="552"/>
      <c r="J53" s="552"/>
      <c r="K53" s="553"/>
      <c r="L53" s="709"/>
      <c r="M53" s="553"/>
      <c r="N53" s="553"/>
      <c r="O53" s="525"/>
      <c r="P53" s="525"/>
      <c r="Q53" s="525"/>
      <c r="R53" s="525"/>
      <c r="S53" s="525"/>
      <c r="T53" s="525"/>
      <c r="U53" s="525"/>
      <c r="V53" s="525"/>
      <c r="W53" s="525"/>
      <c r="X53" s="525"/>
      <c r="Y53" s="525"/>
      <c r="Z53" s="523"/>
      <c r="AA53" s="523"/>
      <c r="AB53" s="523"/>
      <c r="AC53" s="523"/>
      <c r="AD53" s="523"/>
      <c r="AE53" s="523"/>
      <c r="AF53" s="523"/>
      <c r="AG53" s="523"/>
      <c r="AH53" s="523"/>
      <c r="AI53" s="523"/>
      <c r="AJ53" s="523"/>
      <c r="AK53" s="523"/>
      <c r="AL53" s="523"/>
      <c r="AM53" s="523"/>
      <c r="AN53" s="523"/>
    </row>
    <row r="54" spans="1:40" s="554" customFormat="1" ht="15.5">
      <c r="A54" s="551"/>
      <c r="B54" s="551"/>
      <c r="C54" s="551"/>
      <c r="D54" s="551"/>
      <c r="E54" s="551"/>
      <c r="F54" s="551"/>
      <c r="G54" s="552"/>
      <c r="H54" s="552"/>
      <c r="I54" s="552"/>
      <c r="J54" s="552"/>
      <c r="K54" s="553"/>
      <c r="L54" s="709"/>
      <c r="M54" s="553"/>
      <c r="N54" s="553"/>
      <c r="O54" s="525"/>
      <c r="P54" s="525"/>
      <c r="Q54" s="525"/>
      <c r="R54" s="525"/>
      <c r="S54" s="525"/>
      <c r="T54" s="525"/>
      <c r="U54" s="525"/>
      <c r="V54" s="525"/>
      <c r="W54" s="525"/>
      <c r="X54" s="525"/>
      <c r="Y54" s="525"/>
      <c r="Z54" s="523"/>
      <c r="AA54" s="523"/>
      <c r="AB54" s="523"/>
      <c r="AC54" s="523"/>
      <c r="AD54" s="523"/>
      <c r="AE54" s="523"/>
      <c r="AF54" s="523"/>
      <c r="AG54" s="523"/>
      <c r="AH54" s="523"/>
      <c r="AI54" s="523"/>
      <c r="AJ54" s="523"/>
      <c r="AK54" s="523"/>
      <c r="AL54" s="523"/>
      <c r="AM54" s="523"/>
      <c r="AN54" s="523"/>
    </row>
    <row r="55" spans="1:40" s="554" customFormat="1" ht="15.5">
      <c r="A55" s="551"/>
      <c r="B55" s="551"/>
      <c r="C55" s="551"/>
      <c r="D55" s="551"/>
      <c r="E55" s="551"/>
      <c r="F55" s="551"/>
      <c r="G55" s="552"/>
      <c r="H55" s="552"/>
      <c r="I55" s="552"/>
      <c r="J55" s="552"/>
      <c r="K55" s="553"/>
      <c r="L55" s="709"/>
      <c r="M55" s="553"/>
      <c r="N55" s="553"/>
      <c r="O55" s="525"/>
      <c r="P55" s="525"/>
      <c r="Q55" s="525"/>
      <c r="R55" s="525"/>
      <c r="S55" s="525"/>
      <c r="T55" s="525"/>
      <c r="U55" s="525"/>
      <c r="V55" s="525"/>
      <c r="W55" s="525"/>
      <c r="X55" s="525"/>
      <c r="Y55" s="525"/>
      <c r="Z55" s="523"/>
      <c r="AA55" s="523"/>
      <c r="AB55" s="523"/>
      <c r="AC55" s="523"/>
      <c r="AD55" s="523"/>
      <c r="AE55" s="523"/>
      <c r="AF55" s="523"/>
      <c r="AG55" s="523"/>
      <c r="AH55" s="523"/>
      <c r="AI55" s="523"/>
      <c r="AJ55" s="523"/>
      <c r="AK55" s="523"/>
      <c r="AL55" s="523"/>
      <c r="AM55" s="523"/>
      <c r="AN55" s="523"/>
    </row>
    <row r="56" spans="1:40" s="554" customFormat="1" ht="15.5">
      <c r="A56" s="551"/>
      <c r="B56" s="551"/>
      <c r="C56" s="551"/>
      <c r="D56" s="551"/>
      <c r="E56" s="551"/>
      <c r="F56" s="551"/>
      <c r="G56" s="552"/>
      <c r="H56" s="552"/>
      <c r="I56" s="552"/>
      <c r="J56" s="552"/>
      <c r="K56" s="553"/>
      <c r="L56" s="709"/>
      <c r="M56" s="553"/>
      <c r="N56" s="553"/>
      <c r="O56" s="525"/>
      <c r="P56" s="525"/>
      <c r="Q56" s="525"/>
      <c r="R56" s="525"/>
      <c r="S56" s="525"/>
      <c r="T56" s="525"/>
      <c r="U56" s="525"/>
      <c r="V56" s="525"/>
      <c r="W56" s="525"/>
      <c r="X56" s="525"/>
      <c r="Y56" s="525"/>
      <c r="Z56" s="523"/>
      <c r="AA56" s="523"/>
      <c r="AB56" s="523"/>
      <c r="AC56" s="523"/>
      <c r="AD56" s="523"/>
      <c r="AE56" s="523"/>
      <c r="AF56" s="523"/>
      <c r="AG56" s="523"/>
      <c r="AH56" s="523"/>
      <c r="AI56" s="523"/>
      <c r="AJ56" s="523"/>
      <c r="AK56" s="523"/>
      <c r="AL56" s="523"/>
      <c r="AM56" s="523"/>
      <c r="AN56" s="523"/>
    </row>
    <row r="57" spans="1:40" s="554" customFormat="1" ht="15.5">
      <c r="A57" s="551"/>
      <c r="B57" s="551"/>
      <c r="C57" s="551"/>
      <c r="D57" s="551"/>
      <c r="E57" s="551"/>
      <c r="F57" s="551"/>
      <c r="G57" s="552"/>
      <c r="H57" s="552"/>
      <c r="I57" s="552"/>
      <c r="J57" s="552"/>
      <c r="K57" s="553"/>
      <c r="L57" s="709"/>
      <c r="M57" s="553"/>
      <c r="N57" s="553"/>
      <c r="O57" s="525"/>
      <c r="P57" s="525"/>
      <c r="Q57" s="525"/>
      <c r="R57" s="525"/>
      <c r="S57" s="525"/>
      <c r="T57" s="525"/>
      <c r="U57" s="525"/>
      <c r="V57" s="525"/>
      <c r="W57" s="525"/>
      <c r="X57" s="525"/>
      <c r="Y57" s="525"/>
      <c r="Z57" s="523"/>
      <c r="AA57" s="523"/>
      <c r="AB57" s="523"/>
      <c r="AC57" s="523"/>
      <c r="AD57" s="523"/>
      <c r="AE57" s="523"/>
      <c r="AF57" s="523"/>
      <c r="AG57" s="523"/>
      <c r="AH57" s="523"/>
      <c r="AI57" s="523"/>
      <c r="AJ57" s="523"/>
      <c r="AK57" s="523"/>
      <c r="AL57" s="523"/>
      <c r="AM57" s="523"/>
      <c r="AN57" s="523"/>
    </row>
    <row r="58" spans="1:40" s="554" customFormat="1" ht="15.5">
      <c r="A58" s="551"/>
      <c r="B58" s="551"/>
      <c r="C58" s="551"/>
      <c r="D58" s="551"/>
      <c r="E58" s="551"/>
      <c r="F58" s="551"/>
      <c r="G58" s="552"/>
      <c r="H58" s="552"/>
      <c r="I58" s="552"/>
      <c r="J58" s="552"/>
      <c r="K58" s="553"/>
      <c r="L58" s="709"/>
      <c r="M58" s="553"/>
      <c r="N58" s="553"/>
      <c r="O58" s="525"/>
      <c r="P58" s="525"/>
      <c r="Q58" s="525"/>
      <c r="R58" s="525"/>
      <c r="S58" s="525"/>
      <c r="T58" s="525"/>
      <c r="U58" s="525"/>
      <c r="V58" s="525"/>
      <c r="W58" s="525"/>
      <c r="X58" s="525"/>
      <c r="Y58" s="525"/>
      <c r="Z58" s="523"/>
      <c r="AA58" s="523"/>
      <c r="AB58" s="523"/>
      <c r="AC58" s="523"/>
      <c r="AD58" s="523"/>
      <c r="AE58" s="523"/>
      <c r="AF58" s="523"/>
      <c r="AG58" s="523"/>
      <c r="AH58" s="523"/>
      <c r="AI58" s="523"/>
      <c r="AJ58" s="523"/>
      <c r="AK58" s="523"/>
      <c r="AL58" s="523"/>
      <c r="AM58" s="523"/>
      <c r="AN58" s="523"/>
    </row>
    <row r="59" spans="1:40" s="554" customFormat="1" ht="15.5">
      <c r="A59" s="551"/>
      <c r="B59" s="551"/>
      <c r="C59" s="551"/>
      <c r="D59" s="551"/>
      <c r="E59" s="551"/>
      <c r="F59" s="551"/>
      <c r="G59" s="552"/>
      <c r="H59" s="552"/>
      <c r="I59" s="552"/>
      <c r="J59" s="552"/>
      <c r="K59" s="553"/>
      <c r="L59" s="709"/>
      <c r="M59" s="553"/>
      <c r="N59" s="553"/>
      <c r="O59" s="525"/>
      <c r="P59" s="525"/>
      <c r="Q59" s="525"/>
      <c r="R59" s="525"/>
      <c r="S59" s="525"/>
      <c r="T59" s="525"/>
      <c r="U59" s="525"/>
      <c r="V59" s="525"/>
      <c r="W59" s="525"/>
      <c r="X59" s="525"/>
      <c r="Y59" s="525"/>
      <c r="Z59" s="523"/>
      <c r="AA59" s="523"/>
      <c r="AB59" s="523"/>
      <c r="AC59" s="523"/>
      <c r="AD59" s="523"/>
      <c r="AE59" s="523"/>
      <c r="AF59" s="523"/>
      <c r="AG59" s="523"/>
      <c r="AH59" s="523"/>
      <c r="AI59" s="523"/>
      <c r="AJ59" s="523"/>
      <c r="AK59" s="523"/>
      <c r="AL59" s="523"/>
      <c r="AM59" s="523"/>
      <c r="AN59" s="523"/>
    </row>
    <row r="60" spans="1:40" s="554" customFormat="1" ht="15.5">
      <c r="A60" s="551"/>
      <c r="B60" s="551"/>
      <c r="C60" s="551"/>
      <c r="D60" s="551"/>
      <c r="E60" s="551"/>
      <c r="F60" s="551"/>
      <c r="G60" s="552"/>
      <c r="H60" s="552"/>
      <c r="I60" s="552"/>
      <c r="J60" s="552"/>
      <c r="K60" s="553"/>
      <c r="L60" s="709"/>
      <c r="M60" s="553"/>
      <c r="N60" s="553"/>
      <c r="O60" s="525"/>
      <c r="P60" s="525"/>
      <c r="Q60" s="525"/>
      <c r="R60" s="525"/>
      <c r="S60" s="525"/>
      <c r="T60" s="525"/>
      <c r="U60" s="525"/>
      <c r="V60" s="525"/>
      <c r="W60" s="525"/>
      <c r="X60" s="525"/>
      <c r="Y60" s="525"/>
      <c r="Z60" s="523"/>
      <c r="AA60" s="523"/>
      <c r="AB60" s="523"/>
      <c r="AC60" s="523"/>
      <c r="AD60" s="523"/>
      <c r="AE60" s="523"/>
      <c r="AF60" s="523"/>
      <c r="AG60" s="523"/>
      <c r="AH60" s="523"/>
      <c r="AI60" s="523"/>
      <c r="AJ60" s="523"/>
      <c r="AK60" s="523"/>
      <c r="AL60" s="523"/>
      <c r="AM60" s="523"/>
      <c r="AN60" s="523"/>
    </row>
    <row r="61" spans="1:40" s="554" customFormat="1" ht="15.5">
      <c r="A61" s="551"/>
      <c r="B61" s="551"/>
      <c r="C61" s="551"/>
      <c r="D61" s="551"/>
      <c r="E61" s="551"/>
      <c r="F61" s="551"/>
      <c r="G61" s="552"/>
      <c r="H61" s="552"/>
      <c r="I61" s="552"/>
      <c r="J61" s="552"/>
      <c r="K61" s="553"/>
      <c r="L61" s="709"/>
      <c r="M61" s="553"/>
      <c r="N61" s="553"/>
      <c r="O61" s="525"/>
      <c r="P61" s="525"/>
      <c r="Q61" s="525"/>
      <c r="R61" s="525"/>
      <c r="S61" s="525"/>
      <c r="T61" s="525"/>
      <c r="U61" s="525"/>
      <c r="V61" s="525"/>
      <c r="W61" s="525"/>
      <c r="X61" s="525"/>
      <c r="Y61" s="525"/>
      <c r="Z61" s="523"/>
      <c r="AA61" s="523"/>
      <c r="AB61" s="523"/>
      <c r="AC61" s="523"/>
      <c r="AD61" s="523"/>
      <c r="AE61" s="523"/>
      <c r="AF61" s="523"/>
      <c r="AG61" s="523"/>
      <c r="AH61" s="523"/>
      <c r="AI61" s="523"/>
      <c r="AJ61" s="523"/>
      <c r="AK61" s="523"/>
      <c r="AL61" s="523"/>
      <c r="AM61" s="523"/>
      <c r="AN61" s="523"/>
    </row>
    <row r="62" spans="1:40" s="554" customFormat="1" ht="15.5">
      <c r="A62" s="551"/>
      <c r="B62" s="551"/>
      <c r="C62" s="551"/>
      <c r="D62" s="551"/>
      <c r="E62" s="551"/>
      <c r="F62" s="551"/>
      <c r="G62" s="552"/>
      <c r="H62" s="552"/>
      <c r="I62" s="552"/>
      <c r="J62" s="552"/>
      <c r="K62" s="553"/>
      <c r="L62" s="709"/>
      <c r="M62" s="553"/>
      <c r="N62" s="553"/>
      <c r="O62" s="525"/>
      <c r="P62" s="525"/>
      <c r="Q62" s="525"/>
      <c r="R62" s="525"/>
      <c r="S62" s="525"/>
      <c r="T62" s="525"/>
      <c r="U62" s="525"/>
      <c r="V62" s="525"/>
      <c r="W62" s="525"/>
      <c r="X62" s="525"/>
      <c r="Y62" s="525"/>
      <c r="Z62" s="523"/>
      <c r="AA62" s="523"/>
      <c r="AB62" s="523"/>
      <c r="AC62" s="523"/>
      <c r="AD62" s="523"/>
      <c r="AE62" s="523"/>
      <c r="AF62" s="523"/>
      <c r="AG62" s="523"/>
      <c r="AH62" s="523"/>
      <c r="AI62" s="523"/>
      <c r="AJ62" s="523"/>
      <c r="AK62" s="523"/>
      <c r="AL62" s="523"/>
      <c r="AM62" s="523"/>
      <c r="AN62" s="523"/>
    </row>
    <row r="63" spans="1:40" s="554" customFormat="1" ht="15.5">
      <c r="A63" s="551"/>
      <c r="B63" s="551"/>
      <c r="C63" s="551"/>
      <c r="D63" s="551"/>
      <c r="E63" s="551"/>
      <c r="F63" s="551"/>
      <c r="G63" s="552"/>
      <c r="H63" s="552"/>
      <c r="I63" s="552"/>
      <c r="J63" s="552"/>
      <c r="K63" s="553"/>
      <c r="L63" s="709"/>
      <c r="M63" s="553"/>
      <c r="N63" s="553"/>
      <c r="O63" s="525"/>
      <c r="P63" s="525"/>
      <c r="Q63" s="525"/>
      <c r="R63" s="525"/>
      <c r="S63" s="525"/>
      <c r="T63" s="525"/>
      <c r="U63" s="525"/>
      <c r="V63" s="525"/>
      <c r="W63" s="525"/>
      <c r="X63" s="525"/>
      <c r="Y63" s="525"/>
      <c r="Z63" s="523"/>
      <c r="AA63" s="523"/>
      <c r="AB63" s="523"/>
      <c r="AC63" s="523"/>
      <c r="AD63" s="523"/>
      <c r="AE63" s="523"/>
      <c r="AF63" s="523"/>
      <c r="AG63" s="523"/>
      <c r="AH63" s="523"/>
      <c r="AI63" s="523"/>
      <c r="AJ63" s="523"/>
      <c r="AK63" s="523"/>
      <c r="AL63" s="523"/>
      <c r="AM63" s="523"/>
      <c r="AN63" s="523"/>
    </row>
    <row r="64" spans="1:40" s="554" customFormat="1" ht="15.5">
      <c r="A64" s="551"/>
      <c r="B64" s="551"/>
      <c r="C64" s="551"/>
      <c r="D64" s="551"/>
      <c r="E64" s="551"/>
      <c r="F64" s="551"/>
      <c r="G64" s="552"/>
      <c r="H64" s="552"/>
      <c r="I64" s="552"/>
      <c r="J64" s="552"/>
      <c r="K64" s="553"/>
      <c r="L64" s="709"/>
      <c r="M64" s="553"/>
      <c r="N64" s="553"/>
      <c r="O64" s="525"/>
      <c r="P64" s="525"/>
      <c r="Q64" s="525"/>
      <c r="R64" s="525"/>
      <c r="S64" s="525"/>
      <c r="T64" s="525"/>
      <c r="U64" s="525"/>
      <c r="V64" s="525"/>
      <c r="W64" s="525"/>
      <c r="X64" s="525"/>
      <c r="Y64" s="525"/>
      <c r="Z64" s="523"/>
      <c r="AA64" s="523"/>
      <c r="AB64" s="523"/>
      <c r="AC64" s="523"/>
      <c r="AD64" s="523"/>
      <c r="AE64" s="523"/>
      <c r="AF64" s="523"/>
      <c r="AG64" s="523"/>
      <c r="AH64" s="523"/>
      <c r="AI64" s="523"/>
      <c r="AJ64" s="523"/>
      <c r="AK64" s="523"/>
      <c r="AL64" s="523"/>
      <c r="AM64" s="523"/>
      <c r="AN64" s="523"/>
    </row>
    <row r="65" spans="1:40" s="554" customFormat="1" ht="15.5">
      <c r="A65" s="551"/>
      <c r="B65" s="551"/>
      <c r="C65" s="551"/>
      <c r="D65" s="551"/>
      <c r="E65" s="551"/>
      <c r="F65" s="551"/>
      <c r="G65" s="552"/>
      <c r="H65" s="552"/>
      <c r="I65" s="552"/>
      <c r="J65" s="552"/>
      <c r="K65" s="553"/>
      <c r="L65" s="709"/>
      <c r="M65" s="553"/>
      <c r="N65" s="553"/>
      <c r="O65" s="525"/>
      <c r="P65" s="525"/>
      <c r="Q65" s="525"/>
      <c r="R65" s="525"/>
      <c r="S65" s="525"/>
      <c r="T65" s="525"/>
      <c r="U65" s="525"/>
      <c r="V65" s="525"/>
      <c r="W65" s="525"/>
      <c r="X65" s="525"/>
      <c r="Y65" s="525"/>
      <c r="Z65" s="523"/>
      <c r="AA65" s="523"/>
      <c r="AB65" s="523"/>
      <c r="AC65" s="523"/>
      <c r="AD65" s="523"/>
      <c r="AE65" s="523"/>
      <c r="AF65" s="523"/>
      <c r="AG65" s="523"/>
      <c r="AH65" s="523"/>
      <c r="AI65" s="523"/>
      <c r="AJ65" s="523"/>
      <c r="AK65" s="523"/>
      <c r="AL65" s="523"/>
      <c r="AM65" s="523"/>
      <c r="AN65" s="523"/>
    </row>
    <row r="66" spans="1:40" s="554" customFormat="1" ht="15.5">
      <c r="A66" s="551"/>
      <c r="B66" s="551"/>
      <c r="C66" s="551"/>
      <c r="D66" s="551"/>
      <c r="E66" s="551"/>
      <c r="F66" s="551"/>
      <c r="G66" s="552"/>
      <c r="H66" s="552"/>
      <c r="I66" s="552"/>
      <c r="J66" s="552"/>
      <c r="K66" s="553"/>
      <c r="L66" s="709"/>
      <c r="M66" s="553"/>
      <c r="N66" s="553"/>
      <c r="O66" s="525"/>
      <c r="P66" s="525"/>
      <c r="Q66" s="525"/>
      <c r="R66" s="525"/>
      <c r="S66" s="525"/>
      <c r="T66" s="525"/>
      <c r="U66" s="525"/>
      <c r="V66" s="525"/>
      <c r="W66" s="525"/>
      <c r="X66" s="525"/>
      <c r="Y66" s="525"/>
      <c r="Z66" s="523"/>
      <c r="AA66" s="523"/>
      <c r="AB66" s="523"/>
      <c r="AC66" s="523"/>
      <c r="AD66" s="523"/>
      <c r="AE66" s="523"/>
      <c r="AF66" s="523"/>
      <c r="AG66" s="523"/>
      <c r="AH66" s="523"/>
      <c r="AI66" s="523"/>
      <c r="AJ66" s="523"/>
      <c r="AK66" s="523"/>
      <c r="AL66" s="523"/>
      <c r="AM66" s="523"/>
      <c r="AN66" s="523"/>
    </row>
    <row r="67" spans="1:40" s="554" customFormat="1" ht="15.5">
      <c r="A67" s="551"/>
      <c r="B67" s="551"/>
      <c r="C67" s="551"/>
      <c r="D67" s="551"/>
      <c r="E67" s="551"/>
      <c r="F67" s="551"/>
      <c r="G67" s="552"/>
      <c r="H67" s="552"/>
      <c r="I67" s="552"/>
      <c r="J67" s="552"/>
      <c r="K67" s="553"/>
      <c r="L67" s="709"/>
      <c r="M67" s="553"/>
      <c r="N67" s="553"/>
      <c r="O67" s="525"/>
      <c r="P67" s="525"/>
      <c r="Q67" s="525"/>
      <c r="R67" s="525"/>
      <c r="S67" s="525"/>
      <c r="T67" s="525"/>
      <c r="U67" s="525"/>
      <c r="V67" s="525"/>
      <c r="W67" s="525"/>
      <c r="X67" s="525"/>
      <c r="Y67" s="525"/>
      <c r="Z67" s="523"/>
      <c r="AA67" s="523"/>
      <c r="AB67" s="523"/>
      <c r="AC67" s="523"/>
      <c r="AD67" s="523"/>
      <c r="AE67" s="523"/>
      <c r="AF67" s="523"/>
      <c r="AG67" s="523"/>
      <c r="AH67" s="523"/>
      <c r="AI67" s="523"/>
      <c r="AJ67" s="523"/>
      <c r="AK67" s="523"/>
      <c r="AL67" s="523"/>
      <c r="AM67" s="523"/>
      <c r="AN67" s="523"/>
    </row>
    <row r="68" spans="1:40" s="554" customFormat="1" ht="15.5">
      <c r="A68" s="551"/>
      <c r="B68" s="551"/>
      <c r="C68" s="551"/>
      <c r="D68" s="551"/>
      <c r="E68" s="551"/>
      <c r="F68" s="551"/>
      <c r="G68" s="552"/>
      <c r="H68" s="552"/>
      <c r="I68" s="552"/>
      <c r="J68" s="552"/>
      <c r="K68" s="553"/>
      <c r="L68" s="709"/>
      <c r="M68" s="553"/>
      <c r="N68" s="553"/>
      <c r="O68" s="525"/>
      <c r="P68" s="525"/>
      <c r="Q68" s="525"/>
      <c r="R68" s="525"/>
      <c r="S68" s="525"/>
      <c r="T68" s="525"/>
      <c r="U68" s="525"/>
      <c r="V68" s="525"/>
      <c r="W68" s="525"/>
      <c r="X68" s="525"/>
      <c r="Y68" s="525"/>
      <c r="Z68" s="523"/>
      <c r="AA68" s="523"/>
      <c r="AB68" s="523"/>
      <c r="AC68" s="523"/>
      <c r="AD68" s="523"/>
      <c r="AE68" s="523"/>
      <c r="AF68" s="523"/>
      <c r="AG68" s="523"/>
      <c r="AH68" s="523"/>
      <c r="AI68" s="523"/>
      <c r="AJ68" s="523"/>
      <c r="AK68" s="523"/>
      <c r="AL68" s="523"/>
      <c r="AM68" s="523"/>
      <c r="AN68" s="523"/>
    </row>
    <row r="69" spans="1:40" s="554" customFormat="1" ht="15.5">
      <c r="A69" s="551"/>
      <c r="B69" s="551"/>
      <c r="C69" s="551"/>
      <c r="D69" s="551"/>
      <c r="E69" s="551"/>
      <c r="F69" s="551"/>
      <c r="G69" s="552"/>
      <c r="H69" s="552"/>
      <c r="I69" s="552"/>
      <c r="J69" s="552"/>
      <c r="K69" s="553"/>
      <c r="L69" s="709"/>
      <c r="M69" s="553"/>
      <c r="N69" s="553"/>
      <c r="O69" s="525"/>
      <c r="P69" s="525"/>
      <c r="Q69" s="525"/>
      <c r="R69" s="525"/>
      <c r="S69" s="525"/>
      <c r="T69" s="525"/>
      <c r="U69" s="525"/>
      <c r="V69" s="525"/>
      <c r="W69" s="525"/>
      <c r="X69" s="525"/>
      <c r="Y69" s="525"/>
      <c r="Z69" s="523"/>
      <c r="AA69" s="523"/>
      <c r="AB69" s="523"/>
      <c r="AC69" s="523"/>
      <c r="AD69" s="523"/>
      <c r="AE69" s="523"/>
      <c r="AF69" s="523"/>
      <c r="AG69" s="523"/>
      <c r="AH69" s="523"/>
      <c r="AI69" s="523"/>
      <c r="AJ69" s="523"/>
      <c r="AK69" s="523"/>
      <c r="AL69" s="523"/>
      <c r="AM69" s="523"/>
      <c r="AN69" s="523"/>
    </row>
    <row r="70" spans="1:40" s="554" customFormat="1" ht="15.5">
      <c r="A70" s="551"/>
      <c r="B70" s="551"/>
      <c r="C70" s="551"/>
      <c r="D70" s="551"/>
      <c r="E70" s="551"/>
      <c r="F70" s="551"/>
      <c r="G70" s="552"/>
      <c r="H70" s="552"/>
      <c r="I70" s="552"/>
      <c r="J70" s="552"/>
      <c r="K70" s="553"/>
      <c r="L70" s="709"/>
      <c r="M70" s="553"/>
      <c r="N70" s="553"/>
      <c r="O70" s="525"/>
      <c r="P70" s="525"/>
      <c r="Q70" s="525"/>
      <c r="R70" s="525"/>
      <c r="S70" s="525"/>
      <c r="T70" s="525"/>
      <c r="U70" s="525"/>
      <c r="V70" s="525"/>
      <c r="W70" s="525"/>
      <c r="X70" s="525"/>
      <c r="Y70" s="525"/>
      <c r="Z70" s="523"/>
      <c r="AA70" s="523"/>
      <c r="AB70" s="523"/>
      <c r="AC70" s="523"/>
      <c r="AD70" s="523"/>
      <c r="AE70" s="523"/>
      <c r="AF70" s="523"/>
      <c r="AG70" s="523"/>
      <c r="AH70" s="523"/>
      <c r="AI70" s="523"/>
      <c r="AJ70" s="523"/>
      <c r="AK70" s="523"/>
      <c r="AL70" s="523"/>
      <c r="AM70" s="523"/>
      <c r="AN70" s="523"/>
    </row>
    <row r="71" spans="1:40" s="554" customFormat="1" ht="15.5">
      <c r="A71" s="551"/>
      <c r="B71" s="551"/>
      <c r="C71" s="551"/>
      <c r="D71" s="551"/>
      <c r="E71" s="551"/>
      <c r="F71" s="551"/>
      <c r="G71" s="552"/>
      <c r="H71" s="552"/>
      <c r="I71" s="552"/>
      <c r="J71" s="552"/>
      <c r="K71" s="553"/>
      <c r="L71" s="709"/>
      <c r="M71" s="553"/>
      <c r="N71" s="553"/>
      <c r="O71" s="525"/>
      <c r="P71" s="525"/>
      <c r="Q71" s="525"/>
      <c r="R71" s="525"/>
      <c r="S71" s="525"/>
      <c r="T71" s="525"/>
      <c r="U71" s="525"/>
      <c r="V71" s="525"/>
      <c r="W71" s="525"/>
      <c r="X71" s="525"/>
      <c r="Y71" s="525"/>
      <c r="Z71" s="523"/>
      <c r="AA71" s="523"/>
      <c r="AB71" s="523"/>
      <c r="AC71" s="523"/>
      <c r="AD71" s="523"/>
      <c r="AE71" s="523"/>
      <c r="AF71" s="523"/>
      <c r="AG71" s="523"/>
      <c r="AH71" s="523"/>
      <c r="AI71" s="523"/>
      <c r="AJ71" s="523"/>
      <c r="AK71" s="523"/>
      <c r="AL71" s="523"/>
      <c r="AM71" s="523"/>
      <c r="AN71" s="523"/>
    </row>
    <row r="72" spans="1:40" s="554" customFormat="1" ht="15.5">
      <c r="A72" s="555"/>
      <c r="B72" s="555"/>
      <c r="C72" s="555"/>
      <c r="D72" s="555"/>
      <c r="E72" s="555"/>
      <c r="F72" s="555"/>
      <c r="G72" s="556"/>
      <c r="H72" s="556"/>
      <c r="I72" s="556"/>
      <c r="J72" s="553"/>
      <c r="K72" s="553"/>
      <c r="L72" s="709"/>
      <c r="M72" s="553"/>
      <c r="N72" s="553"/>
      <c r="O72" s="525"/>
      <c r="P72" s="525"/>
      <c r="Q72" s="525"/>
      <c r="R72" s="525"/>
      <c r="S72" s="525"/>
      <c r="T72" s="525"/>
      <c r="U72" s="525"/>
      <c r="V72" s="525"/>
      <c r="W72" s="525"/>
      <c r="X72" s="525"/>
      <c r="Y72" s="525"/>
      <c r="Z72" s="523"/>
      <c r="AA72" s="523"/>
      <c r="AB72" s="523"/>
      <c r="AC72" s="523"/>
      <c r="AD72" s="523"/>
      <c r="AE72" s="523"/>
      <c r="AF72" s="523"/>
      <c r="AG72" s="523"/>
      <c r="AH72" s="523"/>
      <c r="AI72" s="523"/>
      <c r="AJ72" s="523"/>
      <c r="AK72" s="523"/>
      <c r="AL72" s="523"/>
      <c r="AM72" s="523"/>
      <c r="AN72" s="523"/>
    </row>
    <row r="73" spans="10:14" ht="15.5">
      <c r="J73" s="496"/>
      <c r="K73" s="496"/>
      <c r="L73" s="704"/>
      <c r="M73" s="496"/>
      <c r="N73" s="496"/>
    </row>
    <row r="74" spans="10:14" ht="15.5">
      <c r="J74" s="496"/>
      <c r="K74" s="496"/>
      <c r="L74" s="704"/>
      <c r="M74" s="496"/>
      <c r="N74" s="496"/>
    </row>
    <row r="75" spans="10:14" ht="15.5">
      <c r="J75" s="496"/>
      <c r="K75" s="496"/>
      <c r="L75" s="704"/>
      <c r="M75" s="496"/>
      <c r="N75" s="496"/>
    </row>
    <row r="76" spans="10:14" ht="15.5">
      <c r="J76" s="496"/>
      <c r="K76" s="496"/>
      <c r="L76" s="704"/>
      <c r="M76" s="496"/>
      <c r="N76" s="496"/>
    </row>
    <row r="77" spans="10:14" ht="15.5">
      <c r="J77" s="496"/>
      <c r="K77" s="496"/>
      <c r="L77" s="704"/>
      <c r="M77" s="496"/>
      <c r="N77" s="496"/>
    </row>
    <row r="78" spans="10:14" ht="15.5">
      <c r="J78" s="496"/>
      <c r="K78" s="496"/>
      <c r="L78" s="704"/>
      <c r="M78" s="496"/>
      <c r="N78" s="496"/>
    </row>
    <row r="79" spans="10:14" ht="15.5">
      <c r="J79" s="496"/>
      <c r="K79" s="496"/>
      <c r="L79" s="704"/>
      <c r="M79" s="496"/>
      <c r="N79" s="496"/>
    </row>
    <row r="80" spans="10:14" ht="15.5">
      <c r="J80" s="496"/>
      <c r="K80" s="496"/>
      <c r="L80" s="704"/>
      <c r="M80" s="496"/>
      <c r="N80" s="496"/>
    </row>
    <row r="81" spans="10:14" ht="15.5">
      <c r="J81" s="496"/>
      <c r="K81" s="496"/>
      <c r="L81" s="704"/>
      <c r="M81" s="496"/>
      <c r="N81" s="496"/>
    </row>
    <row r="82" spans="10:14" ht="15.5">
      <c r="J82" s="496"/>
      <c r="K82" s="496"/>
      <c r="M82" s="496"/>
      <c r="N82" s="496"/>
    </row>
    <row r="83" spans="10:14" ht="15.5">
      <c r="J83" s="496"/>
      <c r="K83" s="496"/>
      <c r="M83" s="496"/>
      <c r="N83" s="496"/>
    </row>
    <row r="84" spans="10:14" ht="15.5">
      <c r="J84" s="496"/>
      <c r="K84" s="496"/>
      <c r="M84" s="496"/>
      <c r="N84" s="496"/>
    </row>
    <row r="85" spans="10:14" ht="15.5">
      <c r="J85" s="496"/>
      <c r="K85" s="496"/>
      <c r="M85" s="496"/>
      <c r="N85" s="496"/>
    </row>
    <row r="86" spans="10:14" ht="15.5">
      <c r="J86" s="496"/>
      <c r="K86" s="496"/>
      <c r="M86" s="496"/>
      <c r="N86" s="496"/>
    </row>
    <row r="87" spans="10:14" ht="15.5">
      <c r="J87" s="496"/>
      <c r="K87" s="496"/>
      <c r="M87" s="496"/>
      <c r="N87" s="496"/>
    </row>
  </sheetData>
  <sheetProtection algorithmName="SHA-512" hashValue="j26ichlPjOIdfJPL+DD7/Hvd44nNoOFqWuK52B8qOuqStd6vPYJG0Ibvr//y2hJyqNg9nNYoqASQy1hP5KTyUA==" saltValue="DEZ2oP25Q7sut3+pybBj6w==" spinCount="100000" sheet="1" objects="1" scenarios="1" selectLockedCells="1"/>
  <mergeCells count="62">
    <mergeCell ref="G1:I1"/>
    <mergeCell ref="A1:B1"/>
    <mergeCell ref="C1:E1"/>
    <mergeCell ref="E38:F38"/>
    <mergeCell ref="D31:F31"/>
    <mergeCell ref="A28:B28"/>
    <mergeCell ref="A13:B13"/>
    <mergeCell ref="A14:B14"/>
    <mergeCell ref="A15:B15"/>
    <mergeCell ref="A16:B16"/>
    <mergeCell ref="A17:B17"/>
    <mergeCell ref="A9:B9"/>
    <mergeCell ref="A10:B10"/>
    <mergeCell ref="C9:E9"/>
    <mergeCell ref="A11:B11"/>
    <mergeCell ref="A12:B12"/>
    <mergeCell ref="C6:E6"/>
    <mergeCell ref="C7:E7"/>
    <mergeCell ref="C8:E8"/>
    <mergeCell ref="D39:F39"/>
    <mergeCell ref="B44:E44"/>
    <mergeCell ref="A18:B18"/>
    <mergeCell ref="A19:B19"/>
    <mergeCell ref="A25:B25"/>
    <mergeCell ref="C25:E25"/>
    <mergeCell ref="A40:B40"/>
    <mergeCell ref="A20:B20"/>
    <mergeCell ref="A21:B21"/>
    <mergeCell ref="A22:B22"/>
    <mergeCell ref="A24:B24"/>
    <mergeCell ref="C24:E24"/>
    <mergeCell ref="C22:E22"/>
    <mergeCell ref="A37:B37"/>
    <mergeCell ref="A32:B32"/>
    <mergeCell ref="A33:B33"/>
    <mergeCell ref="A6:B6"/>
    <mergeCell ref="A7:B7"/>
    <mergeCell ref="A8:B8"/>
    <mergeCell ref="A26:B26"/>
    <mergeCell ref="A27:B27"/>
    <mergeCell ref="A34:B34"/>
    <mergeCell ref="A42:B42"/>
    <mergeCell ref="A41:B41"/>
    <mergeCell ref="C11:E11"/>
    <mergeCell ref="C12:E12"/>
    <mergeCell ref="C13:E13"/>
    <mergeCell ref="C14:E14"/>
    <mergeCell ref="C19:E19"/>
    <mergeCell ref="C20:E20"/>
    <mergeCell ref="C21:E21"/>
    <mergeCell ref="A38:B38"/>
    <mergeCell ref="A30:B30"/>
    <mergeCell ref="A31:B31"/>
    <mergeCell ref="A29:B29"/>
    <mergeCell ref="A39:B39"/>
    <mergeCell ref="A35:B35"/>
    <mergeCell ref="A36:B36"/>
    <mergeCell ref="C10:E10"/>
    <mergeCell ref="C15:E15"/>
    <mergeCell ref="C16:E16"/>
    <mergeCell ref="C17:E17"/>
    <mergeCell ref="C18:E18"/>
  </mergeCells>
  <conditionalFormatting sqref="C5:I5">
    <cfRule type="expression" priority="14" dxfId="76">
      <formula>$B5=""</formula>
    </cfRule>
  </conditionalFormatting>
  <conditionalFormatting sqref="C27">
    <cfRule type="expression" priority="13" dxfId="619">
      <formula>SUMPRODUCT(ISNUMBER(FIND($L$15:$L$40,C27))*1)&gt;0</formula>
    </cfRule>
  </conditionalFormatting>
  <conditionalFormatting sqref="C42">
    <cfRule type="expression" priority="2" dxfId="683">
      <formula>ISERROR($C$42)</formula>
    </cfRule>
    <cfRule type="beginsWith" priority="11" dxfId="537" operator="beginsWith" text="not">
      <formula>LEFT(C42,LEN("not"))="not"</formula>
    </cfRule>
    <cfRule type="beginsWith" priority="12" dxfId="536" operator="beginsWith" text="ok">
      <formula>LEFT(C42,LEN("ok"))="ok"</formula>
    </cfRule>
  </conditionalFormatting>
  <conditionalFormatting sqref="C40">
    <cfRule type="expression" priority="4" dxfId="236">
      <formula>ISERROR($C$40)</formula>
    </cfRule>
  </conditionalFormatting>
  <conditionalFormatting sqref="C41">
    <cfRule type="expression" priority="3" dxfId="683">
      <formula>ISERROR($C$41)</formula>
    </cfRule>
  </conditionalFormatting>
  <conditionalFormatting sqref="C38">
    <cfRule type="expression" priority="1" dxfId="76">
      <formula>$C$38=1000</formula>
    </cfRule>
  </conditionalFormatting>
  <conditionalFormatting sqref="C28">
    <cfRule type="expression" priority="10" dxfId="681">
      <formula>OR($C$26=Fordítások!$C$179,$C$26=Fordítások!$B$179)</formula>
    </cfRule>
  </conditionalFormatting>
  <conditionalFormatting sqref="C26">
    <cfRule type="expression" priority="9" dxfId="680">
      <formula>OR(AND($C$24=Fordítások!$C$256,$C$26=Fordítások!$C$179),AND($C$24=Fordítások!$C$258,$C$26=Fordítások!$C$179),AND($C$24=Fordítások!$C$255,$C$26=Fordítások!$C$180),AND($C$24=Fordítások!$C$257,$C$26=Fordítások!$C$180))</formula>
    </cfRule>
  </conditionalFormatting>
  <dataValidations count="10">
    <dataValidation type="list" allowBlank="1" showInputMessage="1" showErrorMessage="1" sqref="C5">
      <formula1>Sprache</formula1>
    </dataValidation>
    <dataValidation type="list" allowBlank="1" showInputMessage="1" showErrorMessage="1" sqref="C26 F26">
      <formula1>Produktform</formula1>
    </dataValidation>
    <dataValidation type="list" allowBlank="1" showInputMessage="1" showErrorMessage="1" errorTitle="please select" sqref="C31">
      <formula1>Privat</formula1>
    </dataValidation>
    <dataValidation type="list" allowBlank="1" showInputMessage="1" showErrorMessage="1" errorTitle="please select" sqref="C32:C37 F32:F37">
      <formula1>janein</formula1>
    </dataValidation>
    <dataValidation type="list" allowBlank="1" showInputMessage="1" showErrorMessage="1" errorTitle="please select" sqref="C39">
      <formula1>Einheit</formula1>
    </dataValidation>
    <dataValidation allowBlank="1" showInputMessage="1" showErrorMessage="1" prompt="Kérjük, adjon meg minden termékváltozatot.  A (különböző csomagolásban vagy térfogattal vagy más néven forgalmazott változatok mind külön sorba kerüljenek.   /   Please, enter each every variant that is different in packaging, volume of product name." sqref="C8:E22"/>
    <dataValidation allowBlank="1" showInputMessage="1" showErrorMessage="1" promptTitle="Referenciaadag" sqref="C38"/>
    <dataValidation allowBlank="1" showInputMessage="1" showErrorMessage="1" errorTitle="Please select" sqref="F24 C1:E1"/>
    <dataValidation type="list" allowBlank="1" showInputMessage="1" showErrorMessage="1" errorTitle="Please select" sqref="I3">
      <formula1>Auswahldaten!$A$105:$A$110</formula1>
    </dataValidation>
    <dataValidation type="list" allowBlank="1" showInputMessage="1" showErrorMessage="1" sqref="C24:E24">
      <formula1>Auswahldaten!$A$121:$A$121</formula1>
    </dataValidation>
  </dataValidations>
  <printOptions horizontalCentered="1" verticalCentered="1"/>
  <pageMargins left="0.5905511811023623" right="0.5905511811023623" top="0.7874015748031497" bottom="0.7874015748031497" header="0.5118110236220472" footer="0.5118110236220472"/>
  <pageSetup firstPageNumber="3" useFirstPageNumber="1" fitToHeight="0" fitToWidth="1" horizontalDpi="600" verticalDpi="600" orientation="landscape" paperSize="9" scale="95" r:id="rId1"/>
  <ignoredErrors>
    <ignoredError sqref="C41:C42" unlockedFormula="1"/>
  </ignoredErrors>
  <extLst>
    <ext xmlns:x14="http://schemas.microsoft.com/office/spreadsheetml/2009/9/main" uri="{78C0D931-6437-407d-A8EE-F0AAD7539E65}">
      <x14:conditionalFormattings>
        <x14:conditionalFormatting xmlns:xm="http://schemas.microsoft.com/office/excel/2006/main">
          <x14:cfRule type="expression" priority="10">
            <xm:f>OR($C$26=Fordítások!$C$179,$C$26=Fordítások!$B$179)</xm:f>
            <x14:dxf>
              <font>
                <b/>
                <i val="0"/>
              </font>
              <fill>
                <patternFill>
                  <bgColor theme="0"/>
                </patternFill>
              </fill>
            </x14:dxf>
          </x14:cfRule>
          <xm:sqref>C28</xm:sqref>
        </x14:conditionalFormatting>
        <x14:conditionalFormatting xmlns:xm="http://schemas.microsoft.com/office/excel/2006/main">
          <x14:cfRule type="expression" priority="9">
            <xm:f>OR(AND($C$24=Fordítások!$C$256,$C$26=Fordítások!$C$179),AND($C$24=Fordítások!$C$258,$C$26=Fordítások!$C$179),AND($C$24=Fordítások!$C$255,$C$26=Fordítások!$C$180),AND($C$24=Fordítások!$C$257,$C$26=Fordítások!$C$180))</xm:f>
            <x14:dxf>
              <fill>
                <patternFill>
                  <bgColor rgb="FFFF0000"/>
                </patternFill>
              </fill>
            </x14:dxf>
          </x14:cfRule>
          <xm:sqref>C26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
    <tabColor rgb="FF92D050"/>
    <pageSetUpPr fitToPage="1"/>
  </sheetPr>
  <dimension ref="A1:P117"/>
  <sheetViews>
    <sheetView zoomScale="85" zoomScaleNormal="85" workbookViewId="0" topLeftCell="A2">
      <selection activeCell="B13" sqref="B13:B61"/>
    </sheetView>
  </sheetViews>
  <sheetFormatPr defaultColWidth="11.421875" defaultRowHeight="12.75"/>
  <cols>
    <col min="1" max="1" width="5.421875" style="0" customWidth="1"/>
    <col min="2" max="2" width="33.57421875" style="0" customWidth="1"/>
    <col min="3" max="3" width="30.00390625" style="0" customWidth="1"/>
    <col min="4" max="4" width="26.28125" style="0" customWidth="1"/>
    <col min="5" max="5" width="18.57421875" style="0" bestFit="1" customWidth="1"/>
    <col min="6" max="6" width="13.8515625" style="0" customWidth="1"/>
    <col min="7" max="7" width="12.28125" style="0" customWidth="1"/>
    <col min="8" max="8" width="39.140625" style="0" customWidth="1"/>
    <col min="11" max="17" width="11.421875" style="0" hidden="1" customWidth="1"/>
    <col min="18" max="52" width="11.421875" style="523" customWidth="1"/>
  </cols>
  <sheetData>
    <row r="1" spans="1:13" ht="36" customHeight="1">
      <c r="A1" s="126"/>
      <c r="B1" s="191"/>
      <c r="C1" s="15"/>
      <c r="D1" s="14"/>
      <c r="E1" s="1036" t="str">
        <f>Termék!A1</f>
        <v>A BIZOTTSÁG HATÁROZATA</v>
      </c>
      <c r="F1" s="1037"/>
      <c r="G1" s="1038" t="str">
        <f>Termék!C1</f>
        <v>2017/1214/EU a kézi mosogatószerek uniós ökocímke kritériumairól</v>
      </c>
      <c r="H1" s="1039"/>
      <c r="I1" s="16"/>
      <c r="J1" s="16"/>
      <c r="K1" s="16"/>
      <c r="L1" s="16"/>
      <c r="M1" s="16"/>
    </row>
    <row r="2" spans="1:13" ht="15.5">
      <c r="A2" s="126"/>
      <c r="B2" s="191"/>
      <c r="C2" s="264"/>
      <c r="D2" s="14"/>
      <c r="E2" s="18"/>
      <c r="F2" s="88"/>
      <c r="G2" s="16"/>
      <c r="H2" s="241"/>
      <c r="I2" s="16"/>
      <c r="J2" s="16"/>
      <c r="K2" s="16"/>
      <c r="L2" s="16"/>
      <c r="M2" s="16"/>
    </row>
    <row r="3" spans="1:13" ht="15.5">
      <c r="A3" s="126"/>
      <c r="B3" s="191"/>
      <c r="C3" s="191"/>
      <c r="D3" s="191"/>
      <c r="E3" s="191"/>
      <c r="F3" s="18"/>
      <c r="G3" s="190" t="str">
        <f>Termék!A3</f>
        <v>Dátum:</v>
      </c>
      <c r="H3" s="265" t="str">
        <f>IF(Termék!B3="","",Termék!B3)</f>
        <v/>
      </c>
      <c r="I3" s="16"/>
      <c r="J3" s="16"/>
      <c r="K3" s="16"/>
      <c r="L3" s="16"/>
      <c r="M3" s="16"/>
    </row>
    <row r="4" spans="1:13" ht="15.5">
      <c r="A4" s="1017" t="str">
        <f>Termék!A6</f>
        <v>Szerződés száma:</v>
      </c>
      <c r="B4" s="1018"/>
      <c r="C4" s="1021">
        <f>Termék!C6</f>
        <v>0</v>
      </c>
      <c r="D4" s="1022"/>
      <c r="E4" s="1023"/>
      <c r="F4" s="18"/>
      <c r="G4" s="190" t="str">
        <f>Termék!A4</f>
        <v>Verziószám:</v>
      </c>
      <c r="H4" s="266" t="str">
        <f>IF(Termék!B4="","",Termék!B4)</f>
        <v/>
      </c>
      <c r="I4" s="16"/>
      <c r="J4" s="16"/>
      <c r="K4" s="16"/>
      <c r="L4" s="16"/>
      <c r="M4" s="16"/>
    </row>
    <row r="5" spans="1:13" ht="15.5">
      <c r="A5" s="1017" t="str">
        <f>Termék!A7</f>
        <v>Védjegyhasználó</v>
      </c>
      <c r="B5" s="1018"/>
      <c r="C5" s="1021" t="str">
        <f>Termék!C7</f>
        <v/>
      </c>
      <c r="D5" s="1022"/>
      <c r="E5" s="1023"/>
      <c r="F5" s="19"/>
      <c r="G5" s="19"/>
      <c r="H5" s="16"/>
      <c r="I5" s="16"/>
      <c r="J5" s="16"/>
      <c r="K5" s="16"/>
      <c r="L5" s="16"/>
      <c r="M5" s="16"/>
    </row>
    <row r="6" spans="1:13" ht="15.5">
      <c r="A6" s="1017" t="str">
        <f>Termék!A8</f>
        <v>Forgalmazó / Termék neve (Ország):</v>
      </c>
      <c r="B6" s="1018"/>
      <c r="C6" s="1021">
        <f>Termék!C8</f>
        <v>0</v>
      </c>
      <c r="D6" s="1022"/>
      <c r="E6" s="1023"/>
      <c r="F6" s="1044"/>
      <c r="G6" s="1045"/>
      <c r="H6" s="1045"/>
      <c r="I6" s="16"/>
      <c r="J6" s="16"/>
      <c r="K6" s="16"/>
      <c r="L6" s="16"/>
      <c r="M6" s="16"/>
    </row>
    <row r="7" spans="1:13" ht="15.5">
      <c r="A7" s="1017" t="str">
        <f>Termék!A24</f>
        <v>A termék fajtája:</v>
      </c>
      <c r="B7" s="1018"/>
      <c r="C7" s="1021">
        <f>Termék!C24</f>
        <v>0</v>
      </c>
      <c r="D7" s="1022"/>
      <c r="E7" s="1023"/>
      <c r="F7" s="17"/>
      <c r="G7" s="17"/>
      <c r="H7" s="17"/>
      <c r="I7" s="16"/>
      <c r="J7" s="16"/>
      <c r="K7" s="16"/>
      <c r="L7" s="16"/>
      <c r="M7" s="16"/>
    </row>
    <row r="8" spans="1:13" ht="15.5">
      <c r="A8" s="1017" t="str">
        <f>Termék!A26</f>
        <v>A termék halmazállapota:</v>
      </c>
      <c r="B8" s="1018"/>
      <c r="C8" s="1021">
        <f>Termék!C26</f>
        <v>0</v>
      </c>
      <c r="D8" s="1022"/>
      <c r="E8" s="1023"/>
      <c r="F8" s="17"/>
      <c r="G8" s="7"/>
      <c r="H8" s="16"/>
      <c r="I8" s="16"/>
      <c r="J8" s="16"/>
      <c r="K8" s="16"/>
      <c r="L8" s="16"/>
      <c r="M8" s="16"/>
    </row>
    <row r="9" spans="1:13" ht="15.5">
      <c r="A9" s="14"/>
      <c r="B9" s="22"/>
      <c r="C9" s="14"/>
      <c r="D9" s="20"/>
      <c r="E9" s="14"/>
      <c r="F9" s="16"/>
      <c r="G9" s="16"/>
      <c r="H9" s="21"/>
      <c r="I9" s="16"/>
      <c r="J9" s="16"/>
      <c r="K9" s="16"/>
      <c r="L9" s="16"/>
      <c r="M9" s="16"/>
    </row>
    <row r="10" spans="1:16" ht="42" customHeight="1">
      <c r="A10" s="23" t="str">
        <f>IF(Adatlap!$L$1=Fordítások!C3,Fordítások!C10,Fordítások!B10)</f>
        <v>lfd.</v>
      </c>
      <c r="B10" s="1046" t="str">
        <f>IF(Adatlap!$L$1=Fordítások!C3,CONCATENATE("Az alapanyag ",Fordítások!C12),Fordítások!B12)</f>
        <v>Az alapanyag kereskedelmi megnevezése</v>
      </c>
      <c r="C10" s="1048" t="str">
        <f>IF(Adatlap!$L$1=Fordítások!C3,Fordítások!C13,Fordítások!B13)</f>
        <v>Gyártó / Forgalmazó:</v>
      </c>
      <c r="D10" s="177" t="str">
        <f>IF(Adatlap!$L$1=Fordítások!C3,Fordítások!C14,Fordítások!B14)</f>
        <v>Funkciója a termékben</v>
      </c>
      <c r="E10" s="24" t="str">
        <f>IF(Adatlap!$L$1=Fordítások!C3,Fordítások!C16,Fordítások!B16)</f>
        <v>A készítményen belüli aránya</v>
      </c>
      <c r="F10" s="536" t="str">
        <f>IF(Adatlap!$L$1=Fordítások!C3,Fordítások!C18,Fordítások!B18)</f>
        <v>Gyártói megfelelőségi nyilatkozat</v>
      </c>
      <c r="G10" s="61" t="str">
        <f>IF(Adatlap!$L$1=Fordítások!C3,Fordítások!C20,Fordítások!B20)</f>
        <v>Biztonsági adatlap</v>
      </c>
      <c r="H10" s="1046" t="str">
        <f>IF(Adatlap!$L$1=Fordítások!C3,CONCATENATE(Fordítások!C21," 1)"),CONCATENATE(Fordítások!B21," 1)"))</f>
        <v>Figyelmeztető mondatok 
(H-mondatok) 1)</v>
      </c>
      <c r="I10" s="16"/>
      <c r="J10" s="16"/>
      <c r="K10" s="16"/>
      <c r="L10" s="16"/>
      <c r="M10" s="16"/>
      <c r="P10" s="497" t="s">
        <v>1656</v>
      </c>
    </row>
    <row r="11" spans="1:16" ht="29.25" customHeight="1">
      <c r="A11" s="25" t="str">
        <f>IF(Adatlap!$L$1=Fordítások!C3,Fordítások!C11,Fordítások!B11)</f>
        <v>szám</v>
      </c>
      <c r="B11" s="1047"/>
      <c r="C11" s="1049"/>
      <c r="D11" s="203" t="str">
        <f>IF(Adatlap!$L$1=Fordítások!C3,Fordítások!C15,Fordítások!B15)</f>
        <v>(Kérjük, válassza ki vagy adja meg!)</v>
      </c>
      <c r="E11" s="26" t="str">
        <f>IF(Adatlap!$L$1=Fordítások!C3,Fordítások!C17,Fordítások!B17)</f>
        <v>%
(=g/100 g termék)</v>
      </c>
      <c r="F11" s="537" t="str">
        <f>IF(Adatlap!$L$1=Fordítások!C3,Fordítások!C19,Fordítások!B19)</f>
        <v>csatolva?</v>
      </c>
      <c r="G11" s="537" t="str">
        <f>IF(Adatlap!$L$1=Fordítások!C3,Fordítások!C19,Fordítások!B19)</f>
        <v>csatolva?</v>
      </c>
      <c r="H11" s="1047"/>
      <c r="I11" s="16"/>
      <c r="J11" s="16"/>
      <c r="K11" s="1034" t="s">
        <v>977</v>
      </c>
      <c r="L11" s="16"/>
      <c r="M11" s="1033" t="s">
        <v>1279</v>
      </c>
      <c r="N11" s="1035" t="s">
        <v>1317</v>
      </c>
      <c r="O11" s="497" t="s">
        <v>2098</v>
      </c>
      <c r="P11" s="497"/>
    </row>
    <row r="12" spans="1:16" ht="15.5">
      <c r="A12" s="60">
        <v>1</v>
      </c>
      <c r="B12" s="28" t="str">
        <f>IF(Adatlap!$L$1=Fordítások!C3,Fordítások!C23,Fordítások!B23)</f>
        <v>Víz</v>
      </c>
      <c r="C12" s="29"/>
      <c r="D12" s="28"/>
      <c r="E12" s="82"/>
      <c r="F12" s="29" t="s">
        <v>7</v>
      </c>
      <c r="G12" s="127" t="s">
        <v>7</v>
      </c>
      <c r="H12" s="29" t="s">
        <v>7</v>
      </c>
      <c r="I12" s="16"/>
      <c r="J12" s="16"/>
      <c r="K12" s="1034"/>
      <c r="L12" s="16"/>
      <c r="M12" s="1033"/>
      <c r="N12" s="1035"/>
      <c r="P12" s="497" t="s">
        <v>1650</v>
      </c>
    </row>
    <row r="13" spans="1:16" ht="15.5">
      <c r="A13" s="27">
        <v>2</v>
      </c>
      <c r="B13" s="72"/>
      <c r="C13" s="68"/>
      <c r="D13" s="72"/>
      <c r="E13" s="82"/>
      <c r="F13" s="67"/>
      <c r="G13" s="67"/>
      <c r="H13" s="72"/>
      <c r="I13" s="16"/>
      <c r="J13" s="16"/>
      <c r="K13" s="538">
        <f>IF(ISBLANK(B13),0,1)</f>
        <v>0</v>
      </c>
      <c r="L13" s="16"/>
      <c r="M13" s="538">
        <f>MAX(K13:K61)</f>
        <v>0</v>
      </c>
      <c r="N13" t="b">
        <f>IF(AND(COUNTA(B13)=1,OR(G13="",G13=Auswahldaten!A$13)),1)</f>
        <v>0</v>
      </c>
      <c r="O13">
        <f>IF(ISBLANK(H13)=TRUE,1,0)</f>
        <v>1</v>
      </c>
      <c r="P13">
        <f>COUNTIFS($D$13:$D$61,Auswahldaten!A19)</f>
        <v>0</v>
      </c>
    </row>
    <row r="14" spans="1:16" ht="15.5">
      <c r="A14" s="27">
        <v>3</v>
      </c>
      <c r="B14" s="72"/>
      <c r="C14" s="68"/>
      <c r="D14" s="72"/>
      <c r="E14" s="82"/>
      <c r="F14" s="67"/>
      <c r="G14" s="67"/>
      <c r="H14" s="72"/>
      <c r="I14" s="16"/>
      <c r="J14" s="16"/>
      <c r="K14" s="538">
        <f>IF(ISBLANK(B14),0,K13+1)</f>
        <v>0</v>
      </c>
      <c r="L14" s="16"/>
      <c r="M14" s="16"/>
      <c r="N14" t="b">
        <f>IF(AND(COUNTA(B14)=1,OR(G14="",G14=Auswahldaten!A$13)),1)</f>
        <v>0</v>
      </c>
      <c r="O14">
        <f aca="true" t="shared" si="0" ref="O14:O61">IF(ISBLANK(H14)=TRUE,1,0)</f>
        <v>1</v>
      </c>
      <c r="P14" s="497" t="s">
        <v>1655</v>
      </c>
    </row>
    <row r="15" spans="1:16" ht="15.5">
      <c r="A15" s="27">
        <v>4</v>
      </c>
      <c r="B15" s="72"/>
      <c r="C15" s="68"/>
      <c r="D15" s="72"/>
      <c r="E15" s="82"/>
      <c r="F15" s="67"/>
      <c r="G15" s="67"/>
      <c r="H15" s="72"/>
      <c r="I15" s="16"/>
      <c r="J15" s="16"/>
      <c r="K15" s="538">
        <f aca="true" t="shared" si="1" ref="K15:K61">IF(ISBLANK(B15),0,K14+1)</f>
        <v>0</v>
      </c>
      <c r="L15" s="16"/>
      <c r="M15" s="16"/>
      <c r="N15" t="b">
        <f>IF(AND(COUNTA(B15)=1,OR(G15="",G15=Auswahldaten!A$13)),1)</f>
        <v>0</v>
      </c>
      <c r="O15">
        <f t="shared" si="0"/>
        <v>1</v>
      </c>
      <c r="P15">
        <f>COUNTIFS(D13:D61,Auswahldaten!A18)</f>
        <v>0</v>
      </c>
    </row>
    <row r="16" spans="1:15" ht="15.5">
      <c r="A16" s="27">
        <v>5</v>
      </c>
      <c r="B16" s="72"/>
      <c r="C16" s="68"/>
      <c r="D16" s="72"/>
      <c r="E16" s="82"/>
      <c r="F16" s="67"/>
      <c r="G16" s="67"/>
      <c r="H16" s="72"/>
      <c r="I16" s="16"/>
      <c r="J16" s="16"/>
      <c r="K16" s="538">
        <f t="shared" si="1"/>
        <v>0</v>
      </c>
      <c r="L16" s="16"/>
      <c r="M16" s="16"/>
      <c r="N16" t="b">
        <f>IF(AND(COUNTA(B16)=1,OR(G16="",G16=Auswahldaten!A$13)),1)</f>
        <v>0</v>
      </c>
      <c r="O16">
        <f t="shared" si="0"/>
        <v>1</v>
      </c>
    </row>
    <row r="17" spans="1:16" ht="15.5">
      <c r="A17" s="27">
        <v>6</v>
      </c>
      <c r="B17" s="72"/>
      <c r="C17" s="68"/>
      <c r="D17" s="72"/>
      <c r="E17" s="82"/>
      <c r="F17" s="67"/>
      <c r="G17" s="67"/>
      <c r="H17" s="72"/>
      <c r="I17" s="16"/>
      <c r="J17" s="16"/>
      <c r="K17" s="538">
        <f t="shared" si="1"/>
        <v>0</v>
      </c>
      <c r="L17" s="16"/>
      <c r="M17" s="16"/>
      <c r="N17" t="b">
        <f>IF(AND(COUNTA(B17)=1,OR(G17="",G17=Auswahldaten!A$13)),1)</f>
        <v>0</v>
      </c>
      <c r="O17">
        <f t="shared" si="0"/>
        <v>1</v>
      </c>
      <c r="P17" s="497" t="s">
        <v>1682</v>
      </c>
    </row>
    <row r="18" spans="1:16" ht="15.5">
      <c r="A18" s="27">
        <v>7</v>
      </c>
      <c r="B18" s="72"/>
      <c r="C18" s="68"/>
      <c r="D18" s="72"/>
      <c r="E18" s="82"/>
      <c r="F18" s="67"/>
      <c r="G18" s="67"/>
      <c r="H18" s="72"/>
      <c r="I18" s="16"/>
      <c r="J18" s="16"/>
      <c r="K18" s="538">
        <f t="shared" si="1"/>
        <v>0</v>
      </c>
      <c r="L18" s="16"/>
      <c r="M18" s="16"/>
      <c r="N18" t="b">
        <f>IF(AND(COUNTA(B18)=1,OR(G18="",G18=Auswahldaten!A$13)),1)</f>
        <v>0</v>
      </c>
      <c r="O18">
        <f t="shared" si="0"/>
        <v>1</v>
      </c>
      <c r="P18">
        <f>COUNTIFS(D13:D61,Auswahldaten!A20)</f>
        <v>0</v>
      </c>
    </row>
    <row r="19" spans="1:15" ht="15.5">
      <c r="A19" s="27">
        <v>8</v>
      </c>
      <c r="B19" s="72"/>
      <c r="C19" s="68"/>
      <c r="D19" s="72"/>
      <c r="E19" s="82"/>
      <c r="F19" s="67"/>
      <c r="G19" s="67"/>
      <c r="H19" s="72"/>
      <c r="I19" s="16"/>
      <c r="J19" s="16"/>
      <c r="K19" s="538">
        <f t="shared" si="1"/>
        <v>0</v>
      </c>
      <c r="L19" s="16"/>
      <c r="M19" s="16"/>
      <c r="N19" t="b">
        <f>IF(AND(COUNTA(B19)=1,OR(G19="",G19=Auswahldaten!A$13)),1)</f>
        <v>0</v>
      </c>
      <c r="O19">
        <f t="shared" si="0"/>
        <v>1</v>
      </c>
    </row>
    <row r="20" spans="1:15" ht="15.5">
      <c r="A20" s="27">
        <v>9</v>
      </c>
      <c r="B20" s="72"/>
      <c r="C20" s="68"/>
      <c r="D20" s="72"/>
      <c r="E20" s="82"/>
      <c r="F20" s="67"/>
      <c r="G20" s="67"/>
      <c r="H20" s="72"/>
      <c r="I20" s="16"/>
      <c r="J20" s="16"/>
      <c r="K20" s="538">
        <f t="shared" si="1"/>
        <v>0</v>
      </c>
      <c r="L20" s="16"/>
      <c r="M20" s="16"/>
      <c r="N20" t="b">
        <f>IF(AND(COUNTA(B20)=1,OR(G20="",G20=Auswahldaten!A$13)),1)</f>
        <v>0</v>
      </c>
      <c r="O20">
        <f t="shared" si="0"/>
        <v>1</v>
      </c>
    </row>
    <row r="21" spans="1:15" ht="15.5">
      <c r="A21" s="27">
        <v>10</v>
      </c>
      <c r="B21" s="72"/>
      <c r="C21" s="68"/>
      <c r="D21" s="72"/>
      <c r="E21" s="82"/>
      <c r="F21" s="67"/>
      <c r="G21" s="67"/>
      <c r="H21" s="72"/>
      <c r="I21" s="16"/>
      <c r="J21" s="16"/>
      <c r="K21" s="538">
        <f t="shared" si="1"/>
        <v>0</v>
      </c>
      <c r="L21" s="16"/>
      <c r="M21" s="16"/>
      <c r="N21" t="b">
        <f>IF(AND(COUNTA(B21)=1,OR(G21="",G21=Auswahldaten!A$13)),1)</f>
        <v>0</v>
      </c>
      <c r="O21">
        <f t="shared" si="0"/>
        <v>1</v>
      </c>
    </row>
    <row r="22" spans="1:15" ht="15.5">
      <c r="A22" s="27">
        <v>11</v>
      </c>
      <c r="B22" s="72"/>
      <c r="C22" s="68"/>
      <c r="D22" s="72"/>
      <c r="E22" s="82"/>
      <c r="F22" s="67"/>
      <c r="G22" s="67"/>
      <c r="H22" s="72"/>
      <c r="I22" s="16"/>
      <c r="J22" s="16"/>
      <c r="K22" s="538">
        <f t="shared" si="1"/>
        <v>0</v>
      </c>
      <c r="L22" s="16"/>
      <c r="M22" s="16"/>
      <c r="N22" t="b">
        <f>IF(AND(COUNTA(B22)=1,OR(G22="",G22=Auswahldaten!A$13)),1)</f>
        <v>0</v>
      </c>
      <c r="O22">
        <f t="shared" si="0"/>
        <v>1</v>
      </c>
    </row>
    <row r="23" spans="1:15" ht="15.5">
      <c r="A23" s="27">
        <v>12</v>
      </c>
      <c r="B23" s="72"/>
      <c r="C23" s="68"/>
      <c r="D23" s="72"/>
      <c r="E23" s="82"/>
      <c r="F23" s="67"/>
      <c r="G23" s="67"/>
      <c r="H23" s="72"/>
      <c r="I23" s="16"/>
      <c r="J23" s="16"/>
      <c r="K23" s="538">
        <f t="shared" si="1"/>
        <v>0</v>
      </c>
      <c r="L23" s="16"/>
      <c r="M23" s="16"/>
      <c r="N23" t="b">
        <f>IF(AND(COUNTA(B23)=1,OR(G23="",G23=Auswahldaten!A$13)),1)</f>
        <v>0</v>
      </c>
      <c r="O23">
        <f t="shared" si="0"/>
        <v>1</v>
      </c>
    </row>
    <row r="24" spans="1:15" ht="15.5">
      <c r="A24" s="27">
        <v>13</v>
      </c>
      <c r="B24" s="72"/>
      <c r="C24" s="68"/>
      <c r="D24" s="72"/>
      <c r="E24" s="82"/>
      <c r="F24" s="67"/>
      <c r="G24" s="67"/>
      <c r="H24" s="72"/>
      <c r="I24" s="16"/>
      <c r="J24" s="16"/>
      <c r="K24" s="538">
        <f t="shared" si="1"/>
        <v>0</v>
      </c>
      <c r="L24" s="16"/>
      <c r="M24" s="16"/>
      <c r="N24" t="b">
        <f>IF(AND(COUNTA(B24)=1,OR(G24="",G24=Auswahldaten!A$13)),1)</f>
        <v>0</v>
      </c>
      <c r="O24">
        <f t="shared" si="0"/>
        <v>1</v>
      </c>
    </row>
    <row r="25" spans="1:15" ht="15.5">
      <c r="A25" s="27">
        <v>14</v>
      </c>
      <c r="B25" s="72"/>
      <c r="C25" s="68"/>
      <c r="D25" s="72"/>
      <c r="E25" s="82"/>
      <c r="F25" s="67"/>
      <c r="G25" s="67"/>
      <c r="H25" s="72"/>
      <c r="I25" s="16"/>
      <c r="J25" s="16"/>
      <c r="K25" s="538">
        <f t="shared" si="1"/>
        <v>0</v>
      </c>
      <c r="L25" s="16"/>
      <c r="M25" s="16"/>
      <c r="N25" t="b">
        <f>IF(AND(COUNTA(B25)=1,OR(G25="",G25=Auswahldaten!A$13)),1)</f>
        <v>0</v>
      </c>
      <c r="O25">
        <f t="shared" si="0"/>
        <v>1</v>
      </c>
    </row>
    <row r="26" spans="1:15" ht="15.5">
      <c r="A26" s="27">
        <v>15</v>
      </c>
      <c r="B26" s="72"/>
      <c r="C26" s="68"/>
      <c r="D26" s="72"/>
      <c r="E26" s="82"/>
      <c r="F26" s="67"/>
      <c r="G26" s="67"/>
      <c r="H26" s="72"/>
      <c r="I26" s="16"/>
      <c r="J26" s="16"/>
      <c r="K26" s="538">
        <f t="shared" si="1"/>
        <v>0</v>
      </c>
      <c r="L26" s="16"/>
      <c r="M26" s="16"/>
      <c r="N26" t="b">
        <f>IF(AND(COUNTA(B26)=1,OR(G26="",G26=Auswahldaten!A$13)),1)</f>
        <v>0</v>
      </c>
      <c r="O26">
        <f t="shared" si="0"/>
        <v>1</v>
      </c>
    </row>
    <row r="27" spans="1:15" ht="15.5">
      <c r="A27" s="27">
        <v>16</v>
      </c>
      <c r="B27" s="72"/>
      <c r="C27" s="68"/>
      <c r="D27" s="72"/>
      <c r="E27" s="82"/>
      <c r="F27" s="67"/>
      <c r="G27" s="67"/>
      <c r="H27" s="72"/>
      <c r="I27" s="16"/>
      <c r="J27" s="16"/>
      <c r="K27" s="538">
        <f t="shared" si="1"/>
        <v>0</v>
      </c>
      <c r="L27" s="16"/>
      <c r="M27" s="16"/>
      <c r="N27" t="b">
        <f>IF(AND(COUNTA(B27)=1,OR(G27="",G27=Auswahldaten!A$13)),1)</f>
        <v>0</v>
      </c>
      <c r="O27">
        <f t="shared" si="0"/>
        <v>1</v>
      </c>
    </row>
    <row r="28" spans="1:15" ht="15.5">
      <c r="A28" s="27">
        <v>17</v>
      </c>
      <c r="B28" s="72"/>
      <c r="C28" s="68"/>
      <c r="D28" s="72"/>
      <c r="E28" s="82"/>
      <c r="F28" s="67"/>
      <c r="G28" s="67"/>
      <c r="H28" s="72"/>
      <c r="I28" s="16"/>
      <c r="J28" s="16"/>
      <c r="K28" s="538">
        <f t="shared" si="1"/>
        <v>0</v>
      </c>
      <c r="L28" s="16"/>
      <c r="M28" s="16"/>
      <c r="N28" t="b">
        <f>IF(AND(COUNTA(B28)=1,OR(G28="",G28=Auswahldaten!A$13)),1)</f>
        <v>0</v>
      </c>
      <c r="O28">
        <f t="shared" si="0"/>
        <v>1</v>
      </c>
    </row>
    <row r="29" spans="1:15" ht="15.5">
      <c r="A29" s="27">
        <v>18</v>
      </c>
      <c r="B29" s="72"/>
      <c r="C29" s="68"/>
      <c r="D29" s="72"/>
      <c r="E29" s="82"/>
      <c r="F29" s="67"/>
      <c r="G29" s="67"/>
      <c r="H29" s="72"/>
      <c r="I29" s="16"/>
      <c r="J29" s="16"/>
      <c r="K29" s="538">
        <f t="shared" si="1"/>
        <v>0</v>
      </c>
      <c r="L29" s="16"/>
      <c r="M29" s="16"/>
      <c r="N29" t="b">
        <f>IF(AND(COUNTA(B29)=1,OR(G29="",G29=Auswahldaten!A$13)),1)</f>
        <v>0</v>
      </c>
      <c r="O29">
        <f t="shared" si="0"/>
        <v>1</v>
      </c>
    </row>
    <row r="30" spans="1:15" ht="15.5">
      <c r="A30" s="27">
        <v>19</v>
      </c>
      <c r="B30" s="72"/>
      <c r="C30" s="68"/>
      <c r="D30" s="72"/>
      <c r="E30" s="82"/>
      <c r="F30" s="67"/>
      <c r="G30" s="67"/>
      <c r="H30" s="72"/>
      <c r="I30" s="16"/>
      <c r="J30" s="16"/>
      <c r="K30" s="538">
        <f t="shared" si="1"/>
        <v>0</v>
      </c>
      <c r="L30" s="16"/>
      <c r="M30" s="16"/>
      <c r="N30" t="b">
        <f>IF(AND(COUNTA(B30)=1,OR(G30="",G30=Auswahldaten!A$13)),1)</f>
        <v>0</v>
      </c>
      <c r="O30">
        <f t="shared" si="0"/>
        <v>1</v>
      </c>
    </row>
    <row r="31" spans="1:15" ht="15.5">
      <c r="A31" s="27">
        <v>20</v>
      </c>
      <c r="B31" s="72"/>
      <c r="C31" s="68"/>
      <c r="D31" s="72"/>
      <c r="E31" s="82"/>
      <c r="F31" s="67"/>
      <c r="G31" s="67"/>
      <c r="H31" s="72"/>
      <c r="I31" s="16"/>
      <c r="J31" s="16"/>
      <c r="K31" s="538">
        <f t="shared" si="1"/>
        <v>0</v>
      </c>
      <c r="L31" s="16"/>
      <c r="M31" s="16"/>
      <c r="N31" t="b">
        <f>IF(AND(COUNTA(B31)=1,OR(G31="",G31=Auswahldaten!A$13)),1)</f>
        <v>0</v>
      </c>
      <c r="O31">
        <f t="shared" si="0"/>
        <v>1</v>
      </c>
    </row>
    <row r="32" spans="1:15" ht="15.5">
      <c r="A32" s="27">
        <v>21</v>
      </c>
      <c r="B32" s="72"/>
      <c r="C32" s="68"/>
      <c r="D32" s="72"/>
      <c r="E32" s="82"/>
      <c r="F32" s="67"/>
      <c r="G32" s="67"/>
      <c r="H32" s="72"/>
      <c r="I32" s="16"/>
      <c r="J32" s="16"/>
      <c r="K32" s="538">
        <f t="shared" si="1"/>
        <v>0</v>
      </c>
      <c r="L32" s="16"/>
      <c r="M32" s="16"/>
      <c r="N32" t="b">
        <f>IF(AND(COUNTA(B32)=1,OR(G32="",G32=Auswahldaten!A$13)),1)</f>
        <v>0</v>
      </c>
      <c r="O32">
        <f t="shared" si="0"/>
        <v>1</v>
      </c>
    </row>
    <row r="33" spans="1:15" ht="15.5">
      <c r="A33" s="27">
        <v>22</v>
      </c>
      <c r="B33" s="72"/>
      <c r="C33" s="68"/>
      <c r="D33" s="72"/>
      <c r="E33" s="82"/>
      <c r="F33" s="67"/>
      <c r="G33" s="67"/>
      <c r="H33" s="72"/>
      <c r="I33" s="16"/>
      <c r="J33" s="16"/>
      <c r="K33" s="538">
        <f t="shared" si="1"/>
        <v>0</v>
      </c>
      <c r="L33" s="16"/>
      <c r="M33" s="16"/>
      <c r="N33" t="b">
        <f>IF(AND(COUNTA(B33)=1,OR(G33="",G33=Auswahldaten!A$13)),1)</f>
        <v>0</v>
      </c>
      <c r="O33">
        <f t="shared" si="0"/>
        <v>1</v>
      </c>
    </row>
    <row r="34" spans="1:15" ht="15.5">
      <c r="A34" s="27">
        <v>23</v>
      </c>
      <c r="B34" s="72"/>
      <c r="C34" s="68"/>
      <c r="D34" s="72"/>
      <c r="E34" s="82"/>
      <c r="F34" s="67"/>
      <c r="G34" s="67"/>
      <c r="H34" s="72"/>
      <c r="I34" s="16"/>
      <c r="J34" s="16"/>
      <c r="K34" s="538">
        <f t="shared" si="1"/>
        <v>0</v>
      </c>
      <c r="L34" s="16"/>
      <c r="M34" s="16"/>
      <c r="N34" t="b">
        <f>IF(AND(COUNTA(B34)=1,OR(G34="",G34=Auswahldaten!A$13)),1)</f>
        <v>0</v>
      </c>
      <c r="O34">
        <f t="shared" si="0"/>
        <v>1</v>
      </c>
    </row>
    <row r="35" spans="1:15" ht="15.5">
      <c r="A35" s="27">
        <v>24</v>
      </c>
      <c r="B35" s="72"/>
      <c r="C35" s="68"/>
      <c r="D35" s="72"/>
      <c r="E35" s="82"/>
      <c r="F35" s="67"/>
      <c r="G35" s="67"/>
      <c r="H35" s="72"/>
      <c r="I35" s="16"/>
      <c r="J35" s="16"/>
      <c r="K35" s="538">
        <f t="shared" si="1"/>
        <v>0</v>
      </c>
      <c r="L35" s="16"/>
      <c r="M35" s="16"/>
      <c r="N35" t="b">
        <f>IF(AND(COUNTA(B35)=1,OR(G35="",G35=Auswahldaten!A$13)),1)</f>
        <v>0</v>
      </c>
      <c r="O35">
        <f t="shared" si="0"/>
        <v>1</v>
      </c>
    </row>
    <row r="36" spans="1:15" ht="15.5">
      <c r="A36" s="27">
        <v>25</v>
      </c>
      <c r="B36" s="72"/>
      <c r="C36" s="68"/>
      <c r="D36" s="72"/>
      <c r="E36" s="82"/>
      <c r="F36" s="67"/>
      <c r="G36" s="67"/>
      <c r="H36" s="72"/>
      <c r="I36" s="16"/>
      <c r="J36" s="16"/>
      <c r="K36" s="538">
        <f t="shared" si="1"/>
        <v>0</v>
      </c>
      <c r="L36" s="16"/>
      <c r="M36" s="16"/>
      <c r="N36" t="b">
        <f>IF(AND(COUNTA(B36)=1,OR(G36="",G36=Auswahldaten!A$13)),1)</f>
        <v>0</v>
      </c>
      <c r="O36">
        <f t="shared" si="0"/>
        <v>1</v>
      </c>
    </row>
    <row r="37" spans="1:15" ht="15.5">
      <c r="A37" s="27">
        <v>26</v>
      </c>
      <c r="B37" s="72"/>
      <c r="C37" s="68"/>
      <c r="D37" s="72"/>
      <c r="E37" s="82"/>
      <c r="F37" s="67"/>
      <c r="G37" s="67"/>
      <c r="H37" s="72"/>
      <c r="I37" s="16"/>
      <c r="J37" s="16"/>
      <c r="K37" s="538">
        <f t="shared" si="1"/>
        <v>0</v>
      </c>
      <c r="L37" s="16"/>
      <c r="M37" s="16"/>
      <c r="N37" t="b">
        <f>IF(AND(COUNTA(B37)=1,OR(G37="",G37=Auswahldaten!A$13)),1)</f>
        <v>0</v>
      </c>
      <c r="O37">
        <f t="shared" si="0"/>
        <v>1</v>
      </c>
    </row>
    <row r="38" spans="1:15" ht="15.5">
      <c r="A38" s="27">
        <v>27</v>
      </c>
      <c r="B38" s="72"/>
      <c r="C38" s="68"/>
      <c r="D38" s="72"/>
      <c r="E38" s="82"/>
      <c r="F38" s="67"/>
      <c r="G38" s="67"/>
      <c r="H38" s="72"/>
      <c r="I38" s="16"/>
      <c r="J38" s="16"/>
      <c r="K38" s="538">
        <f t="shared" si="1"/>
        <v>0</v>
      </c>
      <c r="L38" s="16"/>
      <c r="M38" s="16"/>
      <c r="N38" t="b">
        <f>IF(AND(COUNTA(B38)=1,OR(G38="",G38=Auswahldaten!A$13)),1)</f>
        <v>0</v>
      </c>
      <c r="O38">
        <f t="shared" si="0"/>
        <v>1</v>
      </c>
    </row>
    <row r="39" spans="1:15" ht="15.5">
      <c r="A39" s="27">
        <v>28</v>
      </c>
      <c r="B39" s="72"/>
      <c r="C39" s="68"/>
      <c r="D39" s="72"/>
      <c r="E39" s="82"/>
      <c r="F39" s="67"/>
      <c r="G39" s="67"/>
      <c r="H39" s="72"/>
      <c r="I39" s="16"/>
      <c r="J39" s="16"/>
      <c r="K39" s="538">
        <f t="shared" si="1"/>
        <v>0</v>
      </c>
      <c r="L39" s="16"/>
      <c r="M39" s="16"/>
      <c r="N39" t="b">
        <f>IF(AND(COUNTA(B39)=1,OR(G39="",G39=Auswahldaten!A$13)),1)</f>
        <v>0</v>
      </c>
      <c r="O39">
        <f t="shared" si="0"/>
        <v>1</v>
      </c>
    </row>
    <row r="40" spans="1:15" ht="15.5">
      <c r="A40" s="27">
        <v>29</v>
      </c>
      <c r="B40" s="72"/>
      <c r="C40" s="68"/>
      <c r="D40" s="72"/>
      <c r="E40" s="82"/>
      <c r="F40" s="67"/>
      <c r="G40" s="67"/>
      <c r="H40" s="72"/>
      <c r="I40" s="16"/>
      <c r="J40" s="16"/>
      <c r="K40" s="538">
        <f t="shared" si="1"/>
        <v>0</v>
      </c>
      <c r="L40" s="16"/>
      <c r="M40" s="16"/>
      <c r="N40" t="b">
        <f>IF(AND(COUNTA(B40)=1,OR(G40="",G40=Auswahldaten!A$13)),1)</f>
        <v>0</v>
      </c>
      <c r="O40">
        <f t="shared" si="0"/>
        <v>1</v>
      </c>
    </row>
    <row r="41" spans="1:15" ht="15.5">
      <c r="A41" s="27">
        <v>30</v>
      </c>
      <c r="B41" s="72"/>
      <c r="C41" s="68"/>
      <c r="D41" s="72"/>
      <c r="E41" s="82"/>
      <c r="F41" s="67"/>
      <c r="G41" s="67"/>
      <c r="H41" s="72"/>
      <c r="I41" s="16"/>
      <c r="J41" s="16"/>
      <c r="K41" s="538">
        <f t="shared" si="1"/>
        <v>0</v>
      </c>
      <c r="L41" s="16"/>
      <c r="M41" s="16"/>
      <c r="N41" t="b">
        <f>IF(AND(COUNTA(B41)=1,OR(G41="",G41=Auswahldaten!A$13)),1)</f>
        <v>0</v>
      </c>
      <c r="O41">
        <f t="shared" si="0"/>
        <v>1</v>
      </c>
    </row>
    <row r="42" spans="1:15" ht="15.5">
      <c r="A42" s="27">
        <v>31</v>
      </c>
      <c r="B42" s="72"/>
      <c r="C42" s="68"/>
      <c r="D42" s="72"/>
      <c r="E42" s="82"/>
      <c r="F42" s="67"/>
      <c r="G42" s="67"/>
      <c r="H42" s="72"/>
      <c r="I42" s="16"/>
      <c r="J42" s="16"/>
      <c r="K42" s="538">
        <f t="shared" si="1"/>
        <v>0</v>
      </c>
      <c r="L42" s="16"/>
      <c r="M42" s="16"/>
      <c r="N42" t="b">
        <f>IF(AND(COUNTA(B42)=1,OR(G42="",G42=Auswahldaten!A$13)),1)</f>
        <v>0</v>
      </c>
      <c r="O42">
        <f t="shared" si="0"/>
        <v>1</v>
      </c>
    </row>
    <row r="43" spans="1:15" ht="15.5">
      <c r="A43" s="27">
        <v>32</v>
      </c>
      <c r="B43" s="72"/>
      <c r="C43" s="68"/>
      <c r="D43" s="72"/>
      <c r="E43" s="82"/>
      <c r="F43" s="67"/>
      <c r="G43" s="67"/>
      <c r="H43" s="72"/>
      <c r="I43" s="16"/>
      <c r="J43" s="16"/>
      <c r="K43" s="538">
        <f t="shared" si="1"/>
        <v>0</v>
      </c>
      <c r="L43" s="16"/>
      <c r="M43" s="16"/>
      <c r="N43" t="b">
        <f>IF(AND(COUNTA(B43)=1,OR(G43="",G43=Auswahldaten!A$13)),1)</f>
        <v>0</v>
      </c>
      <c r="O43">
        <f t="shared" si="0"/>
        <v>1</v>
      </c>
    </row>
    <row r="44" spans="1:15" ht="15.5">
      <c r="A44" s="27">
        <v>33</v>
      </c>
      <c r="B44" s="72"/>
      <c r="C44" s="68"/>
      <c r="D44" s="72"/>
      <c r="E44" s="82"/>
      <c r="F44" s="67"/>
      <c r="G44" s="67"/>
      <c r="H44" s="72"/>
      <c r="I44" s="16"/>
      <c r="J44" s="16"/>
      <c r="K44" s="538">
        <f t="shared" si="1"/>
        <v>0</v>
      </c>
      <c r="L44" s="16"/>
      <c r="M44" s="16"/>
      <c r="N44" t="b">
        <f>IF(AND(COUNTA(B44)=1,OR(G44="",G44=Auswahldaten!A$13)),1)</f>
        <v>0</v>
      </c>
      <c r="O44">
        <f t="shared" si="0"/>
        <v>1</v>
      </c>
    </row>
    <row r="45" spans="1:15" ht="15.5">
      <c r="A45" s="27">
        <v>34</v>
      </c>
      <c r="B45" s="72"/>
      <c r="C45" s="68"/>
      <c r="D45" s="72"/>
      <c r="E45" s="82"/>
      <c r="F45" s="67"/>
      <c r="G45" s="67"/>
      <c r="H45" s="72"/>
      <c r="I45" s="16"/>
      <c r="J45" s="16"/>
      <c r="K45" s="538">
        <f t="shared" si="1"/>
        <v>0</v>
      </c>
      <c r="L45" s="16"/>
      <c r="M45" s="16"/>
      <c r="N45" t="b">
        <f>IF(AND(COUNTA(B45)=1,OR(G45="",G45=Auswahldaten!A$13)),1)</f>
        <v>0</v>
      </c>
      <c r="O45">
        <f t="shared" si="0"/>
        <v>1</v>
      </c>
    </row>
    <row r="46" spans="1:15" ht="15.5">
      <c r="A46" s="27">
        <v>35</v>
      </c>
      <c r="B46" s="72"/>
      <c r="C46" s="68"/>
      <c r="D46" s="72"/>
      <c r="E46" s="82"/>
      <c r="F46" s="67"/>
      <c r="G46" s="67"/>
      <c r="H46" s="72"/>
      <c r="I46" s="16"/>
      <c r="J46" s="16"/>
      <c r="K46" s="538">
        <f t="shared" si="1"/>
        <v>0</v>
      </c>
      <c r="L46" s="16"/>
      <c r="M46" s="16"/>
      <c r="N46" t="b">
        <f>IF(AND(COUNTA(B46)=1,OR(G46="",G46=Auswahldaten!A$13)),1)</f>
        <v>0</v>
      </c>
      <c r="O46">
        <f t="shared" si="0"/>
        <v>1</v>
      </c>
    </row>
    <row r="47" spans="1:15" ht="15.5">
      <c r="A47" s="27">
        <v>36</v>
      </c>
      <c r="B47" s="72"/>
      <c r="C47" s="68"/>
      <c r="D47" s="72"/>
      <c r="E47" s="82"/>
      <c r="F47" s="67"/>
      <c r="G47" s="67"/>
      <c r="H47" s="72"/>
      <c r="I47" s="16"/>
      <c r="J47" s="16"/>
      <c r="K47" s="538">
        <f t="shared" si="1"/>
        <v>0</v>
      </c>
      <c r="L47" s="16"/>
      <c r="M47" s="16"/>
      <c r="N47" t="b">
        <f>IF(AND(COUNTA(B47)=1,OR(G47="",G47=Auswahldaten!A$13)),1)</f>
        <v>0</v>
      </c>
      <c r="O47">
        <f t="shared" si="0"/>
        <v>1</v>
      </c>
    </row>
    <row r="48" spans="1:15" ht="15.5">
      <c r="A48" s="27">
        <v>37</v>
      </c>
      <c r="B48" s="72"/>
      <c r="C48" s="68"/>
      <c r="D48" s="72"/>
      <c r="E48" s="82"/>
      <c r="F48" s="67"/>
      <c r="G48" s="67"/>
      <c r="H48" s="72"/>
      <c r="I48" s="16"/>
      <c r="J48" s="16"/>
      <c r="K48" s="538">
        <f t="shared" si="1"/>
        <v>0</v>
      </c>
      <c r="L48" s="16"/>
      <c r="M48" s="16"/>
      <c r="N48" t="b">
        <f>IF(AND(COUNTA(B48)=1,OR(G48="",G48=Auswahldaten!A$13)),1)</f>
        <v>0</v>
      </c>
      <c r="O48">
        <f t="shared" si="0"/>
        <v>1</v>
      </c>
    </row>
    <row r="49" spans="1:15" ht="15.5">
      <c r="A49" s="27">
        <v>38</v>
      </c>
      <c r="B49" s="72"/>
      <c r="C49" s="68"/>
      <c r="D49" s="72"/>
      <c r="E49" s="82"/>
      <c r="F49" s="67"/>
      <c r="G49" s="67"/>
      <c r="H49" s="72"/>
      <c r="I49" s="16"/>
      <c r="J49" s="16"/>
      <c r="K49" s="538">
        <f t="shared" si="1"/>
        <v>0</v>
      </c>
      <c r="L49" s="16"/>
      <c r="M49" s="16"/>
      <c r="N49" t="b">
        <f>IF(AND(COUNTA(B49)=1,OR(G49="",G49=Auswahldaten!A$13)),1)</f>
        <v>0</v>
      </c>
      <c r="O49">
        <f t="shared" si="0"/>
        <v>1</v>
      </c>
    </row>
    <row r="50" spans="1:15" ht="15.5">
      <c r="A50" s="27">
        <v>39</v>
      </c>
      <c r="B50" s="72"/>
      <c r="C50" s="68"/>
      <c r="D50" s="72"/>
      <c r="E50" s="82"/>
      <c r="F50" s="67"/>
      <c r="G50" s="67"/>
      <c r="H50" s="72"/>
      <c r="I50" s="16"/>
      <c r="J50" s="16"/>
      <c r="K50" s="538">
        <f t="shared" si="1"/>
        <v>0</v>
      </c>
      <c r="L50" s="16"/>
      <c r="M50" s="16"/>
      <c r="N50" t="b">
        <f>IF(AND(COUNTA(B50)=1,OR(G50="",G50=Auswahldaten!A$13)),1)</f>
        <v>0</v>
      </c>
      <c r="O50">
        <f t="shared" si="0"/>
        <v>1</v>
      </c>
    </row>
    <row r="51" spans="1:15" ht="15.5">
      <c r="A51" s="27">
        <v>40</v>
      </c>
      <c r="B51" s="72"/>
      <c r="C51" s="68"/>
      <c r="D51" s="72"/>
      <c r="E51" s="82"/>
      <c r="F51" s="67"/>
      <c r="G51" s="67"/>
      <c r="H51" s="72"/>
      <c r="I51" s="16"/>
      <c r="J51" s="16"/>
      <c r="K51" s="538">
        <f t="shared" si="1"/>
        <v>0</v>
      </c>
      <c r="L51" s="16"/>
      <c r="M51" s="16"/>
      <c r="N51" t="b">
        <f>IF(AND(COUNTA(B51)=1,OR(G51="",G51=Auswahldaten!A$13)),1)</f>
        <v>0</v>
      </c>
      <c r="O51">
        <f t="shared" si="0"/>
        <v>1</v>
      </c>
    </row>
    <row r="52" spans="1:15" ht="15.5">
      <c r="A52" s="27">
        <v>41</v>
      </c>
      <c r="B52" s="72"/>
      <c r="C52" s="68"/>
      <c r="D52" s="72"/>
      <c r="E52" s="82"/>
      <c r="F52" s="67"/>
      <c r="G52" s="67"/>
      <c r="H52" s="72"/>
      <c r="I52" s="16"/>
      <c r="J52" s="16"/>
      <c r="K52" s="538">
        <f t="shared" si="1"/>
        <v>0</v>
      </c>
      <c r="L52" s="16"/>
      <c r="M52" s="16"/>
      <c r="N52" t="b">
        <f>IF(AND(COUNTA(B52)=1,OR(G52="",G52=Auswahldaten!A$13)),1)</f>
        <v>0</v>
      </c>
      <c r="O52">
        <f t="shared" si="0"/>
        <v>1</v>
      </c>
    </row>
    <row r="53" spans="1:15" ht="15.5">
      <c r="A53" s="27">
        <v>42</v>
      </c>
      <c r="B53" s="72"/>
      <c r="C53" s="68"/>
      <c r="D53" s="72"/>
      <c r="E53" s="82"/>
      <c r="F53" s="67"/>
      <c r="G53" s="67"/>
      <c r="H53" s="72"/>
      <c r="I53" s="16"/>
      <c r="J53" s="16"/>
      <c r="K53" s="538">
        <f t="shared" si="1"/>
        <v>0</v>
      </c>
      <c r="L53" s="16"/>
      <c r="M53" s="16"/>
      <c r="N53" t="b">
        <f>IF(AND(COUNTA(B53)=1,OR(G53="",G53=Auswahldaten!A$13)),1)</f>
        <v>0</v>
      </c>
      <c r="O53">
        <f t="shared" si="0"/>
        <v>1</v>
      </c>
    </row>
    <row r="54" spans="1:15" ht="15.5">
      <c r="A54" s="27">
        <v>43</v>
      </c>
      <c r="B54" s="72"/>
      <c r="C54" s="68"/>
      <c r="D54" s="72"/>
      <c r="E54" s="82"/>
      <c r="F54" s="67"/>
      <c r="G54" s="67"/>
      <c r="H54" s="72"/>
      <c r="I54" s="16"/>
      <c r="J54" s="16"/>
      <c r="K54" s="538">
        <f t="shared" si="1"/>
        <v>0</v>
      </c>
      <c r="L54" s="16"/>
      <c r="M54" s="16"/>
      <c r="N54" t="b">
        <f>IF(AND(COUNTA(B54)=1,OR(G54="",G54=Auswahldaten!A$13)),1)</f>
        <v>0</v>
      </c>
      <c r="O54">
        <f t="shared" si="0"/>
        <v>1</v>
      </c>
    </row>
    <row r="55" spans="1:15" ht="15.5">
      <c r="A55" s="27">
        <v>44</v>
      </c>
      <c r="B55" s="72"/>
      <c r="C55" s="68"/>
      <c r="D55" s="72"/>
      <c r="E55" s="82"/>
      <c r="F55" s="67"/>
      <c r="G55" s="67"/>
      <c r="H55" s="72"/>
      <c r="I55" s="16"/>
      <c r="J55" s="16"/>
      <c r="K55" s="538">
        <f t="shared" si="1"/>
        <v>0</v>
      </c>
      <c r="L55" s="16"/>
      <c r="M55" s="16"/>
      <c r="N55" t="b">
        <f>IF(AND(COUNTA(B55)=1,OR(G55="",G55=Auswahldaten!A$13)),1)</f>
        <v>0</v>
      </c>
      <c r="O55">
        <f t="shared" si="0"/>
        <v>1</v>
      </c>
    </row>
    <row r="56" spans="1:15" ht="15.5">
      <c r="A56" s="27">
        <v>45</v>
      </c>
      <c r="B56" s="72"/>
      <c r="C56" s="68"/>
      <c r="D56" s="72"/>
      <c r="E56" s="82"/>
      <c r="F56" s="67"/>
      <c r="G56" s="67"/>
      <c r="H56" s="72"/>
      <c r="I56" s="16"/>
      <c r="J56" s="16"/>
      <c r="K56" s="538">
        <f t="shared" si="1"/>
        <v>0</v>
      </c>
      <c r="L56" s="16"/>
      <c r="M56" s="16"/>
      <c r="N56" t="b">
        <f>IF(AND(COUNTA(B56)=1,OR(G56="",G56=Auswahldaten!A$13)),1)</f>
        <v>0</v>
      </c>
      <c r="O56">
        <f t="shared" si="0"/>
        <v>1</v>
      </c>
    </row>
    <row r="57" spans="1:15" ht="15.5">
      <c r="A57" s="27">
        <v>46</v>
      </c>
      <c r="B57" s="72"/>
      <c r="C57" s="68"/>
      <c r="D57" s="72"/>
      <c r="E57" s="82"/>
      <c r="F57" s="67"/>
      <c r="G57" s="67"/>
      <c r="H57" s="72"/>
      <c r="I57" s="16"/>
      <c r="J57" s="16"/>
      <c r="K57" s="538">
        <f t="shared" si="1"/>
        <v>0</v>
      </c>
      <c r="L57" s="16"/>
      <c r="M57" s="16"/>
      <c r="N57" t="b">
        <f>IF(AND(COUNTA(B57)=1,OR(G57="",G57=Auswahldaten!A$13)),1)</f>
        <v>0</v>
      </c>
      <c r="O57">
        <f t="shared" si="0"/>
        <v>1</v>
      </c>
    </row>
    <row r="58" spans="1:15" ht="15.5">
      <c r="A58" s="27">
        <v>47</v>
      </c>
      <c r="B58" s="72"/>
      <c r="C58" s="68"/>
      <c r="D58" s="72"/>
      <c r="E58" s="82"/>
      <c r="F58" s="67"/>
      <c r="G58" s="67"/>
      <c r="H58" s="72"/>
      <c r="I58" s="16"/>
      <c r="J58" s="16"/>
      <c r="K58" s="538">
        <f t="shared" si="1"/>
        <v>0</v>
      </c>
      <c r="L58" s="16"/>
      <c r="M58" s="16"/>
      <c r="N58" t="b">
        <f>IF(AND(COUNTA(B58)=1,OR(G58="",G58=Auswahldaten!A$13)),1)</f>
        <v>0</v>
      </c>
      <c r="O58">
        <f t="shared" si="0"/>
        <v>1</v>
      </c>
    </row>
    <row r="59" spans="1:15" ht="15.5">
      <c r="A59" s="27">
        <v>48</v>
      </c>
      <c r="B59" s="72"/>
      <c r="C59" s="68"/>
      <c r="D59" s="72"/>
      <c r="E59" s="82"/>
      <c r="F59" s="67"/>
      <c r="G59" s="67"/>
      <c r="H59" s="72"/>
      <c r="I59" s="16"/>
      <c r="J59" s="16"/>
      <c r="K59" s="538">
        <f t="shared" si="1"/>
        <v>0</v>
      </c>
      <c r="L59" s="16"/>
      <c r="M59" s="16"/>
      <c r="N59" t="b">
        <f>IF(AND(COUNTA(B59)=1,OR(G59="",G59=Auswahldaten!A$13)),1)</f>
        <v>0</v>
      </c>
      <c r="O59">
        <f t="shared" si="0"/>
        <v>1</v>
      </c>
    </row>
    <row r="60" spans="1:15" ht="15.5">
      <c r="A60" s="27">
        <v>49</v>
      </c>
      <c r="B60" s="72"/>
      <c r="C60" s="68"/>
      <c r="D60" s="72"/>
      <c r="E60" s="82"/>
      <c r="F60" s="67"/>
      <c r="G60" s="67"/>
      <c r="H60" s="72"/>
      <c r="I60" s="16"/>
      <c r="J60" s="16"/>
      <c r="K60" s="538">
        <f t="shared" si="1"/>
        <v>0</v>
      </c>
      <c r="L60" s="16"/>
      <c r="M60" s="16"/>
      <c r="N60" t="b">
        <f>IF(AND(COUNTA(B60)=1,OR(G60="",G60=Auswahldaten!A$13)),1)</f>
        <v>0</v>
      </c>
      <c r="O60">
        <f t="shared" si="0"/>
        <v>1</v>
      </c>
    </row>
    <row r="61" spans="1:15" ht="15.5">
      <c r="A61" s="27">
        <v>50</v>
      </c>
      <c r="B61" s="72"/>
      <c r="C61" s="68"/>
      <c r="D61" s="72"/>
      <c r="E61" s="82"/>
      <c r="F61" s="67"/>
      <c r="G61" s="67"/>
      <c r="H61" s="72"/>
      <c r="I61" s="16"/>
      <c r="J61" s="16"/>
      <c r="K61" s="538">
        <f t="shared" si="1"/>
        <v>0</v>
      </c>
      <c r="L61" s="16"/>
      <c r="M61" s="16"/>
      <c r="N61" t="b">
        <f>IF(AND(COUNTA(B61)=1,OR(G61="",G61=Auswahldaten!A$13)),1)</f>
        <v>0</v>
      </c>
      <c r="O61">
        <f t="shared" si="0"/>
        <v>1</v>
      </c>
    </row>
    <row r="62" spans="1:15" ht="16" thickBot="1">
      <c r="A62" s="14"/>
      <c r="B62" s="30" t="str">
        <f>IF(Adatlap!$L$1=Fordítások!C3,Fordítások!C24,Fordítások!B24)</f>
        <v>Összesen:</v>
      </c>
      <c r="C62" s="14"/>
      <c r="D62" s="30"/>
      <c r="E62" s="31">
        <f>SUM(E12:E61)</f>
        <v>0</v>
      </c>
      <c r="F62" s="14"/>
      <c r="G62" s="14"/>
      <c r="H62" s="14"/>
      <c r="I62" s="16"/>
      <c r="J62" s="16"/>
      <c r="K62" s="16"/>
      <c r="L62" s="570" t="s">
        <v>1318</v>
      </c>
      <c r="N62">
        <f>SUM(N13:N61)</f>
        <v>0</v>
      </c>
      <c r="O62">
        <f>49-SUM(O13:O61)</f>
        <v>0</v>
      </c>
    </row>
    <row r="63" spans="1:13" ht="16" thickTop="1">
      <c r="A63" s="14"/>
      <c r="B63" s="14"/>
      <c r="C63" s="14"/>
      <c r="D63" s="30"/>
      <c r="E63" s="20" t="str">
        <f>IF(Adatlap!$L$1=Fordítások!C3,Fordítások!C25,Fordítások!B25)</f>
        <v>(100-t adjon ki!)</v>
      </c>
      <c r="F63" s="14"/>
      <c r="G63" s="14"/>
      <c r="H63" s="14"/>
      <c r="I63" s="16"/>
      <c r="J63" s="16"/>
      <c r="K63" s="16"/>
      <c r="L63" s="16"/>
      <c r="M63" s="16"/>
    </row>
    <row r="64" spans="1:13" ht="15.5">
      <c r="A64" s="14"/>
      <c r="B64" s="14"/>
      <c r="C64" s="14"/>
      <c r="D64" s="30"/>
      <c r="E64" s="20"/>
      <c r="F64" s="14"/>
      <c r="G64" s="14"/>
      <c r="H64" s="14"/>
      <c r="I64" s="16"/>
      <c r="J64" s="16"/>
      <c r="K64" s="16"/>
      <c r="L64" s="16"/>
      <c r="M64" s="16"/>
    </row>
    <row r="65" spans="1:13" ht="34.5" customHeight="1">
      <c r="A65" s="14"/>
      <c r="B65" s="1026" t="str">
        <f>IF(Adatlap!$L$1=Fordítások!C3,Fordítások!C53,Fordítások!B53)</f>
        <v>1) 1272/2008/EK rendelet az anyagok és keverékek osztályozásáról, címkézéséről és csomagolásáról, a 67/548/EGK és az 1999/45/EK irányelv módosításáról és hatályon kívül helyezéséről, valamint az 1907/2006/EK rendelet módosításáról</v>
      </c>
      <c r="C65" s="1040" t="str">
        <f>IF($C$2="Deutsch",Fordítások!B84,Fordítások!A84)</f>
        <v>Nicht zutreffend</v>
      </c>
      <c r="D65" s="1040" t="e">
        <f>IF($C$2="Deutsch",Fordítások!A84,Fordítások!#REF!)</f>
        <v>#REF!</v>
      </c>
      <c r="E65" s="1040">
        <f>IF($C$2="Deutsch",Fordítások!#REF!,Fordítások!D84)</f>
        <v>0</v>
      </c>
      <c r="F65" s="1040">
        <f>IF($C$2="Deutsch",Fordítások!D84,Fordítások!E84)</f>
        <v>0</v>
      </c>
      <c r="G65" s="1040">
        <f>IF($C$2="Deutsch",Fordítások!E84,Fordítások!F84)</f>
        <v>0</v>
      </c>
      <c r="H65" s="1040">
        <f>IF($C$2="Deutsch",Fordítások!F84,Fordítások!G84)</f>
        <v>0</v>
      </c>
      <c r="I65" s="16"/>
      <c r="J65" s="16"/>
      <c r="K65" s="16"/>
      <c r="L65" s="16"/>
      <c r="M65" s="16"/>
    </row>
    <row r="66" spans="1:13" ht="15.5">
      <c r="A66" s="14"/>
      <c r="B66" s="14"/>
      <c r="C66" s="14"/>
      <c r="D66" s="14"/>
      <c r="E66" s="14"/>
      <c r="F66" s="14"/>
      <c r="G66" s="14"/>
      <c r="H66" s="14"/>
      <c r="I66" s="16"/>
      <c r="J66" s="16"/>
      <c r="K66" s="16"/>
      <c r="L66" s="16"/>
      <c r="M66" s="16"/>
    </row>
    <row r="67" spans="1:13" ht="46.5" customHeight="1">
      <c r="A67" s="14"/>
      <c r="B67" s="1041" t="str">
        <f>IF(Adatlap!$L$1=Fordítások!C3,Fordítások!C26,Fordítások!B26)</f>
        <v>A pályázó megjegyzései</v>
      </c>
      <c r="C67" s="1042" t="e">
        <f>IF($C$2="Deutsch",Fordítások!#REF!,Fordítások!#REF!)</f>
        <v>#REF!</v>
      </c>
      <c r="D67" s="1042" t="e">
        <f>IF($C$2="Deutsch",Fordítások!#REF!,Fordítások!#REF!)</f>
        <v>#REF!</v>
      </c>
      <c r="E67" s="1042" t="e">
        <f>IF($C$2="Deutsch",Fordítások!#REF!,Fordítások!#REF!)</f>
        <v>#REF!</v>
      </c>
      <c r="F67" s="1042" t="e">
        <f>IF($C$2="Deutsch",Fordítások!#REF!,Fordítások!#REF!)</f>
        <v>#REF!</v>
      </c>
      <c r="G67" s="1042" t="e">
        <f>IF($C$2="Deutsch",Fordítások!#REF!,Fordítások!#REF!)</f>
        <v>#REF!</v>
      </c>
      <c r="H67" s="1043" t="e">
        <f>IF($C$2="Deutsch",Fordítások!#REF!,Fordítások!#REF!)</f>
        <v>#REF!</v>
      </c>
      <c r="I67" s="16"/>
      <c r="J67" s="16"/>
      <c r="K67" s="16"/>
      <c r="L67" s="16"/>
      <c r="M67" s="16"/>
    </row>
    <row r="68" spans="1:13" ht="15.5">
      <c r="A68" s="14"/>
      <c r="B68" s="14"/>
      <c r="C68" s="14"/>
      <c r="D68" s="14"/>
      <c r="E68" s="14"/>
      <c r="F68" s="14"/>
      <c r="G68" s="14"/>
      <c r="H68" s="14"/>
      <c r="I68" s="16"/>
      <c r="J68" s="16"/>
      <c r="K68" s="16"/>
      <c r="L68" s="16"/>
      <c r="M68" s="16"/>
    </row>
    <row r="69" spans="1:13" ht="15.5">
      <c r="A69" s="14"/>
      <c r="B69" s="14"/>
      <c r="C69" s="14"/>
      <c r="D69" s="14"/>
      <c r="E69" s="14"/>
      <c r="F69" s="14"/>
      <c r="G69" s="14"/>
      <c r="H69" s="14"/>
      <c r="I69" s="16"/>
      <c r="J69" s="16"/>
      <c r="K69" s="16"/>
      <c r="L69" s="16"/>
      <c r="M69" s="16"/>
    </row>
    <row r="70" spans="1:13" ht="15.5">
      <c r="A70" s="14"/>
      <c r="B70" s="14"/>
      <c r="C70" s="14"/>
      <c r="D70" s="14"/>
      <c r="E70" s="14"/>
      <c r="F70" s="14"/>
      <c r="G70" s="14"/>
      <c r="H70" s="14"/>
      <c r="I70" s="14"/>
      <c r="J70" s="16"/>
      <c r="K70" s="16"/>
      <c r="L70" s="16"/>
      <c r="M70" s="16"/>
    </row>
    <row r="71" spans="1:13" ht="15.5">
      <c r="A71" s="14"/>
      <c r="B71" s="14"/>
      <c r="C71" s="14"/>
      <c r="D71" s="14"/>
      <c r="E71" s="14"/>
      <c r="F71" s="14"/>
      <c r="G71" s="14"/>
      <c r="H71" s="14"/>
      <c r="I71" s="14"/>
      <c r="J71" s="16"/>
      <c r="K71" s="16"/>
      <c r="L71" s="16"/>
      <c r="M71" s="16"/>
    </row>
    <row r="72" spans="1:13" ht="15.5">
      <c r="A72" s="14"/>
      <c r="B72" s="14"/>
      <c r="C72" s="14"/>
      <c r="D72" s="14"/>
      <c r="E72" s="14"/>
      <c r="F72" s="14"/>
      <c r="G72" s="14"/>
      <c r="H72" s="14"/>
      <c r="I72" s="14"/>
      <c r="J72" s="16"/>
      <c r="K72" s="16"/>
      <c r="L72" s="16"/>
      <c r="M72" s="16"/>
    </row>
    <row r="73" spans="1:13" ht="15.5">
      <c r="A73" s="14"/>
      <c r="B73" s="14"/>
      <c r="C73" s="14"/>
      <c r="D73" s="14"/>
      <c r="E73" s="14"/>
      <c r="F73" s="14"/>
      <c r="G73" s="14"/>
      <c r="H73" s="14"/>
      <c r="I73" s="14"/>
      <c r="J73" s="16"/>
      <c r="K73" s="16"/>
      <c r="L73" s="16"/>
      <c r="M73" s="16"/>
    </row>
    <row r="74" spans="1:13" ht="15.5">
      <c r="A74" s="14"/>
      <c r="B74" s="14"/>
      <c r="C74" s="14"/>
      <c r="D74" s="14"/>
      <c r="E74" s="14"/>
      <c r="F74" s="14"/>
      <c r="G74" s="14"/>
      <c r="H74" s="14"/>
      <c r="I74" s="14"/>
      <c r="J74" s="16"/>
      <c r="K74" s="16"/>
      <c r="L74" s="16"/>
      <c r="M74" s="16"/>
    </row>
    <row r="75" spans="1:13" ht="15.5">
      <c r="A75" s="14"/>
      <c r="B75" s="14"/>
      <c r="C75" s="14"/>
      <c r="D75" s="14"/>
      <c r="E75" s="14"/>
      <c r="F75" s="14"/>
      <c r="G75" s="14"/>
      <c r="H75" s="14"/>
      <c r="I75" s="14"/>
      <c r="J75" s="16"/>
      <c r="K75" s="16"/>
      <c r="L75" s="16"/>
      <c r="M75" s="16"/>
    </row>
    <row r="76" spans="1:13" ht="15.5">
      <c r="A76" s="14"/>
      <c r="B76" s="14"/>
      <c r="C76" s="14"/>
      <c r="D76" s="14"/>
      <c r="E76" s="14"/>
      <c r="F76" s="14"/>
      <c r="G76" s="14"/>
      <c r="H76" s="14"/>
      <c r="I76" s="14"/>
      <c r="J76" s="16"/>
      <c r="K76" s="16"/>
      <c r="L76" s="16"/>
      <c r="M76" s="16"/>
    </row>
    <row r="77" spans="1:13" ht="15.5">
      <c r="A77" s="14"/>
      <c r="B77" s="14"/>
      <c r="C77" s="14"/>
      <c r="D77" s="14"/>
      <c r="E77" s="14"/>
      <c r="F77" s="14"/>
      <c r="G77" s="14"/>
      <c r="H77" s="14"/>
      <c r="I77" s="14"/>
      <c r="J77" s="16"/>
      <c r="K77" s="16"/>
      <c r="L77" s="16"/>
      <c r="M77" s="16"/>
    </row>
    <row r="78" spans="1:13" ht="15.5">
      <c r="A78" s="14"/>
      <c r="B78" s="14"/>
      <c r="C78" s="14"/>
      <c r="D78" s="14"/>
      <c r="E78" s="14"/>
      <c r="F78" s="14"/>
      <c r="G78" s="14"/>
      <c r="H78" s="14"/>
      <c r="I78" s="14"/>
      <c r="J78" s="16"/>
      <c r="K78" s="16"/>
      <c r="L78" s="16"/>
      <c r="M78" s="16"/>
    </row>
    <row r="79" spans="1:13" ht="15.5">
      <c r="A79" s="14"/>
      <c r="B79" s="14"/>
      <c r="C79" s="14"/>
      <c r="D79" s="14"/>
      <c r="E79" s="14"/>
      <c r="F79" s="14"/>
      <c r="G79" s="14"/>
      <c r="H79" s="14"/>
      <c r="I79" s="14"/>
      <c r="J79" s="16"/>
      <c r="K79" s="16"/>
      <c r="L79" s="16"/>
      <c r="M79" s="16"/>
    </row>
    <row r="80" spans="1:13" ht="15.5">
      <c r="A80" s="14"/>
      <c r="B80" s="14"/>
      <c r="C80" s="14"/>
      <c r="D80" s="14"/>
      <c r="E80" s="14"/>
      <c r="F80" s="14"/>
      <c r="G80" s="14"/>
      <c r="H80" s="14"/>
      <c r="I80" s="14"/>
      <c r="J80" s="16"/>
      <c r="K80" s="16"/>
      <c r="L80" s="16"/>
      <c r="M80" s="16"/>
    </row>
    <row r="81" spans="1:13" ht="15.5">
      <c r="A81" s="14"/>
      <c r="B81" s="14"/>
      <c r="C81" s="14"/>
      <c r="D81" s="14"/>
      <c r="E81" s="14"/>
      <c r="F81" s="14"/>
      <c r="G81" s="14"/>
      <c r="H81" s="14"/>
      <c r="I81" s="14"/>
      <c r="J81" s="16"/>
      <c r="K81" s="16"/>
      <c r="L81" s="16"/>
      <c r="M81" s="16"/>
    </row>
    <row r="82" spans="1:13" ht="15.5">
      <c r="A82" s="14"/>
      <c r="B82" s="14"/>
      <c r="C82" s="14"/>
      <c r="D82" s="14"/>
      <c r="E82" s="14"/>
      <c r="F82" s="14"/>
      <c r="G82" s="14"/>
      <c r="H82" s="14"/>
      <c r="I82" s="14"/>
      <c r="J82" s="16"/>
      <c r="K82" s="16"/>
      <c r="L82" s="16"/>
      <c r="M82" s="16"/>
    </row>
    <row r="83" spans="1:13" ht="15.5">
      <c r="A83" s="14"/>
      <c r="B83" s="14"/>
      <c r="C83" s="14"/>
      <c r="D83" s="14"/>
      <c r="E83" s="14"/>
      <c r="F83" s="14"/>
      <c r="G83" s="14"/>
      <c r="H83" s="14"/>
      <c r="I83" s="14"/>
      <c r="J83" s="16"/>
      <c r="K83" s="16"/>
      <c r="L83" s="16"/>
      <c r="M83" s="16"/>
    </row>
    <row r="84" spans="1:13" ht="15.5">
      <c r="A84" s="14"/>
      <c r="B84" s="14"/>
      <c r="C84" s="14"/>
      <c r="D84" s="14"/>
      <c r="E84" s="14"/>
      <c r="F84" s="14"/>
      <c r="G84" s="14"/>
      <c r="H84" s="14"/>
      <c r="I84" s="14"/>
      <c r="J84" s="16"/>
      <c r="K84" s="16"/>
      <c r="L84" s="16"/>
      <c r="M84" s="16"/>
    </row>
    <row r="85" spans="1:13" ht="15.5">
      <c r="A85" s="14"/>
      <c r="B85" s="14"/>
      <c r="C85" s="14"/>
      <c r="D85" s="14"/>
      <c r="E85" s="14"/>
      <c r="F85" s="14"/>
      <c r="G85" s="14"/>
      <c r="H85" s="14"/>
      <c r="I85" s="14"/>
      <c r="J85" s="16"/>
      <c r="K85" s="16"/>
      <c r="L85" s="16"/>
      <c r="M85" s="16"/>
    </row>
    <row r="86" spans="1:13" ht="15.5">
      <c r="A86" s="14"/>
      <c r="B86" s="14"/>
      <c r="C86" s="14"/>
      <c r="D86" s="14"/>
      <c r="E86" s="14"/>
      <c r="F86" s="14"/>
      <c r="G86" s="14"/>
      <c r="H86" s="14"/>
      <c r="I86" s="14"/>
      <c r="J86" s="16"/>
      <c r="K86" s="16"/>
      <c r="L86" s="16"/>
      <c r="M86" s="16"/>
    </row>
    <row r="87" spans="1:13" ht="15.5">
      <c r="A87" s="14"/>
      <c r="B87" s="14"/>
      <c r="C87" s="14"/>
      <c r="D87" s="14"/>
      <c r="E87" s="14"/>
      <c r="F87" s="14"/>
      <c r="G87" s="14"/>
      <c r="H87" s="14"/>
      <c r="I87" s="14"/>
      <c r="J87" s="16"/>
      <c r="K87" s="16"/>
      <c r="L87" s="16"/>
      <c r="M87" s="16"/>
    </row>
    <row r="88" spans="1:13" ht="15.5">
      <c r="A88" s="14"/>
      <c r="B88" s="14"/>
      <c r="C88" s="14"/>
      <c r="D88" s="14"/>
      <c r="E88" s="14"/>
      <c r="F88" s="14"/>
      <c r="G88" s="14"/>
      <c r="H88" s="14"/>
      <c r="I88" s="14"/>
      <c r="J88" s="16"/>
      <c r="K88" s="16"/>
      <c r="L88" s="16"/>
      <c r="M88" s="16"/>
    </row>
    <row r="89" spans="1:13" ht="15.5">
      <c r="A89" s="14"/>
      <c r="B89" s="14"/>
      <c r="C89" s="14"/>
      <c r="D89" s="14"/>
      <c r="E89" s="14"/>
      <c r="F89" s="14"/>
      <c r="G89" s="14"/>
      <c r="H89" s="14"/>
      <c r="I89" s="14"/>
      <c r="J89" s="16"/>
      <c r="K89" s="16"/>
      <c r="L89" s="16"/>
      <c r="M89" s="16"/>
    </row>
    <row r="90" spans="1:13" ht="15.5">
      <c r="A90" s="14"/>
      <c r="B90" s="14"/>
      <c r="C90" s="14"/>
      <c r="D90" s="14"/>
      <c r="E90" s="14"/>
      <c r="F90" s="14"/>
      <c r="G90" s="14"/>
      <c r="H90" s="14"/>
      <c r="I90" s="14"/>
      <c r="J90" s="16"/>
      <c r="K90" s="16"/>
      <c r="L90" s="16"/>
      <c r="M90" s="16"/>
    </row>
    <row r="91" spans="1:13" ht="15.5">
      <c r="A91" s="14"/>
      <c r="B91" s="14"/>
      <c r="C91" s="14"/>
      <c r="D91" s="14"/>
      <c r="E91" s="14"/>
      <c r="F91" s="14"/>
      <c r="G91" s="14"/>
      <c r="H91" s="14"/>
      <c r="I91" s="14"/>
      <c r="J91" s="16"/>
      <c r="K91" s="16"/>
      <c r="L91" s="16"/>
      <c r="M91" s="16"/>
    </row>
    <row r="92" spans="1:13" ht="15.5">
      <c r="A92" s="14"/>
      <c r="B92" s="14"/>
      <c r="C92" s="14"/>
      <c r="D92" s="14"/>
      <c r="E92" s="14"/>
      <c r="F92" s="14"/>
      <c r="G92" s="14"/>
      <c r="H92" s="14"/>
      <c r="I92" s="14"/>
      <c r="J92" s="16"/>
      <c r="K92" s="16"/>
      <c r="L92" s="16"/>
      <c r="M92" s="16"/>
    </row>
    <row r="93" spans="1:13" ht="15.5">
      <c r="A93" s="14"/>
      <c r="B93" s="14"/>
      <c r="C93" s="14"/>
      <c r="D93" s="14"/>
      <c r="E93" s="14"/>
      <c r="F93" s="14"/>
      <c r="G93" s="14"/>
      <c r="H93" s="14"/>
      <c r="I93" s="14"/>
      <c r="J93" s="16"/>
      <c r="K93" s="16"/>
      <c r="L93" s="16"/>
      <c r="M93" s="16"/>
    </row>
    <row r="94" spans="1:13" ht="15.5">
      <c r="A94" s="14"/>
      <c r="B94" s="14"/>
      <c r="C94" s="14"/>
      <c r="D94" s="14"/>
      <c r="E94" s="14"/>
      <c r="F94" s="14"/>
      <c r="G94" s="14"/>
      <c r="H94" s="14"/>
      <c r="I94" s="14"/>
      <c r="J94" s="16"/>
      <c r="K94" s="16"/>
      <c r="L94" s="16"/>
      <c r="M94" s="16"/>
    </row>
    <row r="95" spans="1:13" ht="15.5">
      <c r="A95" s="14"/>
      <c r="B95" s="14"/>
      <c r="C95" s="14"/>
      <c r="D95" s="14"/>
      <c r="E95" s="14"/>
      <c r="F95" s="14"/>
      <c r="G95" s="14"/>
      <c r="H95" s="14"/>
      <c r="I95" s="14"/>
      <c r="J95" s="16"/>
      <c r="K95" s="16"/>
      <c r="L95" s="16"/>
      <c r="M95" s="16"/>
    </row>
    <row r="96" spans="1:13" ht="15.5">
      <c r="A96" s="14"/>
      <c r="B96" s="14"/>
      <c r="C96" s="14"/>
      <c r="D96" s="14"/>
      <c r="E96" s="14"/>
      <c r="F96" s="14"/>
      <c r="G96" s="14"/>
      <c r="H96" s="14"/>
      <c r="I96" s="14"/>
      <c r="J96" s="16"/>
      <c r="K96" s="16"/>
      <c r="L96" s="16"/>
      <c r="M96" s="16"/>
    </row>
    <row r="97" spans="1:13" ht="15.5">
      <c r="A97" s="14"/>
      <c r="B97" s="14"/>
      <c r="C97" s="14"/>
      <c r="D97" s="14"/>
      <c r="E97" s="14"/>
      <c r="F97" s="14"/>
      <c r="G97" s="14"/>
      <c r="H97" s="14"/>
      <c r="I97" s="14"/>
      <c r="J97" s="16"/>
      <c r="K97" s="16"/>
      <c r="L97" s="16"/>
      <c r="M97" s="16"/>
    </row>
    <row r="98" spans="1:13" ht="15.5">
      <c r="A98" s="14"/>
      <c r="B98" s="14"/>
      <c r="C98" s="14"/>
      <c r="D98" s="14"/>
      <c r="E98" s="14"/>
      <c r="F98" s="14"/>
      <c r="G98" s="14"/>
      <c r="H98" s="14"/>
      <c r="I98" s="14"/>
      <c r="J98" s="16"/>
      <c r="K98" s="16"/>
      <c r="L98" s="16"/>
      <c r="M98" s="16"/>
    </row>
    <row r="99" spans="1:13" ht="15.5">
      <c r="A99" s="14"/>
      <c r="B99" s="14"/>
      <c r="C99" s="14"/>
      <c r="D99" s="14"/>
      <c r="E99" s="14"/>
      <c r="F99" s="14"/>
      <c r="G99" s="14"/>
      <c r="H99" s="14"/>
      <c r="I99" s="14"/>
      <c r="J99" s="16"/>
      <c r="K99" s="16"/>
      <c r="L99" s="16"/>
      <c r="M99" s="16"/>
    </row>
    <row r="100" spans="1:13" ht="15.5">
      <c r="A100" s="14"/>
      <c r="B100" s="14"/>
      <c r="C100" s="14"/>
      <c r="D100" s="14"/>
      <c r="E100" s="14"/>
      <c r="F100" s="14"/>
      <c r="G100" s="14"/>
      <c r="H100" s="14"/>
      <c r="I100" s="14"/>
      <c r="J100" s="16"/>
      <c r="K100" s="16"/>
      <c r="L100" s="16"/>
      <c r="M100" s="16"/>
    </row>
    <row r="101" spans="1:13" ht="15.5">
      <c r="A101" s="14"/>
      <c r="B101" s="14"/>
      <c r="C101" s="14"/>
      <c r="D101" s="14"/>
      <c r="E101" s="14"/>
      <c r="F101" s="14"/>
      <c r="G101" s="14"/>
      <c r="H101" s="14"/>
      <c r="I101" s="14"/>
      <c r="J101" s="16"/>
      <c r="K101" s="16"/>
      <c r="L101" s="16"/>
      <c r="M101" s="16"/>
    </row>
    <row r="102" spans="1:13" ht="15.5">
      <c r="A102" s="7"/>
      <c r="B102" s="7"/>
      <c r="C102" s="7"/>
      <c r="D102" s="7"/>
      <c r="E102" s="7"/>
      <c r="F102" s="7"/>
      <c r="G102" s="7"/>
      <c r="H102" s="7"/>
      <c r="I102" s="16"/>
      <c r="J102" s="16"/>
      <c r="K102" s="16"/>
      <c r="L102" s="16"/>
      <c r="M102" s="16"/>
    </row>
    <row r="103" spans="9:13" ht="15.5">
      <c r="I103" s="16"/>
      <c r="J103" s="16"/>
      <c r="K103" s="16"/>
      <c r="L103" s="16"/>
      <c r="M103" s="16"/>
    </row>
    <row r="104" spans="9:13" ht="15.5">
      <c r="I104" s="16"/>
      <c r="J104" s="16"/>
      <c r="K104" s="16"/>
      <c r="L104" s="16"/>
      <c r="M104" s="16"/>
    </row>
    <row r="105" spans="9:13" ht="15.5">
      <c r="I105" s="16"/>
      <c r="J105" s="16"/>
      <c r="K105" s="16"/>
      <c r="L105" s="16"/>
      <c r="M105" s="16"/>
    </row>
    <row r="106" spans="9:13" ht="15.5">
      <c r="I106" s="16"/>
      <c r="J106" s="16"/>
      <c r="K106" s="16"/>
      <c r="L106" s="16"/>
      <c r="M106" s="16"/>
    </row>
    <row r="107" spans="9:13" ht="15.5">
      <c r="I107" s="16"/>
      <c r="J107" s="16"/>
      <c r="K107" s="16"/>
      <c r="L107" s="16"/>
      <c r="M107" s="16"/>
    </row>
    <row r="108" spans="9:13" ht="15.5">
      <c r="I108" s="16"/>
      <c r="J108" s="16"/>
      <c r="K108" s="16"/>
      <c r="L108" s="16"/>
      <c r="M108" s="16"/>
    </row>
    <row r="109" spans="9:13" ht="15.5">
      <c r="I109" s="16"/>
      <c r="J109" s="16"/>
      <c r="K109" s="16"/>
      <c r="L109" s="16"/>
      <c r="M109" s="16"/>
    </row>
    <row r="110" spans="9:13" ht="15.5">
      <c r="I110" s="16"/>
      <c r="J110" s="16"/>
      <c r="K110" s="16"/>
      <c r="L110" s="16"/>
      <c r="M110" s="16"/>
    </row>
    <row r="111" spans="9:13" ht="15.5">
      <c r="I111" s="16"/>
      <c r="J111" s="16"/>
      <c r="K111" s="16"/>
      <c r="L111" s="16"/>
      <c r="M111" s="16"/>
    </row>
    <row r="112" spans="9:13" ht="15.5">
      <c r="I112" s="16"/>
      <c r="J112" s="16"/>
      <c r="K112" s="16"/>
      <c r="L112" s="16"/>
      <c r="M112" s="16"/>
    </row>
    <row r="113" spans="9:13" ht="15.5">
      <c r="I113" s="16"/>
      <c r="J113" s="16"/>
      <c r="K113" s="16"/>
      <c r="L113" s="16"/>
      <c r="M113" s="16"/>
    </row>
    <row r="114" spans="9:13" ht="15.5">
      <c r="I114" s="16"/>
      <c r="J114" s="16"/>
      <c r="K114" s="16"/>
      <c r="L114" s="16"/>
      <c r="M114" s="16"/>
    </row>
    <row r="115" spans="9:13" ht="15.5">
      <c r="I115" s="16"/>
      <c r="J115" s="16"/>
      <c r="K115" s="16"/>
      <c r="L115" s="16"/>
      <c r="M115" s="16"/>
    </row>
    <row r="116" spans="9:13" ht="15.5">
      <c r="I116" s="16"/>
      <c r="J116" s="16"/>
      <c r="K116" s="16"/>
      <c r="L116" s="16"/>
      <c r="M116" s="16"/>
    </row>
    <row r="117" spans="9:13" ht="15.5">
      <c r="I117" s="16"/>
      <c r="J117" s="16"/>
      <c r="K117" s="16"/>
      <c r="L117" s="16"/>
      <c r="M117" s="16"/>
    </row>
  </sheetData>
  <sheetProtection algorithmName="SHA-512" hashValue="VUwt7jv830YTJeFgG7/mkoMJim/sCJvV/vpajxhpttKY2DMtRbutLe2Hgji1hUeWkvbdxBSyAObPLo+YjpSpjQ==" saltValue="GlPLzy69RehJUu1CgtZONw==" spinCount="100000" sheet="1" objects="1" scenarios="1" selectLockedCells="1"/>
  <autoFilter ref="B10:B63"/>
  <mergeCells count="21">
    <mergeCell ref="B67:H67"/>
    <mergeCell ref="A6:B6"/>
    <mergeCell ref="C6:E6"/>
    <mergeCell ref="A7:B7"/>
    <mergeCell ref="C7:E7"/>
    <mergeCell ref="A8:B8"/>
    <mergeCell ref="C8:E8"/>
    <mergeCell ref="F6:H6"/>
    <mergeCell ref="B10:B11"/>
    <mergeCell ref="C10:C11"/>
    <mergeCell ref="H10:H11"/>
    <mergeCell ref="E1:F1"/>
    <mergeCell ref="G1:H1"/>
    <mergeCell ref="A4:B4"/>
    <mergeCell ref="C4:E4"/>
    <mergeCell ref="B65:H65"/>
    <mergeCell ref="M11:M12"/>
    <mergeCell ref="K11:K12"/>
    <mergeCell ref="N11:N12"/>
    <mergeCell ref="A5:B5"/>
    <mergeCell ref="C5:E5"/>
  </mergeCells>
  <conditionalFormatting sqref="E62">
    <cfRule type="expression" priority="60" dxfId="619">
      <formula>E62&lt;&gt;100</formula>
    </cfRule>
  </conditionalFormatting>
  <conditionalFormatting sqref="C13:H13">
    <cfRule type="expression" priority="59" dxfId="76">
      <formula>$B13=""</formula>
    </cfRule>
  </conditionalFormatting>
  <conditionalFormatting sqref="C14:H14">
    <cfRule type="expression" priority="48" dxfId="76">
      <formula>$B14=""</formula>
    </cfRule>
  </conditionalFormatting>
  <conditionalFormatting sqref="C15:H15">
    <cfRule type="expression" priority="47" dxfId="76">
      <formula>$B15=""</formula>
    </cfRule>
  </conditionalFormatting>
  <conditionalFormatting sqref="C16:H16">
    <cfRule type="expression" priority="46" dxfId="76">
      <formula>$B16=""</formula>
    </cfRule>
  </conditionalFormatting>
  <conditionalFormatting sqref="C17:H17">
    <cfRule type="expression" priority="45" dxfId="76">
      <formula>$B17=""</formula>
    </cfRule>
  </conditionalFormatting>
  <conditionalFormatting sqref="C18:H18">
    <cfRule type="expression" priority="44" dxfId="76">
      <formula>$B18=""</formula>
    </cfRule>
  </conditionalFormatting>
  <conditionalFormatting sqref="C19:H19">
    <cfRule type="expression" priority="43" dxfId="76">
      <formula>$B19=""</formula>
    </cfRule>
  </conditionalFormatting>
  <conditionalFormatting sqref="C20:H20">
    <cfRule type="expression" priority="42" dxfId="76">
      <formula>$B20=""</formula>
    </cfRule>
  </conditionalFormatting>
  <conditionalFormatting sqref="C21:H21">
    <cfRule type="expression" priority="41" dxfId="76">
      <formula>$B21=""</formula>
    </cfRule>
  </conditionalFormatting>
  <conditionalFormatting sqref="C22:H22">
    <cfRule type="expression" priority="40" dxfId="76">
      <formula>$B22=""</formula>
    </cfRule>
  </conditionalFormatting>
  <conditionalFormatting sqref="C23:H23">
    <cfRule type="expression" priority="39" dxfId="76">
      <formula>$B23=""</formula>
    </cfRule>
  </conditionalFormatting>
  <conditionalFormatting sqref="C24:H24">
    <cfRule type="expression" priority="38" dxfId="76">
      <formula>$B24=""</formula>
    </cfRule>
  </conditionalFormatting>
  <conditionalFormatting sqref="C25:H25">
    <cfRule type="expression" priority="37" dxfId="76">
      <formula>$B25=""</formula>
    </cfRule>
  </conditionalFormatting>
  <conditionalFormatting sqref="C26:H26">
    <cfRule type="expression" priority="36" dxfId="76">
      <formula>$B26=""</formula>
    </cfRule>
  </conditionalFormatting>
  <conditionalFormatting sqref="C27:H27">
    <cfRule type="expression" priority="35" dxfId="76">
      <formula>$B27=""</formula>
    </cfRule>
  </conditionalFormatting>
  <conditionalFormatting sqref="C28:H28">
    <cfRule type="expression" priority="34" dxfId="76">
      <formula>$B28=""</formula>
    </cfRule>
  </conditionalFormatting>
  <conditionalFormatting sqref="C29:H29">
    <cfRule type="expression" priority="33" dxfId="76">
      <formula>$B29=""</formula>
    </cfRule>
  </conditionalFormatting>
  <conditionalFormatting sqref="C30:H30">
    <cfRule type="expression" priority="32" dxfId="76">
      <formula>$B30=""</formula>
    </cfRule>
  </conditionalFormatting>
  <conditionalFormatting sqref="C31:H31">
    <cfRule type="expression" priority="31" dxfId="76">
      <formula>$B31=""</formula>
    </cfRule>
  </conditionalFormatting>
  <conditionalFormatting sqref="C32:H32">
    <cfRule type="expression" priority="30" dxfId="76">
      <formula>$B32=""</formula>
    </cfRule>
  </conditionalFormatting>
  <conditionalFormatting sqref="C33:H33">
    <cfRule type="expression" priority="29" dxfId="76">
      <formula>$B33=""</formula>
    </cfRule>
  </conditionalFormatting>
  <conditionalFormatting sqref="C34:H34">
    <cfRule type="expression" priority="28" dxfId="76">
      <formula>$B34=""</formula>
    </cfRule>
  </conditionalFormatting>
  <conditionalFormatting sqref="C35:H35">
    <cfRule type="expression" priority="27" dxfId="76">
      <formula>$B35=""</formula>
    </cfRule>
  </conditionalFormatting>
  <conditionalFormatting sqref="C36:H36">
    <cfRule type="expression" priority="26" dxfId="76">
      <formula>$B36=""</formula>
    </cfRule>
  </conditionalFormatting>
  <conditionalFormatting sqref="C37:H37">
    <cfRule type="expression" priority="25" dxfId="76">
      <formula>$B37=""</formula>
    </cfRule>
  </conditionalFormatting>
  <conditionalFormatting sqref="C38:H38">
    <cfRule type="expression" priority="24" dxfId="76">
      <formula>$B38=""</formula>
    </cfRule>
  </conditionalFormatting>
  <conditionalFormatting sqref="C39:H39">
    <cfRule type="expression" priority="23" dxfId="76">
      <formula>$B39=""</formula>
    </cfRule>
  </conditionalFormatting>
  <conditionalFormatting sqref="C40:H40">
    <cfRule type="expression" priority="22" dxfId="76">
      <formula>$B40=""</formula>
    </cfRule>
  </conditionalFormatting>
  <conditionalFormatting sqref="C41:H41">
    <cfRule type="expression" priority="21" dxfId="76">
      <formula>$B41=""</formula>
    </cfRule>
  </conditionalFormatting>
  <conditionalFormatting sqref="C42:H42">
    <cfRule type="expression" priority="20" dxfId="76">
      <formula>$B42=""</formula>
    </cfRule>
  </conditionalFormatting>
  <conditionalFormatting sqref="C43:H43">
    <cfRule type="expression" priority="19" dxfId="76">
      <formula>$B43=""</formula>
    </cfRule>
  </conditionalFormatting>
  <conditionalFormatting sqref="C44:H44">
    <cfRule type="expression" priority="18" dxfId="76">
      <formula>$B44=""</formula>
    </cfRule>
  </conditionalFormatting>
  <conditionalFormatting sqref="C45:H45">
    <cfRule type="expression" priority="17" dxfId="76">
      <formula>$B45=""</formula>
    </cfRule>
  </conditionalFormatting>
  <conditionalFormatting sqref="C46:H46">
    <cfRule type="expression" priority="16" dxfId="76">
      <formula>$B46=""</formula>
    </cfRule>
  </conditionalFormatting>
  <conditionalFormatting sqref="C47:H47">
    <cfRule type="expression" priority="15" dxfId="76">
      <formula>$B47=""</formula>
    </cfRule>
  </conditionalFormatting>
  <conditionalFormatting sqref="C48:H48">
    <cfRule type="expression" priority="14" dxfId="76">
      <formula>$B48=""</formula>
    </cfRule>
  </conditionalFormatting>
  <conditionalFormatting sqref="C49:H49">
    <cfRule type="expression" priority="13" dxfId="76">
      <formula>$B49=""</formula>
    </cfRule>
  </conditionalFormatting>
  <conditionalFormatting sqref="C50:H50">
    <cfRule type="expression" priority="12" dxfId="76">
      <formula>$B50=""</formula>
    </cfRule>
  </conditionalFormatting>
  <conditionalFormatting sqref="C51:H51">
    <cfRule type="expression" priority="11" dxfId="76">
      <formula>$B51=""</formula>
    </cfRule>
  </conditionalFormatting>
  <conditionalFormatting sqref="C52:H52">
    <cfRule type="expression" priority="10" dxfId="76">
      <formula>$B52=""</formula>
    </cfRule>
  </conditionalFormatting>
  <conditionalFormatting sqref="C53:H53">
    <cfRule type="expression" priority="9" dxfId="76">
      <formula>$B53=""</formula>
    </cfRule>
  </conditionalFormatting>
  <conditionalFormatting sqref="C54:H54">
    <cfRule type="expression" priority="8" dxfId="76">
      <formula>$B54=""</formula>
    </cfRule>
  </conditionalFormatting>
  <conditionalFormatting sqref="C55:H55">
    <cfRule type="expression" priority="7" dxfId="76">
      <formula>$B55=""</formula>
    </cfRule>
  </conditionalFormatting>
  <conditionalFormatting sqref="C56:H56">
    <cfRule type="expression" priority="6" dxfId="76">
      <formula>$B56=""</formula>
    </cfRule>
  </conditionalFormatting>
  <conditionalFormatting sqref="C57:H57">
    <cfRule type="expression" priority="5" dxfId="76">
      <formula>$B57=""</formula>
    </cfRule>
  </conditionalFormatting>
  <conditionalFormatting sqref="C58:H58">
    <cfRule type="expression" priority="4" dxfId="76">
      <formula>$B58=""</formula>
    </cfRule>
  </conditionalFormatting>
  <conditionalFormatting sqref="C59:H59">
    <cfRule type="expression" priority="3" dxfId="76">
      <formula>$B59=""</formula>
    </cfRule>
  </conditionalFormatting>
  <conditionalFormatting sqref="C60:H60">
    <cfRule type="expression" priority="2" dxfId="76">
      <formula>$B60=""</formula>
    </cfRule>
  </conditionalFormatting>
  <conditionalFormatting sqref="C61:H61">
    <cfRule type="expression" priority="1" dxfId="76">
      <formula>$B61=""</formula>
    </cfRule>
  </conditionalFormatting>
  <conditionalFormatting sqref="C4:E6">
    <cfRule type="expression" priority="58" dxfId="236">
      <formula>Termék!C6=""</formula>
    </cfRule>
  </conditionalFormatting>
  <conditionalFormatting sqref="C7:E7">
    <cfRule type="expression" priority="55" dxfId="236">
      <formula>Termék!C24=""</formula>
    </cfRule>
  </conditionalFormatting>
  <conditionalFormatting sqref="C8:E8">
    <cfRule type="expression" priority="54" dxfId="236">
      <formula>Termék!C26=""</formula>
    </cfRule>
  </conditionalFormatting>
  <dataValidations count="3">
    <dataValidation type="list" allowBlank="1" showInputMessage="1" sqref="D13:D61">
      <formula1>Funktion</formula1>
    </dataValidation>
    <dataValidation type="list" allowBlank="1" showInputMessage="1" showErrorMessage="1" sqref="F13:G61">
      <formula1>janein</formula1>
    </dataValidation>
    <dataValidation allowBlank="1" showInputMessage="1" showErrorMessage="1" errorTitle="Please select" sqref="G1:H1"/>
  </dataValidations>
  <printOptions/>
  <pageMargins left="0.7874015748031497" right="0.7874015748031497" top="0.984251968503937" bottom="0.984251968503937" header="0.5118110236220472" footer="0.5118110236220472"/>
  <pageSetup fitToHeight="0" fitToWidth="1" horizontalDpi="600" verticalDpi="600" orientation="landscape" paperSize="9" scale="73" r:id="rId3"/>
  <ignoredErrors>
    <ignoredError sqref="C4:C8 B67"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37890" r:id="rId4" name="Button 2">
              <controlPr defaultSize="0" print="0" autoFill="0" autoPict="0" macro="[0]!összetétel_üres" altText="Gomb 2">
                <anchor moveWithCells="1" sizeWithCells="1">
                  <from>
                    <xdr:col>3</xdr:col>
                    <xdr:colOff>1593850</xdr:colOff>
                    <xdr:row>68</xdr:row>
                    <xdr:rowOff>146050</xdr:rowOff>
                  </from>
                  <to>
                    <xdr:col>5</xdr:col>
                    <xdr:colOff>342900</xdr:colOff>
                    <xdr:row>70</xdr:row>
                    <xdr:rowOff>76200</xdr:rowOff>
                  </to>
                </anchor>
              </controlPr>
            </control>
          </mc:Choice>
        </mc:AlternateContent>
        <mc:AlternateContent>
          <mc:Choice Requires="x14">
            <control xmlns:r="http://schemas.openxmlformats.org/officeDocument/2006/relationships" shapeId="37891" r:id="rId5" name="Button 3">
              <controlPr defaultSize="0" print="0" autoFill="0" autoPict="0" macro="[0]!Összetétel_további">
                <anchor moveWithCells="1" sizeWithCells="1">
                  <from>
                    <xdr:col>5</xdr:col>
                    <xdr:colOff>762000</xdr:colOff>
                    <xdr:row>68</xdr:row>
                    <xdr:rowOff>133350</xdr:rowOff>
                  </from>
                  <to>
                    <xdr:col>7</xdr:col>
                    <xdr:colOff>774700</xdr:colOff>
                    <xdr:row>70</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8">
            <xm:f>Termék!C6=""</xm:f>
            <x14:dxf>
              <font>
                <color theme="0"/>
              </font>
            </x14:dxf>
          </x14:cfRule>
          <xm:sqref>C4:E6</xm:sqref>
        </x14:conditionalFormatting>
        <x14:conditionalFormatting xmlns:xm="http://schemas.microsoft.com/office/excel/2006/main">
          <x14:cfRule type="expression" priority="55">
            <xm:f>Termék!C24=""</xm:f>
            <x14:dxf>
              <font>
                <color theme="0"/>
              </font>
            </x14:dxf>
          </x14:cfRule>
          <xm:sqref>C7:E7</xm:sqref>
        </x14:conditionalFormatting>
        <x14:conditionalFormatting xmlns:xm="http://schemas.microsoft.com/office/excel/2006/main">
          <x14:cfRule type="expression" priority="54">
            <xm:f>Termék!C26=""</xm:f>
            <x14:dxf>
              <font>
                <color theme="0"/>
              </font>
            </x14:dxf>
          </x14:cfRule>
          <xm:sqref>C8:E8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92D050"/>
    <pageSetUpPr fitToPage="1"/>
  </sheetPr>
  <dimension ref="A1:AW81"/>
  <sheetViews>
    <sheetView workbookViewId="0" topLeftCell="A9">
      <selection activeCell="I12" sqref="I12"/>
    </sheetView>
  </sheetViews>
  <sheetFormatPr defaultColWidth="11.421875" defaultRowHeight="12.75"/>
  <cols>
    <col min="1" max="1" width="3.140625" style="1" bestFit="1" customWidth="1"/>
    <col min="2" max="2" width="32.7109375" style="0" customWidth="1"/>
    <col min="3" max="3" width="15.7109375" style="1" customWidth="1"/>
    <col min="4" max="4" width="3.8515625" style="1" hidden="1" customWidth="1"/>
    <col min="5" max="5" width="9.421875" style="1" customWidth="1"/>
    <col min="6" max="6" width="9.421875" style="1" hidden="1" customWidth="1"/>
    <col min="7" max="7" width="9.421875" style="0" customWidth="1"/>
    <col min="8" max="8" width="19.140625" style="0" customWidth="1"/>
    <col min="9" max="9" width="17.7109375" style="0" customWidth="1"/>
    <col min="10" max="11" width="18.28125" style="0" customWidth="1"/>
    <col min="12" max="12" width="19.140625" style="2" customWidth="1"/>
    <col min="13" max="13" width="12.7109375" style="2" bestFit="1" customWidth="1"/>
    <col min="14" max="14" width="10.8515625" style="2" customWidth="1"/>
    <col min="15" max="15" width="10.8515625" style="171" bestFit="1" customWidth="1"/>
    <col min="16" max="16" width="12.7109375" style="171" customWidth="1"/>
    <col min="17" max="20" width="12.7109375" style="171" hidden="1" customWidth="1"/>
    <col min="21" max="21" width="12.7109375" style="171" customWidth="1"/>
    <col min="22" max="22" width="10.8515625" style="171" bestFit="1" customWidth="1"/>
    <col min="23" max="23" width="11.421875" style="740" customWidth="1"/>
    <col min="25" max="26" width="11.421875" style="0" hidden="1" customWidth="1"/>
    <col min="27" max="40" width="11.421875" style="131" hidden="1" customWidth="1"/>
    <col min="41" max="41" width="11.421875" style="728" hidden="1" customWidth="1"/>
    <col min="42" max="43" width="11.421875" style="131" hidden="1" customWidth="1"/>
    <col min="44" max="44" width="11.421875" style="523" hidden="1" customWidth="1"/>
    <col min="45" max="79" width="11.421875" style="523" customWidth="1"/>
  </cols>
  <sheetData>
    <row r="1" spans="1:24" ht="32.25" customHeight="1">
      <c r="A1" s="14"/>
      <c r="B1" s="268"/>
      <c r="C1" s="125"/>
      <c r="D1" s="125"/>
      <c r="E1" s="125"/>
      <c r="F1" s="125"/>
      <c r="G1" s="126"/>
      <c r="H1" s="125"/>
      <c r="I1" s="1036" t="str">
        <f>Termék!A1</f>
        <v>A BIZOTTSÁG HATÁROZATA</v>
      </c>
      <c r="J1" s="1037"/>
      <c r="K1" s="1050" t="str">
        <f>Termék!C1</f>
        <v>2017/1214/EU a kézi mosogatószerek uniós ökocímke kritériumairól</v>
      </c>
      <c r="L1" s="1051"/>
      <c r="M1" s="1052"/>
      <c r="N1" s="16"/>
      <c r="O1" s="78"/>
      <c r="P1" s="78"/>
      <c r="Q1" s="78"/>
      <c r="R1" s="78"/>
      <c r="S1" s="78"/>
      <c r="T1" s="78"/>
      <c r="U1" s="78"/>
      <c r="V1" s="78"/>
      <c r="W1" s="737"/>
      <c r="X1" s="16"/>
    </row>
    <row r="2" spans="1:24" ht="15.5">
      <c r="A2" s="14"/>
      <c r="B2" s="125"/>
      <c r="C2" s="125"/>
      <c r="D2" s="125"/>
      <c r="E2" s="125"/>
      <c r="F2" s="125"/>
      <c r="G2" s="126"/>
      <c r="H2" s="16"/>
      <c r="I2" s="88"/>
      <c r="J2" s="16"/>
      <c r="K2" s="16"/>
      <c r="L2" s="241"/>
      <c r="M2" s="16"/>
      <c r="N2" s="16"/>
      <c r="O2" s="78"/>
      <c r="P2" s="78"/>
      <c r="Q2" s="78"/>
      <c r="R2" s="78"/>
      <c r="S2" s="78"/>
      <c r="T2" s="78"/>
      <c r="U2" s="78"/>
      <c r="V2" s="78"/>
      <c r="W2" s="737"/>
      <c r="X2" s="16"/>
    </row>
    <row r="3" spans="1:24" ht="15.5">
      <c r="A3" s="1056"/>
      <c r="B3" s="1056"/>
      <c r="C3" s="1057"/>
      <c r="D3" s="1057"/>
      <c r="E3" s="1057"/>
      <c r="F3" s="1057"/>
      <c r="G3" s="1057"/>
      <c r="H3" s="1057"/>
      <c r="I3" s="1057"/>
      <c r="J3" s="18"/>
      <c r="K3" s="18"/>
      <c r="L3" s="200" t="str">
        <f>Termék!A3</f>
        <v>Dátum:</v>
      </c>
      <c r="M3" s="760" t="str">
        <f>IF(Termék!B3="","",Termék!B3)</f>
        <v/>
      </c>
      <c r="N3" s="16"/>
      <c r="O3" s="78"/>
      <c r="P3" s="78"/>
      <c r="Q3" s="78"/>
      <c r="R3" s="78"/>
      <c r="S3" s="78"/>
      <c r="T3" s="78"/>
      <c r="U3" s="78"/>
      <c r="V3" s="78"/>
      <c r="W3" s="737"/>
      <c r="X3" s="16"/>
    </row>
    <row r="4" spans="1:24" ht="15.5">
      <c r="A4" s="1017" t="str">
        <f>Termék!A6</f>
        <v>Szerződés száma:</v>
      </c>
      <c r="B4" s="1018"/>
      <c r="C4" s="1053" t="str">
        <f>IF(Termék!C6="","",Termék!C6)</f>
        <v/>
      </c>
      <c r="D4" s="1054"/>
      <c r="E4" s="1054"/>
      <c r="F4" s="1054"/>
      <c r="G4" s="1054"/>
      <c r="H4" s="1054"/>
      <c r="I4" s="1055"/>
      <c r="J4" s="18"/>
      <c r="K4" s="18"/>
      <c r="L4" s="200" t="str">
        <f>Termék!A4</f>
        <v>Verziószám:</v>
      </c>
      <c r="M4" s="760" t="str">
        <f>IF(Termék!B4="","",Termék!B4)</f>
        <v/>
      </c>
      <c r="N4" s="16"/>
      <c r="O4" s="78"/>
      <c r="P4" s="78"/>
      <c r="Q4" s="78"/>
      <c r="R4" s="78"/>
      <c r="S4" s="78"/>
      <c r="T4" s="78"/>
      <c r="U4" s="78"/>
      <c r="V4" s="78"/>
      <c r="W4" s="737"/>
      <c r="X4" s="16"/>
    </row>
    <row r="5" spans="1:24" ht="15.5">
      <c r="A5" s="1017" t="str">
        <f>Termék!A7</f>
        <v>Védjegyhasználó</v>
      </c>
      <c r="B5" s="1018"/>
      <c r="C5" s="1053" t="str">
        <f>IF(Termék!C7="","",Termék!C7)</f>
        <v/>
      </c>
      <c r="D5" s="1054"/>
      <c r="E5" s="1054"/>
      <c r="F5" s="1054"/>
      <c r="G5" s="1054"/>
      <c r="H5" s="1054"/>
      <c r="I5" s="1055"/>
      <c r="J5" s="19"/>
      <c r="K5" s="19"/>
      <c r="L5" s="16"/>
      <c r="M5" s="16"/>
      <c r="N5" s="16"/>
      <c r="O5" s="78"/>
      <c r="P5" s="78"/>
      <c r="Q5" s="78"/>
      <c r="R5" s="78"/>
      <c r="S5" s="78"/>
      <c r="T5" s="78"/>
      <c r="U5" s="78"/>
      <c r="V5" s="78"/>
      <c r="W5" s="737"/>
      <c r="X5" s="16"/>
    </row>
    <row r="6" spans="1:24" ht="15.5">
      <c r="A6" s="1017" t="str">
        <f>Termék!A8</f>
        <v>Forgalmazó / Termék neve (Ország):</v>
      </c>
      <c r="B6" s="1018"/>
      <c r="C6" s="1053" t="str">
        <f>IF(Termék!C8="","",Termék!C8)</f>
        <v/>
      </c>
      <c r="D6" s="1054"/>
      <c r="E6" s="1054"/>
      <c r="F6" s="1054"/>
      <c r="G6" s="1054"/>
      <c r="H6" s="1054"/>
      <c r="I6" s="1055"/>
      <c r="J6" s="16"/>
      <c r="K6" s="16"/>
      <c r="L6" s="17"/>
      <c r="M6" s="16"/>
      <c r="N6" s="16"/>
      <c r="O6" s="78"/>
      <c r="P6" s="78"/>
      <c r="Q6" s="78"/>
      <c r="R6" s="78"/>
      <c r="S6" s="78"/>
      <c r="T6" s="78"/>
      <c r="U6" s="78"/>
      <c r="V6" s="78"/>
      <c r="W6" s="737" t="e">
        <f>+W:AW:AQ</f>
        <v>#NAME?</v>
      </c>
      <c r="X6" s="16"/>
    </row>
    <row r="7" spans="1:24" ht="15.5">
      <c r="A7" s="1017" t="str">
        <f>Termék!A24</f>
        <v>A termék fajtája:</v>
      </c>
      <c r="B7" s="1018"/>
      <c r="C7" s="1053"/>
      <c r="D7" s="1054"/>
      <c r="E7" s="1054"/>
      <c r="F7" s="1054"/>
      <c r="G7" s="1054"/>
      <c r="H7" s="1054"/>
      <c r="I7" s="1055"/>
      <c r="J7" s="16"/>
      <c r="K7" s="16"/>
      <c r="L7" s="17"/>
      <c r="M7" s="16"/>
      <c r="N7" s="16"/>
      <c r="O7" s="78"/>
      <c r="P7" s="78"/>
      <c r="Q7" s="78"/>
      <c r="R7" s="78"/>
      <c r="S7" s="78"/>
      <c r="T7" s="78"/>
      <c r="U7" s="78"/>
      <c r="V7" s="78"/>
      <c r="W7" s="737"/>
      <c r="X7" s="16"/>
    </row>
    <row r="8" spans="1:24" ht="15.75" customHeight="1">
      <c r="A8" s="1017" t="str">
        <f>Termék!A26</f>
        <v>A termék halmazállapota:</v>
      </c>
      <c r="B8" s="1018"/>
      <c r="C8" s="1053" t="str">
        <f>IF(Termék!C26="","",Termék!C26)</f>
        <v/>
      </c>
      <c r="D8" s="1054"/>
      <c r="E8" s="1054"/>
      <c r="F8" s="1054"/>
      <c r="G8" s="1054"/>
      <c r="H8" s="1054"/>
      <c r="I8" s="1055"/>
      <c r="J8" s="201"/>
      <c r="K8" s="201"/>
      <c r="L8" s="201"/>
      <c r="M8" s="201"/>
      <c r="N8" s="201"/>
      <c r="O8" s="164"/>
      <c r="P8" s="164"/>
      <c r="Q8" s="164"/>
      <c r="R8" s="164"/>
      <c r="S8" s="164"/>
      <c r="T8" s="164"/>
      <c r="U8" s="164"/>
      <c r="V8" s="164"/>
      <c r="W8" s="737"/>
      <c r="X8" s="16"/>
    </row>
    <row r="9" spans="1:24" ht="9.75" customHeight="1">
      <c r="A9" s="269"/>
      <c r="B9" s="201"/>
      <c r="C9" s="201"/>
      <c r="D9" s="201"/>
      <c r="E9" s="201"/>
      <c r="F9" s="201"/>
      <c r="G9" s="201"/>
      <c r="H9" s="201"/>
      <c r="I9" s="201"/>
      <c r="J9" s="201"/>
      <c r="K9" s="201"/>
      <c r="L9" s="201"/>
      <c r="M9" s="201"/>
      <c r="N9" s="201"/>
      <c r="O9" s="164"/>
      <c r="P9" s="164"/>
      <c r="Q9" s="164"/>
      <c r="R9" s="164"/>
      <c r="S9" s="164"/>
      <c r="T9" s="164"/>
      <c r="U9" s="164"/>
      <c r="V9" s="164"/>
      <c r="W9" s="737"/>
      <c r="X9" s="16"/>
    </row>
    <row r="10" spans="1:40" ht="71.25" customHeight="1">
      <c r="A10" s="270" t="str">
        <f>Összetétel!A10</f>
        <v>lfd.</v>
      </c>
      <c r="B10" s="511" t="str">
        <f>IF(Adatlap!$L$1=Fordítások!C3,Fordítások!C55,Fordítások!B55)</f>
        <v>Összetevők 2)</v>
      </c>
      <c r="C10" s="513" t="str">
        <f>IF(Adatlap!$L$1=Fordítások!C3,Fordítások!C57,Fordítások!B57)</f>
        <v>Melyik felhasznált alapanyagban?</v>
      </c>
      <c r="D10" s="121" t="s">
        <v>411</v>
      </c>
      <c r="E10" s="514" t="str">
        <f>IF(Adatlap!$L$1=Fordítások!C3,Fordítások!C136,Fordítások!B136)</f>
        <v>Aktív összetevő</v>
      </c>
      <c r="F10" s="121" t="str">
        <f>I10</f>
        <v>A készítményen belüli aránya</v>
      </c>
      <c r="G10" s="516" t="s">
        <v>2</v>
      </c>
      <c r="H10" s="517" t="str">
        <f>Összetétel!D10</f>
        <v>Funkciója a termékben</v>
      </c>
      <c r="I10" s="513" t="str">
        <f>Összetétel!E10</f>
        <v>A készítményen belüli aránya</v>
      </c>
      <c r="J10" s="513" t="str">
        <f>Összetétel!H10</f>
        <v>Figyelmeztető mondatok 
(H-mondatok) 1)</v>
      </c>
      <c r="K10" s="513" t="str">
        <f>IF(Adatlap!$L$1=Fordítások!C3,Fordítások!C233,Fordítások!B233)</f>
        <v xml:space="preserve">Amennyiben H-mondat vonatkozik rá, kivételnek számít, mert:
</v>
      </c>
      <c r="L10" s="495" t="str">
        <f>IF(Adatlap!$L$1=Fordítások!C3,Fordítások!C27,Fordítások!B27)</f>
        <v>Tartósítószerek esetén lehetséges válaszok:  BCF / log Kow, színezékek esetén:</v>
      </c>
      <c r="M10" s="513" t="str">
        <f>IF(Adatlap!$L$1=Fordítások!C3,Fordítások!C59,Fordítások!B59)</f>
        <v>Érték</v>
      </c>
      <c r="N10" s="517" t="str">
        <f>IF(Adatlap!$L$1=Fordítások!C3,Fordítások!C349,Fordítások!B102)</f>
        <v>Formája / Halmazállapota a termékben</v>
      </c>
      <c r="O10" s="517" t="str">
        <f>IF(Adatlap!$L$1=Fordítások!C3,Fordítások!C41,Fordítások!B41)</f>
        <v>Szerves anyag</v>
      </c>
      <c r="P10" s="513" t="str">
        <f>IF(Adatlap!$L$1=Fordítások!C3,Fordítások!C168,Fordítások!B168)</f>
        <v>Pálmaolajat / Pálmamagolajat tartalmaz</v>
      </c>
      <c r="Q10" s="510" t="s">
        <v>138</v>
      </c>
      <c r="R10" s="510" t="s">
        <v>810</v>
      </c>
      <c r="S10" s="510" t="s">
        <v>810</v>
      </c>
      <c r="T10" s="510" t="s">
        <v>138</v>
      </c>
      <c r="U10" s="513" t="s">
        <v>638</v>
      </c>
      <c r="V10" s="513" t="str">
        <f>IF(Adatlap!$L$1=Fordítások!C3,Fordítások!C225,Fordítások!B225)</f>
        <v>Elemi foszfor</v>
      </c>
      <c r="W10" s="737"/>
      <c r="X10" s="16"/>
      <c r="AJ10" s="1059" t="s">
        <v>1630</v>
      </c>
      <c r="AK10" s="1059"/>
      <c r="AL10" s="1059"/>
      <c r="AM10" s="1059"/>
      <c r="AN10" s="1059"/>
    </row>
    <row r="11" spans="1:44" ht="69" customHeight="1">
      <c r="A11" s="176" t="str">
        <f>Összetétel!A11</f>
        <v>szám</v>
      </c>
      <c r="B11" s="512" t="str">
        <f>IF(Adatlap!$L$1=Fordítások!C3,Fordítások!C56,Fordítások!B56)</f>
        <v>megnevezése (IUPAC szerint)</v>
      </c>
      <c r="C11" s="506" t="str">
        <f>IF(Adatlap!$L$1=Fordítások!C3,Fordítások!C58,Fordítások!B58)</f>
        <v>(kérjük, válassza ki)</v>
      </c>
      <c r="D11" s="507" t="s">
        <v>412</v>
      </c>
      <c r="E11" s="515" t="str">
        <f>IF(Adatlap!$L$1=Fordítások!C3,Fordítások!C137,Fordítások!B137)</f>
        <v>aránya az alapanyagban, %</v>
      </c>
      <c r="F11" s="507" t="str">
        <f>I11</f>
        <v>%
(=g/100 g termék)</v>
      </c>
      <c r="G11" s="515" t="str">
        <f>Összetétel!A11</f>
        <v>szám</v>
      </c>
      <c r="H11" s="518" t="str">
        <f>IF(Adatlap!$L$1=Fordítások!C3,Fordítások!C135,Fordítások!B135)</f>
        <v>(válassza ki)</v>
      </c>
      <c r="I11" s="506" t="str">
        <f>Összetétel!E11</f>
        <v>%
(=g/100 g termék)</v>
      </c>
      <c r="J11" s="508" t="str">
        <f>IF(Adatlap!$L$1=Fordítások!C3,Fordítások!C106,Fordítások!B106)</f>
        <v>Amennyiben a H/EUH mondatok között a feltételrendszer által kizárt mondat is van, a mező szövege pirosra változik</v>
      </c>
      <c r="K11" s="509" t="str">
        <f>H11</f>
        <v>(válassza ki)</v>
      </c>
      <c r="L11" s="506" t="str">
        <f>IF(Adatlap!$L$1=Fordítások!C3,Fordítások!C28,Fordítások!B28)</f>
        <v>BCF  /  log Kow /  Élelmiszerekre is engedélyezett</v>
      </c>
      <c r="M11" s="509" t="s">
        <v>212</v>
      </c>
      <c r="N11" s="506" t="str">
        <f>H11</f>
        <v>(válassza ki)</v>
      </c>
      <c r="O11" s="506" t="str">
        <f>H11</f>
        <v>(válassza ki)</v>
      </c>
      <c r="P11" s="506" t="str">
        <f>H11</f>
        <v>(válassza ki)</v>
      </c>
      <c r="Q11" s="506"/>
      <c r="R11" s="508" t="s">
        <v>811</v>
      </c>
      <c r="S11" s="508" t="s">
        <v>812</v>
      </c>
      <c r="T11" s="508" t="s">
        <v>813</v>
      </c>
      <c r="U11" s="506" t="str">
        <f>P11</f>
        <v>(válassza ki)</v>
      </c>
      <c r="V11" s="506" t="str">
        <f>IF(Adatlap!$L$1=Fordítások!C3,Fordítások!C226,Fordítások!B226)</f>
        <v>(az anyag moilekulasúlyának %-ában)</v>
      </c>
      <c r="W11" s="737"/>
      <c r="X11" s="16"/>
      <c r="Y11" s="497" t="s">
        <v>977</v>
      </c>
      <c r="AA11" s="729" t="s">
        <v>1357</v>
      </c>
      <c r="AB11" s="729" t="s">
        <v>1358</v>
      </c>
      <c r="AC11" s="729" t="s">
        <v>1371</v>
      </c>
      <c r="AD11" s="729" t="s">
        <v>1372</v>
      </c>
      <c r="AE11" s="729" t="s">
        <v>1373</v>
      </c>
      <c r="AF11" s="729" t="s">
        <v>1396</v>
      </c>
      <c r="AG11" s="730" t="s">
        <v>1395</v>
      </c>
      <c r="AH11" s="729" t="s">
        <v>1400</v>
      </c>
      <c r="AI11" s="729" t="s">
        <v>1419</v>
      </c>
      <c r="AJ11" s="729" t="s">
        <v>1631</v>
      </c>
      <c r="AK11" s="730" t="s">
        <v>1633</v>
      </c>
      <c r="AL11" s="730" t="s">
        <v>1635</v>
      </c>
      <c r="AM11" s="730" t="s">
        <v>1637</v>
      </c>
      <c r="AN11" s="730" t="s">
        <v>1632</v>
      </c>
      <c r="AO11" s="730" t="s">
        <v>1650</v>
      </c>
      <c r="AP11" s="729" t="s">
        <v>1668</v>
      </c>
      <c r="AQ11" s="729" t="s">
        <v>1685</v>
      </c>
      <c r="AR11" s="525" t="s">
        <v>2218</v>
      </c>
    </row>
    <row r="12" spans="1:41" ht="15.5">
      <c r="A12" s="35">
        <v>1</v>
      </c>
      <c r="B12" s="271" t="str">
        <f>Összetétel!B12</f>
        <v>Víz</v>
      </c>
      <c r="C12" s="62" t="s">
        <v>7</v>
      </c>
      <c r="D12" s="62"/>
      <c r="E12" s="128" t="s">
        <v>7</v>
      </c>
      <c r="F12" s="62"/>
      <c r="G12" s="36" t="s">
        <v>7</v>
      </c>
      <c r="H12" s="107" t="s">
        <v>7</v>
      </c>
      <c r="I12" s="82"/>
      <c r="J12" s="129" t="s">
        <v>7</v>
      </c>
      <c r="K12" s="129"/>
      <c r="L12" s="107" t="s">
        <v>7</v>
      </c>
      <c r="M12" s="107" t="s">
        <v>7</v>
      </c>
      <c r="N12" s="107" t="s">
        <v>7</v>
      </c>
      <c r="O12" s="165" t="s">
        <v>7</v>
      </c>
      <c r="P12" s="165" t="s">
        <v>7</v>
      </c>
      <c r="Q12" s="165"/>
      <c r="R12" s="165"/>
      <c r="S12" s="165"/>
      <c r="T12" s="165"/>
      <c r="U12" s="165"/>
      <c r="V12" s="165" t="s">
        <v>7</v>
      </c>
      <c r="W12" s="737"/>
      <c r="X12" s="16"/>
      <c r="AK12" s="728" t="s">
        <v>1634</v>
      </c>
      <c r="AL12" s="728" t="s">
        <v>1636</v>
      </c>
      <c r="AM12" s="728" t="s">
        <v>1636</v>
      </c>
      <c r="AN12" s="728"/>
      <c r="AO12" s="728">
        <f>COUNTIFS(H13:H61,Auswahldaten!A20)</f>
        <v>0</v>
      </c>
    </row>
    <row r="13" spans="1:44" ht="15.5">
      <c r="A13" s="35">
        <v>2</v>
      </c>
      <c r="B13" s="72"/>
      <c r="C13" s="521"/>
      <c r="D13" s="267" t="str">
        <f>IF(C13="","",VLOOKUP(C13,Összetétel!$B$13:$E$61,4,FALSE))</f>
        <v/>
      </c>
      <c r="E13" s="82"/>
      <c r="F13" s="122">
        <f>IF(D13="",0,(E13*D13/100))</f>
        <v>0</v>
      </c>
      <c r="G13" s="878"/>
      <c r="H13" s="72"/>
      <c r="I13" s="122" t="str">
        <f aca="true" t="shared" si="0" ref="I13:I15">IF(F13&lt;0.0000000000001,"",F13)</f>
        <v/>
      </c>
      <c r="J13" s="87"/>
      <c r="K13" s="72"/>
      <c r="L13" s="71"/>
      <c r="M13" s="606"/>
      <c r="N13" s="607"/>
      <c r="O13" s="82"/>
      <c r="P13" s="82"/>
      <c r="Q13" s="272" t="str">
        <f>IF(B13="","",IF(OR(H13=Fordítások!$C$70,H13=Fordítások!$B$70),"Y","N"))</f>
        <v/>
      </c>
      <c r="R13" s="272" t="str">
        <f>IF(NOT(ISERROR(SEARCH("400",J13,1))),"Y","N")</f>
        <v>N</v>
      </c>
      <c r="S13" s="272" t="str">
        <f>IF(NOT(ISERROR(SEARCH("412",J13,1))),"Y","N")</f>
        <v>N</v>
      </c>
      <c r="T13" s="272" t="str">
        <f>IF(AND(Q13="Y",(OR(R13="Y",S13="Y"))),"Y","N")</f>
        <v>N</v>
      </c>
      <c r="U13" s="82"/>
      <c r="V13" s="273"/>
      <c r="W13" s="738">
        <v>300</v>
      </c>
      <c r="X13" s="16"/>
      <c r="Y13">
        <f>IF(B13="",0,1)</f>
        <v>0</v>
      </c>
      <c r="AA13" s="131" t="b">
        <f>IF(H13=Auswahldaten!$A$16,TRUE,FALSE)</f>
        <v>0</v>
      </c>
      <c r="AB13" s="131" t="b">
        <f>IF(Alapanyagok_DID!O13="R",TRUE,FALSE)</f>
        <v>0</v>
      </c>
      <c r="AC13" s="131" t="b">
        <f>IF(AND(AA13=TRUE,AB13=TRUE),TRUE,FALSE)</f>
        <v>0</v>
      </c>
      <c r="AD13" s="131" t="b">
        <f>IF(Alapanyagok_DID!K13=Auswahldaten!$A$12,TRUE,FALSE)</f>
        <v>0</v>
      </c>
      <c r="AE13" s="131" t="b">
        <f>IF(AND(AA13=TRUE,AD13=TRUE),TRUE,FALSE)</f>
        <v>0</v>
      </c>
      <c r="AF13" s="131" t="b">
        <f>IF(AND(AA13=TRUE,Alapanyagok_DID!E13='DID List'!$A$7),TRUE,FALSE)</f>
        <v>0</v>
      </c>
      <c r="AG13" s="131" t="b">
        <f>IF(AND(O13=Auswahldaten!$A$12,Alapanyagok_DID!F13='DID List'!$A$7),TRUE,FALSE)</f>
        <v>0</v>
      </c>
      <c r="AH13" s="131" t="b">
        <f>IF(Alapanyagok_DID!F13='DID List'!$A$7,TRUE,FALSE)</f>
        <v>0</v>
      </c>
      <c r="AI13" s="131" t="b">
        <f>IF(P13=Auswahldaten!$A$12,TRUE,FALSE)</f>
        <v>0</v>
      </c>
      <c r="AJ13" s="131" t="b">
        <f>IF(AND(ISERROR(SEARCH("H400",J13))=FALSE,H13=Auswahldaten!$A$16)=TRUE,TRUE,FALSE)</f>
        <v>0</v>
      </c>
      <c r="AK13" s="131" t="b">
        <f>AND(ISERROR(SEARCH("H412",J13))=FALSE,H13=Auswahldaten!A16)</f>
        <v>0</v>
      </c>
      <c r="AL13" s="131" t="b">
        <f>IF(AND(ISERROR(SEARCH("H317",J13))=FALSE,H13=Auswahldaten!$A$21)=TRUE,TRUE,FALSE)</f>
        <v>0</v>
      </c>
      <c r="AM13" s="131" t="b">
        <f>IF(AND(ISERROR(SEARCH("H334",J13))=FALSE,H13=Auswahldaten!$A$21)=TRUE,TRUE,FALSE)</f>
        <v>0</v>
      </c>
      <c r="AN13" s="131" t="b">
        <f>IF(ISERROR(SEARCH("H351",J13))=TRUE,FALSE,TRUE)</f>
        <v>0</v>
      </c>
      <c r="AP13" s="731">
        <f>L13</f>
        <v>0</v>
      </c>
      <c r="AQ13" s="131" t="b">
        <f>IF(AND(H13=Auswahldaten!A$20,OR(Alapanyagok!L13=Auswahldaten!A$52,Alapanyagok!L13=Auswahldaten!A$53)),TRUE,FALSE)</f>
        <v>0</v>
      </c>
      <c r="AR13" s="523">
        <f>IF(K13=Auswahldaten!$A$61,1,0)</f>
        <v>0</v>
      </c>
    </row>
    <row r="14" spans="1:44" ht="15.5">
      <c r="A14" s="35">
        <v>3</v>
      </c>
      <c r="B14" s="72"/>
      <c r="C14" s="123"/>
      <c r="D14" s="267" t="str">
        <f>IF(C14="","",VLOOKUP(C14,Összetétel!$B$13:$E$61,4,FALSE))</f>
        <v/>
      </c>
      <c r="E14" s="82"/>
      <c r="F14" s="122">
        <f aca="true" t="shared" si="1" ref="F14:F61">IF(D14="",0,(E14*D14/100))</f>
        <v>0</v>
      </c>
      <c r="G14" s="879"/>
      <c r="H14" s="72"/>
      <c r="I14" s="122" t="str">
        <f t="shared" si="0"/>
        <v/>
      </c>
      <c r="J14" s="87"/>
      <c r="K14" s="72"/>
      <c r="L14" s="625"/>
      <c r="M14" s="606"/>
      <c r="N14" s="607"/>
      <c r="O14" s="82"/>
      <c r="P14" s="82"/>
      <c r="Q14" s="272" t="str">
        <f>IF(B14="","",IF(OR(H14=Fordítások!$C$70,H14=Fordítások!$B$70),"Y","N"))</f>
        <v/>
      </c>
      <c r="R14" s="272" t="str">
        <f aca="true" t="shared" si="2" ref="R14:R61">IF(NOT(ISERROR(SEARCH("400",J14,1))),"Y","N")</f>
        <v>N</v>
      </c>
      <c r="S14" s="272" t="str">
        <f aca="true" t="shared" si="3" ref="S14:T61">IF(NOT(ISERROR(SEARCH("412",J14,1))),"Y","N")</f>
        <v>N</v>
      </c>
      <c r="T14" s="272" t="str">
        <f t="shared" si="3"/>
        <v>N</v>
      </c>
      <c r="U14" s="82"/>
      <c r="V14" s="273"/>
      <c r="W14" s="738">
        <v>301</v>
      </c>
      <c r="X14" s="16"/>
      <c r="Y14">
        <f>IF(B14="",0,Y13+1)</f>
        <v>0</v>
      </c>
      <c r="AA14" s="131" t="b">
        <f>IF(H14=Auswahldaten!$A$16,TRUE,FALSE)</f>
        <v>0</v>
      </c>
      <c r="AB14" s="131" t="b">
        <f>IF(Alapanyagok_DID!O14="R",TRUE,FALSE)</f>
        <v>0</v>
      </c>
      <c r="AC14" s="131" t="b">
        <f aca="true" t="shared" si="4" ref="AC14:AC61">IF(AND(AA14=TRUE,AB14=TRUE),TRUE,FALSE)</f>
        <v>0</v>
      </c>
      <c r="AD14" s="131" t="b">
        <f>IF(Alapanyagok_DID!K14=Auswahldaten!$A$12,TRUE,FALSE)</f>
        <v>0</v>
      </c>
      <c r="AE14" s="131" t="b">
        <f aca="true" t="shared" si="5" ref="AE14:AE61">IF(AND(AA14=TRUE,AD14=TRUE),TRUE,FALSE)</f>
        <v>0</v>
      </c>
      <c r="AF14" s="131" t="b">
        <f>IF(AND(AA14=TRUE,Alapanyagok_DID!E14='DID List'!$A$7),TRUE,FALSE)</f>
        <v>0</v>
      </c>
      <c r="AG14" s="131" t="b">
        <f>IF(AND(O14=Auswahldaten!$A$12,Alapanyagok_DID!F14='DID List'!$A$7),TRUE,FALSE)</f>
        <v>0</v>
      </c>
      <c r="AH14" s="131" t="b">
        <f>IF(Alapanyagok_DID!F14='DID List'!$A$7,TRUE,FALSE)</f>
        <v>0</v>
      </c>
      <c r="AI14" s="131" t="b">
        <f>IF(P14=Auswahldaten!$A$12,TRUE,FALSE)</f>
        <v>0</v>
      </c>
      <c r="AJ14" s="131" t="b">
        <f>IF(AND(ISERROR(SEARCH("H400",J14))=FALSE,H14=Auswahldaten!$A$16)=TRUE,TRUE,FALSE)</f>
        <v>0</v>
      </c>
      <c r="AK14" s="131" t="b">
        <f>IF(AND(ISERROR(SEARCH($AK$11,J14))=FALSE,H14=Auswahldaten!$A$16)=TRUE,TRUE,FALSE)</f>
        <v>0</v>
      </c>
      <c r="AL14" s="131" t="b">
        <f>IF(AND(ISERROR(SEARCH("H317",J14))=FALSE,H14=Auswahldaten!$A$21)=TRUE,TRUE,FALSE)</f>
        <v>0</v>
      </c>
      <c r="AM14" s="131" t="b">
        <f>IF(AND(ISERROR(SEARCH("H334",J14))=FALSE,H14=Auswahldaten!$A$21)=TRUE,TRUE,FALSE)</f>
        <v>0</v>
      </c>
      <c r="AN14" s="131" t="b">
        <f aca="true" t="shared" si="6" ref="AN14:AN61">IF(ISERROR(SEARCH("H351",J14))=TRUE,FALSE,TRUE)</f>
        <v>0</v>
      </c>
      <c r="AP14" s="731">
        <f aca="true" t="shared" si="7" ref="AP14:AP61">L14</f>
        <v>0</v>
      </c>
      <c r="AQ14" s="131" t="b">
        <f>IF(AND(H14=Auswahldaten!A$20,OR(Alapanyagok!L14=Auswahldaten!A$52,Alapanyagok!L14=Auswahldaten!A$53)),TRUE,FALSE)</f>
        <v>0</v>
      </c>
      <c r="AR14" s="523">
        <f>IF(K14=Auswahldaten!$A$61,1,0)</f>
        <v>0</v>
      </c>
    </row>
    <row r="15" spans="1:44" ht="15.5">
      <c r="A15" s="35">
        <v>4</v>
      </c>
      <c r="B15" s="72"/>
      <c r="C15" s="123"/>
      <c r="D15" s="267" t="str">
        <f>IF(C15="","",VLOOKUP(C15,Összetétel!$B$13:$E$61,4,FALSE))</f>
        <v/>
      </c>
      <c r="E15" s="82"/>
      <c r="F15" s="122">
        <f t="shared" si="1"/>
        <v>0</v>
      </c>
      <c r="G15" s="879"/>
      <c r="H15" s="72"/>
      <c r="I15" s="122" t="str">
        <f t="shared" si="0"/>
        <v/>
      </c>
      <c r="J15" s="87"/>
      <c r="K15" s="72"/>
      <c r="L15" s="71"/>
      <c r="M15" s="606"/>
      <c r="N15" s="607"/>
      <c r="O15" s="82"/>
      <c r="P15" s="82"/>
      <c r="Q15" s="272" t="str">
        <f>IF(B15="","",IF(OR(H15=Fordítások!$C$70,H15=Fordítások!$B$70),"Y","N"))</f>
        <v/>
      </c>
      <c r="R15" s="272" t="str">
        <f t="shared" si="2"/>
        <v>N</v>
      </c>
      <c r="S15" s="272" t="str">
        <f t="shared" si="3"/>
        <v>N</v>
      </c>
      <c r="T15" s="272" t="str">
        <f t="shared" si="3"/>
        <v>N</v>
      </c>
      <c r="U15" s="82"/>
      <c r="V15" s="273"/>
      <c r="W15" s="738">
        <v>304</v>
      </c>
      <c r="X15" s="16"/>
      <c r="Y15">
        <f aca="true" t="shared" si="8" ref="Y15:Y61">IF(B15="",0,Y14+1)</f>
        <v>0</v>
      </c>
      <c r="AA15" s="131" t="b">
        <f>IF(H15=Auswahldaten!$A$16,TRUE,FALSE)</f>
        <v>0</v>
      </c>
      <c r="AB15" s="131" t="b">
        <f>IF(Alapanyagok_DID!O15="R",TRUE,FALSE)</f>
        <v>0</v>
      </c>
      <c r="AC15" s="131" t="b">
        <f t="shared" si="4"/>
        <v>0</v>
      </c>
      <c r="AD15" s="131" t="b">
        <f>IF(Alapanyagok_DID!K15=Auswahldaten!$A$12,TRUE,FALSE)</f>
        <v>0</v>
      </c>
      <c r="AE15" s="131" t="b">
        <f t="shared" si="5"/>
        <v>0</v>
      </c>
      <c r="AF15" s="131" t="b">
        <f>IF(AND(AA15=TRUE,Alapanyagok_DID!E15='DID List'!$A$7),TRUE,FALSE)</f>
        <v>0</v>
      </c>
      <c r="AG15" s="131" t="b">
        <f>IF(AND(O15=Auswahldaten!$A$12,Alapanyagok_DID!F15='DID List'!$A$7),TRUE,FALSE)</f>
        <v>0</v>
      </c>
      <c r="AH15" s="131" t="b">
        <f>IF(Alapanyagok_DID!F15='DID List'!$A$7,TRUE,FALSE)</f>
        <v>0</v>
      </c>
      <c r="AI15" s="131" t="b">
        <f>IF(P15=Auswahldaten!$A$12,TRUE,FALSE)</f>
        <v>0</v>
      </c>
      <c r="AJ15" s="131" t="b">
        <f>IF(AND(ISERROR(SEARCH("H400",J15))=FALSE,H15=Auswahldaten!$A$16)=TRUE,TRUE,FALSE)</f>
        <v>0</v>
      </c>
      <c r="AK15" s="131" t="b">
        <f>IF(AND(ISERROR(SEARCH($AK$11,J15))=FALSE,H15=Auswahldaten!$A$16)=TRUE,TRUE,FALSE)</f>
        <v>0</v>
      </c>
      <c r="AL15" s="131" t="b">
        <f>IF(AND(ISERROR(SEARCH("H317",J15))=FALSE,H15=Auswahldaten!$A$21)=TRUE,TRUE,FALSE)</f>
        <v>0</v>
      </c>
      <c r="AM15" s="131" t="b">
        <f>IF(AND(ISERROR(SEARCH("H334",J15))=FALSE,H15=Auswahldaten!$A$21)=TRUE,TRUE,FALSE)</f>
        <v>0</v>
      </c>
      <c r="AN15" s="131" t="b">
        <f t="shared" si="6"/>
        <v>0</v>
      </c>
      <c r="AO15" s="732" t="s">
        <v>1655</v>
      </c>
      <c r="AP15" s="731">
        <f t="shared" si="7"/>
        <v>0</v>
      </c>
      <c r="AQ15" s="131" t="b">
        <f>IF(AND(H15=Auswahldaten!A$20,OR(Alapanyagok!L15=Auswahldaten!A$52,Alapanyagok!L15=Auswahldaten!A$53)),TRUE,FALSE)</f>
        <v>0</v>
      </c>
      <c r="AR15" s="523">
        <f>IF(K15=Auswahldaten!$A$61,1,0)</f>
        <v>0</v>
      </c>
    </row>
    <row r="16" spans="1:44" ht="15.5">
      <c r="A16" s="35">
        <v>5</v>
      </c>
      <c r="B16" s="72"/>
      <c r="C16" s="123"/>
      <c r="D16" s="267" t="str">
        <f>IF(C16="","",VLOOKUP(C16,Összetétel!$B$13:$E$61,4,FALSE))</f>
        <v/>
      </c>
      <c r="E16" s="82"/>
      <c r="F16" s="122">
        <f t="shared" si="1"/>
        <v>0</v>
      </c>
      <c r="G16" s="879"/>
      <c r="H16" s="72"/>
      <c r="I16" s="122" t="str">
        <f aca="true" t="shared" si="9" ref="I16:I61">IF(F16&lt;0.0000000000001,"",F16)</f>
        <v/>
      </c>
      <c r="J16" s="87"/>
      <c r="K16" s="72"/>
      <c r="L16" s="71"/>
      <c r="M16" s="606"/>
      <c r="N16" s="607"/>
      <c r="O16" s="82"/>
      <c r="P16" s="82"/>
      <c r="Q16" s="272" t="str">
        <f>IF(B16="","",IF(OR(H16=Fordítások!$C$70,H16=Fordítások!$B$70),"Y","N"))</f>
        <v/>
      </c>
      <c r="R16" s="272" t="str">
        <f t="shared" si="2"/>
        <v>N</v>
      </c>
      <c r="S16" s="272" t="str">
        <f t="shared" si="3"/>
        <v>N</v>
      </c>
      <c r="T16" s="272" t="str">
        <f t="shared" si="3"/>
        <v>N</v>
      </c>
      <c r="U16" s="82"/>
      <c r="V16" s="273"/>
      <c r="W16" s="738">
        <v>310</v>
      </c>
      <c r="X16" s="16"/>
      <c r="Y16">
        <f t="shared" si="8"/>
        <v>0</v>
      </c>
      <c r="AA16" s="131" t="b">
        <f>IF(H16=Auswahldaten!$A$16,TRUE,FALSE)</f>
        <v>0</v>
      </c>
      <c r="AB16" s="131" t="b">
        <f>IF(Alapanyagok_DID!O16="R",TRUE,FALSE)</f>
        <v>0</v>
      </c>
      <c r="AC16" s="131" t="b">
        <f t="shared" si="4"/>
        <v>0</v>
      </c>
      <c r="AD16" s="131" t="b">
        <f>IF(Alapanyagok_DID!K16=Auswahldaten!$A$12,TRUE,FALSE)</f>
        <v>0</v>
      </c>
      <c r="AE16" s="131" t="b">
        <f t="shared" si="5"/>
        <v>0</v>
      </c>
      <c r="AF16" s="131" t="b">
        <f>IF(AND(AA16=TRUE,Alapanyagok_DID!E16='DID List'!$A$7),TRUE,FALSE)</f>
        <v>0</v>
      </c>
      <c r="AG16" s="131" t="b">
        <f>IF(AND(O16=Auswahldaten!$A$12,Alapanyagok_DID!F16='DID List'!$A$7),TRUE,FALSE)</f>
        <v>0</v>
      </c>
      <c r="AH16" s="131" t="b">
        <f>IF(Alapanyagok_DID!F16='DID List'!$A$7,TRUE,FALSE)</f>
        <v>0</v>
      </c>
      <c r="AI16" s="131" t="b">
        <f>IF(P16=Auswahldaten!$A$12,TRUE,FALSE)</f>
        <v>0</v>
      </c>
      <c r="AJ16" s="131" t="b">
        <f>IF(AND(ISERROR(SEARCH("H400",J16))=FALSE,H16=Auswahldaten!$A$16)=TRUE,TRUE,FALSE)</f>
        <v>0</v>
      </c>
      <c r="AK16" s="131" t="b">
        <f>IF(AND(ISERROR(SEARCH($AK$11,J16))=FALSE,H16=Auswahldaten!$A$16)=TRUE,TRUE,FALSE)</f>
        <v>0</v>
      </c>
      <c r="AL16" s="131" t="b">
        <f>IF(AND(ISERROR(SEARCH("H317",J16))=FALSE,H16=Auswahldaten!$A$21)=TRUE,TRUE,FALSE)</f>
        <v>0</v>
      </c>
      <c r="AM16" s="131" t="b">
        <f>IF(AND(ISERROR(SEARCH("H334",J16))=FALSE,H16=Auswahldaten!$A$21)=TRUE,TRUE,FALSE)</f>
        <v>0</v>
      </c>
      <c r="AN16" s="131" t="b">
        <f t="shared" si="6"/>
        <v>0</v>
      </c>
      <c r="AO16" s="733">
        <f>COUNTIFS(H13:H61,Auswahldaten!A18)</f>
        <v>0</v>
      </c>
      <c r="AP16" s="731">
        <f t="shared" si="7"/>
        <v>0</v>
      </c>
      <c r="AQ16" s="131" t="b">
        <f>IF(AND(H16=Auswahldaten!A$20,OR(Alapanyagok!L16=Auswahldaten!A$52,Alapanyagok!L16=Auswahldaten!A$53)),TRUE,FALSE)</f>
        <v>0</v>
      </c>
      <c r="AR16" s="523">
        <f>IF(K16=Auswahldaten!$A$61,1,0)</f>
        <v>0</v>
      </c>
    </row>
    <row r="17" spans="1:44" ht="15.5">
      <c r="A17" s="35">
        <v>6</v>
      </c>
      <c r="B17" s="72"/>
      <c r="C17" s="123"/>
      <c r="D17" s="267" t="str">
        <f>IF(C17="","",VLOOKUP(C17,Összetétel!$B$13:$E$61,4,FALSE))</f>
        <v/>
      </c>
      <c r="E17" s="82"/>
      <c r="F17" s="122">
        <f t="shared" si="1"/>
        <v>0</v>
      </c>
      <c r="G17" s="879"/>
      <c r="H17" s="72"/>
      <c r="I17" s="122" t="str">
        <f t="shared" si="9"/>
        <v/>
      </c>
      <c r="J17" s="87"/>
      <c r="K17" s="72"/>
      <c r="L17" s="71"/>
      <c r="M17" s="606"/>
      <c r="N17" s="607"/>
      <c r="O17" s="82"/>
      <c r="P17" s="82"/>
      <c r="Q17" s="272" t="str">
        <f>IF(B17="","",IF(OR(H17=Fordítások!$C$70,H17=Fordítások!$B$70),"Y","N"))</f>
        <v/>
      </c>
      <c r="R17" s="272" t="str">
        <f t="shared" si="2"/>
        <v>N</v>
      </c>
      <c r="S17" s="272" t="str">
        <f t="shared" si="3"/>
        <v>N</v>
      </c>
      <c r="T17" s="272" t="str">
        <f t="shared" si="3"/>
        <v>N</v>
      </c>
      <c r="U17" s="82"/>
      <c r="V17" s="273"/>
      <c r="W17" s="738">
        <v>311</v>
      </c>
      <c r="X17" s="16"/>
      <c r="Y17">
        <f t="shared" si="8"/>
        <v>0</v>
      </c>
      <c r="AA17" s="131" t="b">
        <f>IF(H17=Auswahldaten!$A$16,TRUE,FALSE)</f>
        <v>0</v>
      </c>
      <c r="AB17" s="131" t="b">
        <f>IF(Alapanyagok_DID!O17="R",TRUE,FALSE)</f>
        <v>0</v>
      </c>
      <c r="AC17" s="131" t="b">
        <f t="shared" si="4"/>
        <v>0</v>
      </c>
      <c r="AD17" s="131" t="b">
        <f>IF(Alapanyagok_DID!K17=Auswahldaten!$A$12,TRUE,FALSE)</f>
        <v>0</v>
      </c>
      <c r="AE17" s="131" t="b">
        <f t="shared" si="5"/>
        <v>0</v>
      </c>
      <c r="AF17" s="131" t="b">
        <f>IF(AND(AA17=TRUE,Alapanyagok_DID!E17='DID List'!$A$7),TRUE,FALSE)</f>
        <v>0</v>
      </c>
      <c r="AG17" s="131" t="b">
        <f>IF(AND(O17=Auswahldaten!$A$12,Alapanyagok_DID!F17='DID List'!$A$7),TRUE,FALSE)</f>
        <v>0</v>
      </c>
      <c r="AH17" s="131" t="b">
        <f>IF(Alapanyagok_DID!F17='DID List'!$A$7,TRUE,FALSE)</f>
        <v>0</v>
      </c>
      <c r="AI17" s="131" t="b">
        <f>IF(P17=Auswahldaten!$A$12,TRUE,FALSE)</f>
        <v>0</v>
      </c>
      <c r="AJ17" s="131" t="b">
        <f>IF(AND(ISERROR(SEARCH("H400",J17))=FALSE,H17=Auswahldaten!$A$16)=TRUE,TRUE,FALSE)</f>
        <v>0</v>
      </c>
      <c r="AK17" s="131" t="b">
        <f>IF(AND(ISERROR(SEARCH($AK$11,J17))=FALSE,H17=Auswahldaten!$A$16)=TRUE,TRUE,FALSE)</f>
        <v>0</v>
      </c>
      <c r="AL17" s="131" t="b">
        <f>IF(AND(ISERROR(SEARCH("H317",J17))=FALSE,H17=Auswahldaten!$A$21)=TRUE,TRUE,FALSE)</f>
        <v>0</v>
      </c>
      <c r="AM17" s="131" t="b">
        <f>IF(AND(ISERROR(SEARCH("H334",J17))=FALSE,H17=Auswahldaten!$A$21)=TRUE,TRUE,FALSE)</f>
        <v>0</v>
      </c>
      <c r="AN17" s="131" t="b">
        <f t="shared" si="6"/>
        <v>0</v>
      </c>
      <c r="AP17" s="731">
        <f t="shared" si="7"/>
        <v>0</v>
      </c>
      <c r="AQ17" s="131" t="b">
        <f>IF(AND(H17=Auswahldaten!A$20,OR(Alapanyagok!L17=Auswahldaten!A$52,Alapanyagok!L17=Auswahldaten!A$53)),TRUE,FALSE)</f>
        <v>0</v>
      </c>
      <c r="AR17" s="523">
        <f>IF(K17=Auswahldaten!$A$61,1,0)</f>
        <v>0</v>
      </c>
    </row>
    <row r="18" spans="1:44" ht="15.5">
      <c r="A18" s="35">
        <v>7</v>
      </c>
      <c r="B18" s="72"/>
      <c r="C18" s="123"/>
      <c r="D18" s="267" t="str">
        <f>IF(C18="","",VLOOKUP(C18,Összetétel!$B$13:$E$61,4,FALSE))</f>
        <v/>
      </c>
      <c r="E18" s="82"/>
      <c r="F18" s="122">
        <f t="shared" si="1"/>
        <v>0</v>
      </c>
      <c r="G18" s="879"/>
      <c r="H18" s="72"/>
      <c r="I18" s="122" t="str">
        <f t="shared" si="9"/>
        <v/>
      </c>
      <c r="J18" s="87"/>
      <c r="K18" s="72"/>
      <c r="L18" s="71"/>
      <c r="M18" s="606"/>
      <c r="N18" s="607"/>
      <c r="O18" s="82"/>
      <c r="P18" s="82"/>
      <c r="Q18" s="272" t="str">
        <f>IF(B18="","",IF(OR(H18=Fordítások!$C$70,H18=Fordítások!$B$70),"Y","N"))</f>
        <v/>
      </c>
      <c r="R18" s="272" t="str">
        <f t="shared" si="2"/>
        <v>N</v>
      </c>
      <c r="S18" s="272" t="str">
        <f t="shared" si="3"/>
        <v>N</v>
      </c>
      <c r="T18" s="272" t="str">
        <f t="shared" si="3"/>
        <v>N</v>
      </c>
      <c r="U18" s="82"/>
      <c r="V18" s="273"/>
      <c r="W18" s="738">
        <v>317</v>
      </c>
      <c r="X18" s="16"/>
      <c r="Y18">
        <f t="shared" si="8"/>
        <v>0</v>
      </c>
      <c r="AA18" s="131" t="b">
        <f>IF(H18=Auswahldaten!$A$16,TRUE,FALSE)</f>
        <v>0</v>
      </c>
      <c r="AB18" s="131" t="b">
        <f>IF(Alapanyagok_DID!O18="R",TRUE,FALSE)</f>
        <v>0</v>
      </c>
      <c r="AC18" s="131" t="b">
        <f t="shared" si="4"/>
        <v>0</v>
      </c>
      <c r="AD18" s="131" t="b">
        <f>IF(Alapanyagok_DID!K18=Auswahldaten!$A$12,TRUE,FALSE)</f>
        <v>0</v>
      </c>
      <c r="AE18" s="131" t="b">
        <f t="shared" si="5"/>
        <v>0</v>
      </c>
      <c r="AF18" s="131" t="b">
        <f>IF(AND(AA18=TRUE,Alapanyagok_DID!E18='DID List'!$A$7),TRUE,FALSE)</f>
        <v>0</v>
      </c>
      <c r="AG18" s="131" t="b">
        <f>IF(AND(O18=Auswahldaten!$A$12,Alapanyagok_DID!F18='DID List'!$A$7),TRUE,FALSE)</f>
        <v>0</v>
      </c>
      <c r="AH18" s="131" t="b">
        <f>IF(Alapanyagok_DID!F18='DID List'!$A$7,TRUE,FALSE)</f>
        <v>0</v>
      </c>
      <c r="AI18" s="131" t="b">
        <f>IF(P18=Auswahldaten!$A$12,TRUE,FALSE)</f>
        <v>0</v>
      </c>
      <c r="AJ18" s="131" t="b">
        <f>IF(AND(ISERROR(SEARCH("H400",J18))=FALSE,H18=Auswahldaten!$A$16)=TRUE,TRUE,FALSE)</f>
        <v>0</v>
      </c>
      <c r="AK18" s="131" t="b">
        <f>IF(AND(ISERROR(SEARCH($AK$11,J18))=FALSE,H18=Auswahldaten!$A$16)=TRUE,TRUE,FALSE)</f>
        <v>0</v>
      </c>
      <c r="AL18" s="131" t="b">
        <f>IF(AND(ISERROR(SEARCH("H317",J18))=FALSE,H18=Auswahldaten!$A$21)=TRUE,TRUE,FALSE)</f>
        <v>0</v>
      </c>
      <c r="AM18" s="131" t="b">
        <f>IF(AND(ISERROR(SEARCH("H334",J18))=FALSE,H18=Auswahldaten!$A$21)=TRUE,TRUE,FALSE)</f>
        <v>0</v>
      </c>
      <c r="AN18" s="131" t="b">
        <f t="shared" si="6"/>
        <v>0</v>
      </c>
      <c r="AO18" s="732" t="s">
        <v>1682</v>
      </c>
      <c r="AP18" s="731">
        <f t="shared" si="7"/>
        <v>0</v>
      </c>
      <c r="AQ18" s="131" t="b">
        <f>IF(AND(H18=Auswahldaten!A$20,OR(Alapanyagok!L18=Auswahldaten!A$52,Alapanyagok!L18=Auswahldaten!A$53)),TRUE,FALSE)</f>
        <v>0</v>
      </c>
      <c r="AR18" s="523">
        <f>IF(K18=Auswahldaten!$A$61,1,0)</f>
        <v>0</v>
      </c>
    </row>
    <row r="19" spans="1:44" ht="15.5">
      <c r="A19" s="35">
        <v>8</v>
      </c>
      <c r="B19" s="72"/>
      <c r="C19" s="123"/>
      <c r="D19" s="267" t="str">
        <f>IF(C19="","",VLOOKUP(C19,Összetétel!$B$13:$E$61,4,FALSE))</f>
        <v/>
      </c>
      <c r="E19" s="82"/>
      <c r="F19" s="122">
        <f t="shared" si="1"/>
        <v>0</v>
      </c>
      <c r="G19" s="879"/>
      <c r="H19" s="72"/>
      <c r="I19" s="122" t="str">
        <f t="shared" si="9"/>
        <v/>
      </c>
      <c r="J19" s="87"/>
      <c r="K19" s="72"/>
      <c r="L19" s="71"/>
      <c r="M19" s="606"/>
      <c r="N19" s="607"/>
      <c r="O19" s="82"/>
      <c r="P19" s="82"/>
      <c r="Q19" s="272" t="str">
        <f>IF(B19="","",IF(OR(H19=Fordítások!$C$70,H19=Fordítások!$B$70),"Y","N"))</f>
        <v/>
      </c>
      <c r="R19" s="272" t="str">
        <f t="shared" si="2"/>
        <v>N</v>
      </c>
      <c r="S19" s="272" t="str">
        <f t="shared" si="3"/>
        <v>N</v>
      </c>
      <c r="T19" s="272" t="str">
        <f t="shared" si="3"/>
        <v>N</v>
      </c>
      <c r="U19" s="82"/>
      <c r="V19" s="273"/>
      <c r="W19" s="738">
        <v>330</v>
      </c>
      <c r="X19" s="16"/>
      <c r="Y19">
        <f t="shared" si="8"/>
        <v>0</v>
      </c>
      <c r="AA19" s="131" t="b">
        <f>IF(H19=Auswahldaten!$A$16,TRUE,FALSE)</f>
        <v>0</v>
      </c>
      <c r="AB19" s="131" t="b">
        <f>IF(Alapanyagok_DID!O19="R",TRUE,FALSE)</f>
        <v>0</v>
      </c>
      <c r="AC19" s="131" t="b">
        <f t="shared" si="4"/>
        <v>0</v>
      </c>
      <c r="AD19" s="131" t="b">
        <f>IF(Alapanyagok_DID!K19=Auswahldaten!$A$12,TRUE,FALSE)</f>
        <v>0</v>
      </c>
      <c r="AE19" s="131" t="b">
        <f t="shared" si="5"/>
        <v>0</v>
      </c>
      <c r="AF19" s="131" t="b">
        <f>IF(AND(AA19=TRUE,Alapanyagok_DID!E19='DID List'!$A$7),TRUE,FALSE)</f>
        <v>0</v>
      </c>
      <c r="AG19" s="131" t="b">
        <f>IF(AND(O19=Auswahldaten!$A$12,Alapanyagok_DID!F19='DID List'!$A$7),TRUE,FALSE)</f>
        <v>0</v>
      </c>
      <c r="AH19" s="131" t="b">
        <f>IF(Alapanyagok_DID!F19='DID List'!$A$7,TRUE,FALSE)</f>
        <v>0</v>
      </c>
      <c r="AI19" s="131" t="b">
        <f>IF(P19=Auswahldaten!$A$12,TRUE,FALSE)</f>
        <v>0</v>
      </c>
      <c r="AJ19" s="131" t="b">
        <f>IF(AND(ISERROR(SEARCH("H400",J19))=FALSE,H19=Auswahldaten!$A$16)=TRUE,TRUE,FALSE)</f>
        <v>0</v>
      </c>
      <c r="AK19" s="131" t="b">
        <f>IF(AND(ISERROR(SEARCH($AK$11,J19))=FALSE,H19=Auswahldaten!$A$16)=TRUE,TRUE,FALSE)</f>
        <v>0</v>
      </c>
      <c r="AL19" s="131" t="b">
        <f>IF(AND(ISERROR(SEARCH("H317",J19))=FALSE,H19=Auswahldaten!$A$21)=TRUE,TRUE,FALSE)</f>
        <v>0</v>
      </c>
      <c r="AM19" s="131" t="b">
        <f>IF(AND(ISERROR(SEARCH("H334",J19))=FALSE,H19=Auswahldaten!$A$21)=TRUE,TRUE,FALSE)</f>
        <v>0</v>
      </c>
      <c r="AN19" s="131" t="b">
        <f t="shared" si="6"/>
        <v>0</v>
      </c>
      <c r="AO19" s="732" t="s">
        <v>1683</v>
      </c>
      <c r="AP19" s="731">
        <f t="shared" si="7"/>
        <v>0</v>
      </c>
      <c r="AQ19" s="131" t="b">
        <f>IF(AND(H19=Auswahldaten!A$20,OR(Alapanyagok!L19=Auswahldaten!A$52,Alapanyagok!L19=Auswahldaten!A$53)),TRUE,FALSE)</f>
        <v>0</v>
      </c>
      <c r="AR19" s="523">
        <f>IF(K19=Auswahldaten!$A$61,1,0)</f>
        <v>0</v>
      </c>
    </row>
    <row r="20" spans="1:44" ht="15.5">
      <c r="A20" s="35">
        <v>9</v>
      </c>
      <c r="B20" s="72"/>
      <c r="C20" s="123"/>
      <c r="D20" s="267" t="str">
        <f>IF(C20="","",VLOOKUP(C20,Összetétel!$B$13:$E$61,4,FALSE))</f>
        <v/>
      </c>
      <c r="E20" s="82"/>
      <c r="F20" s="122">
        <f t="shared" si="1"/>
        <v>0</v>
      </c>
      <c r="G20" s="879"/>
      <c r="H20" s="72"/>
      <c r="I20" s="122" t="str">
        <f t="shared" si="9"/>
        <v/>
      </c>
      <c r="J20" s="87"/>
      <c r="K20" s="72"/>
      <c r="L20" s="71"/>
      <c r="M20" s="606"/>
      <c r="N20" s="607"/>
      <c r="O20" s="82"/>
      <c r="P20" s="82"/>
      <c r="Q20" s="272" t="str">
        <f>IF(B20="","",IF(OR(H20=Fordítások!$C$70,H20=Fordítások!$B$70),"Y","N"))</f>
        <v/>
      </c>
      <c r="R20" s="272" t="str">
        <f t="shared" si="2"/>
        <v>N</v>
      </c>
      <c r="S20" s="272" t="str">
        <f t="shared" si="3"/>
        <v>N</v>
      </c>
      <c r="T20" s="272" t="str">
        <f t="shared" si="3"/>
        <v>N</v>
      </c>
      <c r="U20" s="82"/>
      <c r="V20" s="273"/>
      <c r="W20" s="738">
        <v>331</v>
      </c>
      <c r="X20" s="16"/>
      <c r="Y20">
        <f t="shared" si="8"/>
        <v>0</v>
      </c>
      <c r="AA20" s="131" t="b">
        <f>IF(H20=Auswahldaten!$A$16,TRUE,FALSE)</f>
        <v>0</v>
      </c>
      <c r="AB20" s="131" t="b">
        <f>IF(Alapanyagok_DID!O20="R",TRUE,FALSE)</f>
        <v>0</v>
      </c>
      <c r="AC20" s="131" t="b">
        <f t="shared" si="4"/>
        <v>0</v>
      </c>
      <c r="AD20" s="131" t="b">
        <f>IF(Alapanyagok_DID!K20=Auswahldaten!$A$12,TRUE,FALSE)</f>
        <v>0</v>
      </c>
      <c r="AE20" s="131" t="b">
        <f t="shared" si="5"/>
        <v>0</v>
      </c>
      <c r="AF20" s="131" t="b">
        <f>IF(AND(AA20=TRUE,Alapanyagok_DID!E20='DID List'!$A$7),TRUE,FALSE)</f>
        <v>0</v>
      </c>
      <c r="AG20" s="131" t="b">
        <f>IF(AND(O20=Auswahldaten!$A$12,Alapanyagok_DID!F20='DID List'!$A$7),TRUE,FALSE)</f>
        <v>0</v>
      </c>
      <c r="AH20" s="131" t="b">
        <f>IF(Alapanyagok_DID!F20='DID List'!$A$7,TRUE,FALSE)</f>
        <v>0</v>
      </c>
      <c r="AI20" s="131" t="b">
        <f>IF(P20=Auswahldaten!$A$12,TRUE,FALSE)</f>
        <v>0</v>
      </c>
      <c r="AJ20" s="131" t="b">
        <f>IF(AND(ISERROR(SEARCH("H400",J20))=FALSE,H20=Auswahldaten!$A$16)=TRUE,TRUE,FALSE)</f>
        <v>0</v>
      </c>
      <c r="AK20" s="131" t="b">
        <f>IF(AND(ISERROR(SEARCH($AK$11,J20))=FALSE,H20=Auswahldaten!$A$16)=TRUE,TRUE,FALSE)</f>
        <v>0</v>
      </c>
      <c r="AL20" s="131" t="b">
        <f>IF(AND(ISERROR(SEARCH("H317",J20))=FALSE,H20=Auswahldaten!$A$21)=TRUE,TRUE,FALSE)</f>
        <v>0</v>
      </c>
      <c r="AM20" s="131" t="b">
        <f>IF(AND(ISERROR(SEARCH("H334",J20))=FALSE,H20=Auswahldaten!$A$21)=TRUE,TRUE,FALSE)</f>
        <v>0</v>
      </c>
      <c r="AN20" s="131" t="b">
        <f t="shared" si="6"/>
        <v>0</v>
      </c>
      <c r="AO20" s="728">
        <f>COUNTIFS(H13:H61,Auswahldaten!A20,Alapanyagok!L13:L61,Auswahldaten!A54)</f>
        <v>0</v>
      </c>
      <c r="AP20" s="731">
        <f t="shared" si="7"/>
        <v>0</v>
      </c>
      <c r="AQ20" s="131" t="b">
        <f>IF(AND(H20=Auswahldaten!A$20,OR(Alapanyagok!L20=Auswahldaten!A$52,Alapanyagok!L20=Auswahldaten!A$53)),TRUE,FALSE)</f>
        <v>0</v>
      </c>
      <c r="AR20" s="523">
        <f>IF(K20=Auswahldaten!$A$61,1,0)</f>
        <v>0</v>
      </c>
    </row>
    <row r="21" spans="1:44" ht="15.5">
      <c r="A21" s="35">
        <v>10</v>
      </c>
      <c r="B21" s="72"/>
      <c r="C21" s="123"/>
      <c r="D21" s="267" t="str">
        <f>IF(C21="","",VLOOKUP(C21,Összetétel!$B$13:$E$61,4,FALSE))</f>
        <v/>
      </c>
      <c r="E21" s="82"/>
      <c r="F21" s="122">
        <f t="shared" si="1"/>
        <v>0</v>
      </c>
      <c r="G21" s="879"/>
      <c r="H21" s="72"/>
      <c r="I21" s="122" t="str">
        <f t="shared" si="9"/>
        <v/>
      </c>
      <c r="J21" s="87"/>
      <c r="K21" s="72"/>
      <c r="L21" s="71"/>
      <c r="M21" s="606"/>
      <c r="N21" s="607"/>
      <c r="O21" s="82"/>
      <c r="P21" s="82"/>
      <c r="Q21" s="272" t="str">
        <f>IF(B21="","",IF(OR(H21=Fordítások!$C$70,H21=Fordítások!$B$70),"Y","N"))</f>
        <v/>
      </c>
      <c r="R21" s="272" t="str">
        <f t="shared" si="2"/>
        <v>N</v>
      </c>
      <c r="S21" s="272" t="str">
        <f t="shared" si="3"/>
        <v>N</v>
      </c>
      <c r="T21" s="272" t="str">
        <f t="shared" si="3"/>
        <v>N</v>
      </c>
      <c r="U21" s="82"/>
      <c r="V21" s="273"/>
      <c r="W21" s="738">
        <v>334</v>
      </c>
      <c r="X21" s="16"/>
      <c r="Y21">
        <f t="shared" si="8"/>
        <v>0</v>
      </c>
      <c r="AA21" s="131" t="b">
        <f>IF(H21=Auswahldaten!$A$16,TRUE,FALSE)</f>
        <v>0</v>
      </c>
      <c r="AB21" s="131" t="b">
        <f>IF(Alapanyagok_DID!O21="R",TRUE,FALSE)</f>
        <v>0</v>
      </c>
      <c r="AC21" s="131" t="b">
        <f t="shared" si="4"/>
        <v>0</v>
      </c>
      <c r="AD21" s="131" t="b">
        <f>IF(Alapanyagok_DID!K21=Auswahldaten!$A$12,TRUE,FALSE)</f>
        <v>0</v>
      </c>
      <c r="AE21" s="131" t="b">
        <f t="shared" si="5"/>
        <v>0</v>
      </c>
      <c r="AF21" s="131" t="b">
        <f>IF(AND(AA21=TRUE,Alapanyagok_DID!E21='DID List'!$A$7),TRUE,FALSE)</f>
        <v>0</v>
      </c>
      <c r="AG21" s="131" t="b">
        <f>IF(AND(O21=Auswahldaten!$A$12,Alapanyagok_DID!F21='DID List'!$A$7),TRUE,FALSE)</f>
        <v>0</v>
      </c>
      <c r="AH21" s="131" t="b">
        <f>IF(Alapanyagok_DID!F21='DID List'!$A$7,TRUE,FALSE)</f>
        <v>0</v>
      </c>
      <c r="AI21" s="131" t="b">
        <f>IF(P21=Auswahldaten!$A$12,TRUE,FALSE)</f>
        <v>0</v>
      </c>
      <c r="AJ21" s="131" t="b">
        <f>IF(AND(ISERROR(SEARCH("H400",J21))=FALSE,H21=Auswahldaten!$A$16)=TRUE,TRUE,FALSE)</f>
        <v>0</v>
      </c>
      <c r="AK21" s="131" t="b">
        <f>IF(AND(ISERROR(SEARCH($AK$11,J21))=FALSE,H21=Auswahldaten!$A$16)=TRUE,TRUE,FALSE)</f>
        <v>0</v>
      </c>
      <c r="AL21" s="131" t="b">
        <f>IF(AND(ISERROR(SEARCH("H317",J21))=FALSE,H21=Auswahldaten!$A$21)=TRUE,TRUE,FALSE)</f>
        <v>0</v>
      </c>
      <c r="AM21" s="131" t="b">
        <f>IF(AND(ISERROR(SEARCH("H334",J21))=FALSE,H21=Auswahldaten!$A$21)=TRUE,TRUE,FALSE)</f>
        <v>0</v>
      </c>
      <c r="AN21" s="131" t="b">
        <f t="shared" si="6"/>
        <v>0</v>
      </c>
      <c r="AP21" s="731">
        <f t="shared" si="7"/>
        <v>0</v>
      </c>
      <c r="AQ21" s="131" t="b">
        <f>IF(AND(H21=Auswahldaten!A$20,OR(Alapanyagok!L21=Auswahldaten!A$52,Alapanyagok!L21=Auswahldaten!A$53)),TRUE,FALSE)</f>
        <v>0</v>
      </c>
      <c r="AR21" s="523">
        <f>IF(K21=Auswahldaten!$A$61,1,0)</f>
        <v>0</v>
      </c>
    </row>
    <row r="22" spans="1:44" ht="15.5">
      <c r="A22" s="35">
        <v>11</v>
      </c>
      <c r="B22" s="72"/>
      <c r="C22" s="123"/>
      <c r="D22" s="267" t="str">
        <f>IF(C22="","",VLOOKUP(C22,Összetétel!$B$13:$E$61,4,FALSE))</f>
        <v/>
      </c>
      <c r="E22" s="82"/>
      <c r="F22" s="122">
        <f t="shared" si="1"/>
        <v>0</v>
      </c>
      <c r="G22" s="879"/>
      <c r="H22" s="72"/>
      <c r="I22" s="122" t="str">
        <f t="shared" si="9"/>
        <v/>
      </c>
      <c r="J22" s="87"/>
      <c r="K22" s="72"/>
      <c r="L22" s="71"/>
      <c r="M22" s="606"/>
      <c r="N22" s="607"/>
      <c r="O22" s="82"/>
      <c r="P22" s="82"/>
      <c r="Q22" s="272" t="str">
        <f>IF(B22="","",IF(OR(H22=Fordítások!$C$70,H22=Fordítások!$B$70),"Y","N"))</f>
        <v/>
      </c>
      <c r="R22" s="272" t="str">
        <f t="shared" si="2"/>
        <v>N</v>
      </c>
      <c r="S22" s="272" t="str">
        <f t="shared" si="3"/>
        <v>N</v>
      </c>
      <c r="T22" s="272" t="str">
        <f t="shared" si="3"/>
        <v>N</v>
      </c>
      <c r="U22" s="82"/>
      <c r="V22" s="273"/>
      <c r="W22" s="738">
        <v>340</v>
      </c>
      <c r="X22" s="16"/>
      <c r="Y22">
        <f t="shared" si="8"/>
        <v>0</v>
      </c>
      <c r="AA22" s="131" t="b">
        <f>IF(H22=Auswahldaten!$A$16,TRUE,FALSE)</f>
        <v>0</v>
      </c>
      <c r="AB22" s="131" t="b">
        <f>IF(Alapanyagok_DID!O22="R",TRUE,FALSE)</f>
        <v>0</v>
      </c>
      <c r="AC22" s="131" t="b">
        <f t="shared" si="4"/>
        <v>0</v>
      </c>
      <c r="AD22" s="131" t="b">
        <f>IF(Alapanyagok_DID!K22=Auswahldaten!$A$12,TRUE,FALSE)</f>
        <v>0</v>
      </c>
      <c r="AE22" s="131" t="b">
        <f t="shared" si="5"/>
        <v>0</v>
      </c>
      <c r="AF22" s="131" t="b">
        <f>IF(AND(AA22=TRUE,Alapanyagok_DID!E22='DID List'!$A$7),TRUE,FALSE)</f>
        <v>0</v>
      </c>
      <c r="AG22" s="131" t="b">
        <f>IF(AND(O22=Auswahldaten!$A$12,Alapanyagok_DID!F22='DID List'!$A$7),TRUE,FALSE)</f>
        <v>0</v>
      </c>
      <c r="AH22" s="131" t="b">
        <f>IF(Alapanyagok_DID!F22='DID List'!$A$7,TRUE,FALSE)</f>
        <v>0</v>
      </c>
      <c r="AI22" s="131" t="b">
        <f>IF(P22=Auswahldaten!$A$12,TRUE,FALSE)</f>
        <v>0</v>
      </c>
      <c r="AJ22" s="131" t="b">
        <f>IF(AND(ISERROR(SEARCH("H400",J22))=FALSE,H22=Auswahldaten!$A$16)=TRUE,TRUE,FALSE)</f>
        <v>0</v>
      </c>
      <c r="AK22" s="131" t="b">
        <f>IF(AND(ISERROR(SEARCH($AK$11,J22))=FALSE,H22=Auswahldaten!$A$16)=TRUE,TRUE,FALSE)</f>
        <v>0</v>
      </c>
      <c r="AL22" s="131" t="b">
        <f>IF(AND(ISERROR(SEARCH("H317",J22))=FALSE,H22=Auswahldaten!$A$21)=TRUE,TRUE,FALSE)</f>
        <v>0</v>
      </c>
      <c r="AM22" s="131" t="b">
        <f>IF(AND(ISERROR(SEARCH("H334",J22))=FALSE,H22=Auswahldaten!$A$21)=TRUE,TRUE,FALSE)</f>
        <v>0</v>
      </c>
      <c r="AN22" s="131" t="b">
        <f t="shared" si="6"/>
        <v>0</v>
      </c>
      <c r="AO22" s="732" t="s">
        <v>1684</v>
      </c>
      <c r="AP22" s="731">
        <f t="shared" si="7"/>
        <v>0</v>
      </c>
      <c r="AQ22" s="131" t="b">
        <f>IF(AND(H22=Auswahldaten!A$20,OR(Alapanyagok!L22=Auswahldaten!A$52,Alapanyagok!L22=Auswahldaten!A$53)),TRUE,FALSE)</f>
        <v>0</v>
      </c>
      <c r="AR22" s="523">
        <f>IF(K22=Auswahldaten!$A$61,1,0)</f>
        <v>0</v>
      </c>
    </row>
    <row r="23" spans="1:44" ht="15.5">
      <c r="A23" s="35">
        <v>12</v>
      </c>
      <c r="B23" s="72"/>
      <c r="C23" s="123"/>
      <c r="D23" s="267" t="str">
        <f>IF(C23="","",VLOOKUP(C23,Összetétel!$B$13:$E$61,4,FALSE))</f>
        <v/>
      </c>
      <c r="E23" s="82"/>
      <c r="F23" s="122">
        <f t="shared" si="1"/>
        <v>0</v>
      </c>
      <c r="G23" s="879"/>
      <c r="H23" s="72"/>
      <c r="I23" s="122" t="str">
        <f t="shared" si="9"/>
        <v/>
      </c>
      <c r="J23" s="87"/>
      <c r="K23" s="72"/>
      <c r="L23" s="71"/>
      <c r="M23" s="606"/>
      <c r="N23" s="607"/>
      <c r="O23" s="82"/>
      <c r="P23" s="82"/>
      <c r="Q23" s="272" t="str">
        <f>IF(B23="","",IF(OR(H23=Fordítások!$C$70,H23=Fordítások!$B$70),"Y","N"))</f>
        <v/>
      </c>
      <c r="R23" s="272" t="str">
        <f t="shared" si="2"/>
        <v>N</v>
      </c>
      <c r="S23" s="272" t="str">
        <f t="shared" si="3"/>
        <v>N</v>
      </c>
      <c r="T23" s="272" t="str">
        <f t="shared" si="3"/>
        <v>N</v>
      </c>
      <c r="U23" s="82"/>
      <c r="V23" s="273"/>
      <c r="W23" s="738">
        <v>341</v>
      </c>
      <c r="X23" s="16"/>
      <c r="Y23">
        <f t="shared" si="8"/>
        <v>0</v>
      </c>
      <c r="AA23" s="131" t="b">
        <f>IF(H23=Auswahldaten!$A$16,TRUE,FALSE)</f>
        <v>0</v>
      </c>
      <c r="AB23" s="131" t="b">
        <f>IF(Alapanyagok_DID!O23="R",TRUE,FALSE)</f>
        <v>0</v>
      </c>
      <c r="AC23" s="131" t="b">
        <f t="shared" si="4"/>
        <v>0</v>
      </c>
      <c r="AD23" s="131" t="b">
        <f>IF(Alapanyagok_DID!K23=Auswahldaten!$A$12,TRUE,FALSE)</f>
        <v>0</v>
      </c>
      <c r="AE23" s="131" t="b">
        <f t="shared" si="5"/>
        <v>0</v>
      </c>
      <c r="AF23" s="131" t="b">
        <f>IF(AND(AA23=TRUE,Alapanyagok_DID!E23='DID List'!$A$7),TRUE,FALSE)</f>
        <v>0</v>
      </c>
      <c r="AG23" s="131" t="b">
        <f>IF(AND(O23=Auswahldaten!$A$12,Alapanyagok_DID!F23='DID List'!$A$7),TRUE,FALSE)</f>
        <v>0</v>
      </c>
      <c r="AH23" s="131" t="b">
        <f>IF(Alapanyagok_DID!F23='DID List'!$A$7,TRUE,FALSE)</f>
        <v>0</v>
      </c>
      <c r="AI23" s="131" t="b">
        <f>IF(P23=Auswahldaten!$A$12,TRUE,FALSE)</f>
        <v>0</v>
      </c>
      <c r="AJ23" s="131" t="b">
        <f>IF(AND(ISERROR(SEARCH("H400",J23))=FALSE,H23=Auswahldaten!$A$16)=TRUE,TRUE,FALSE)</f>
        <v>0</v>
      </c>
      <c r="AK23" s="131" t="b">
        <f>IF(AND(ISERROR(SEARCH($AK$11,J23))=FALSE,H23=Auswahldaten!$A$16)=TRUE,TRUE,FALSE)</f>
        <v>0</v>
      </c>
      <c r="AL23" s="131" t="b">
        <f>IF(AND(ISERROR(SEARCH("H317",J23))=FALSE,H23=Auswahldaten!$A$21)=TRUE,TRUE,FALSE)</f>
        <v>0</v>
      </c>
      <c r="AM23" s="131" t="b">
        <f>IF(AND(ISERROR(SEARCH("H334",J23))=FALSE,H23=Auswahldaten!$A$21)=TRUE,TRUE,FALSE)</f>
        <v>0</v>
      </c>
      <c r="AN23" s="131" t="b">
        <f t="shared" si="6"/>
        <v>0</v>
      </c>
      <c r="AO23" s="734">
        <f>COUNTIFS(H13:H61,Auswahldaten!A20,Alapanyagok!L13:L61,Auswahldaten!A52)+COUNTIFS(Alapanyagok!H13:H61,Auswahldaten!A20,Alapanyagok!L13:L61,Auswahldaten!A53)</f>
        <v>0</v>
      </c>
      <c r="AP23" s="731">
        <f t="shared" si="7"/>
        <v>0</v>
      </c>
      <c r="AQ23" s="131" t="b">
        <f>IF(AND(H23=Auswahldaten!A$20,OR(Alapanyagok!L23=Auswahldaten!A$52,Alapanyagok!L23=Auswahldaten!A$53)),TRUE,FALSE)</f>
        <v>0</v>
      </c>
      <c r="AR23" s="523">
        <f>IF(K23=Auswahldaten!$A$61,1,0)</f>
        <v>0</v>
      </c>
    </row>
    <row r="24" spans="1:44" ht="15.5">
      <c r="A24" s="35">
        <v>13</v>
      </c>
      <c r="B24" s="72"/>
      <c r="C24" s="123"/>
      <c r="D24" s="267" t="str">
        <f>IF(C24="","",VLOOKUP(C24,Összetétel!$B$13:$E$61,4,FALSE))</f>
        <v/>
      </c>
      <c r="E24" s="82"/>
      <c r="F24" s="122">
        <f t="shared" si="1"/>
        <v>0</v>
      </c>
      <c r="G24" s="879"/>
      <c r="H24" s="72"/>
      <c r="I24" s="122" t="str">
        <f t="shared" si="9"/>
        <v/>
      </c>
      <c r="J24" s="87"/>
      <c r="K24" s="72"/>
      <c r="L24" s="71"/>
      <c r="M24" s="606"/>
      <c r="N24" s="607"/>
      <c r="O24" s="82"/>
      <c r="P24" s="82"/>
      <c r="Q24" s="272" t="str">
        <f>IF(B24="","",IF(OR(H24=Fordítások!$C$70,H24=Fordítások!$B$70),"Y","N"))</f>
        <v/>
      </c>
      <c r="R24" s="272" t="str">
        <f t="shared" si="2"/>
        <v>N</v>
      </c>
      <c r="S24" s="272" t="str">
        <f t="shared" si="3"/>
        <v>N</v>
      </c>
      <c r="T24" s="272" t="str">
        <f t="shared" si="3"/>
        <v>N</v>
      </c>
      <c r="U24" s="82"/>
      <c r="V24" s="273"/>
      <c r="W24" s="738">
        <v>350</v>
      </c>
      <c r="X24" s="16"/>
      <c r="Y24">
        <f t="shared" si="8"/>
        <v>0</v>
      </c>
      <c r="AA24" s="131" t="b">
        <f>IF(H24=Auswahldaten!$A$16,TRUE,FALSE)</f>
        <v>0</v>
      </c>
      <c r="AB24" s="131" t="b">
        <f>IF(Alapanyagok_DID!O24="R",TRUE,FALSE)</f>
        <v>0</v>
      </c>
      <c r="AC24" s="131" t="b">
        <f t="shared" si="4"/>
        <v>0</v>
      </c>
      <c r="AD24" s="131" t="b">
        <f>IF(Alapanyagok_DID!K24=Auswahldaten!$A$12,TRUE,FALSE)</f>
        <v>0</v>
      </c>
      <c r="AE24" s="131" t="b">
        <f t="shared" si="5"/>
        <v>0</v>
      </c>
      <c r="AF24" s="131" t="b">
        <f>IF(AND(AA24=TRUE,Alapanyagok_DID!E24='DID List'!$A$7),TRUE,FALSE)</f>
        <v>0</v>
      </c>
      <c r="AG24" s="131" t="b">
        <f>IF(AND(O24=Auswahldaten!$A$12,Alapanyagok_DID!F24='DID List'!$A$7),TRUE,FALSE)</f>
        <v>0</v>
      </c>
      <c r="AH24" s="131" t="b">
        <f>IF(Alapanyagok_DID!F24='DID List'!$A$7,TRUE,FALSE)</f>
        <v>0</v>
      </c>
      <c r="AI24" s="131" t="b">
        <f>IF(P24=Auswahldaten!$A$12,TRUE,FALSE)</f>
        <v>0</v>
      </c>
      <c r="AJ24" s="131" t="b">
        <f>IF(AND(ISERROR(SEARCH("H400",J24))=FALSE,H24=Auswahldaten!$A$16)=TRUE,TRUE,FALSE)</f>
        <v>0</v>
      </c>
      <c r="AK24" s="131" t="b">
        <f>IF(AND(ISERROR(SEARCH($AK$11,J24))=FALSE,H24=Auswahldaten!$A$16)=TRUE,TRUE,FALSE)</f>
        <v>0</v>
      </c>
      <c r="AL24" s="131" t="b">
        <f>IF(AND(ISERROR(SEARCH("H317",J24))=FALSE,H24=Auswahldaten!$A$21)=TRUE,TRUE,FALSE)</f>
        <v>0</v>
      </c>
      <c r="AM24" s="131" t="b">
        <f>IF(AND(ISERROR(SEARCH("H334",J24))=FALSE,H24=Auswahldaten!$A$21)=TRUE,TRUE,FALSE)</f>
        <v>0</v>
      </c>
      <c r="AN24" s="131" t="b">
        <f t="shared" si="6"/>
        <v>0</v>
      </c>
      <c r="AP24" s="731">
        <f t="shared" si="7"/>
        <v>0</v>
      </c>
      <c r="AQ24" s="131" t="b">
        <f>IF(AND(H24=Auswahldaten!A$20,OR(Alapanyagok!L24=Auswahldaten!A$52,Alapanyagok!L24=Auswahldaten!A$53)),TRUE,FALSE)</f>
        <v>0</v>
      </c>
      <c r="AR24" s="523">
        <f>IF(K24=Auswahldaten!$A$61,1,0)</f>
        <v>0</v>
      </c>
    </row>
    <row r="25" spans="1:44" ht="15.5">
      <c r="A25" s="35">
        <v>14</v>
      </c>
      <c r="B25" s="72"/>
      <c r="C25" s="123"/>
      <c r="D25" s="267" t="str">
        <f>IF(C25="","",VLOOKUP(C25,Összetétel!$B$13:$E$61,4,FALSE))</f>
        <v/>
      </c>
      <c r="E25" s="82"/>
      <c r="F25" s="122">
        <f t="shared" si="1"/>
        <v>0</v>
      </c>
      <c r="G25" s="879"/>
      <c r="H25" s="72"/>
      <c r="I25" s="122" t="str">
        <f t="shared" si="9"/>
        <v/>
      </c>
      <c r="J25" s="87"/>
      <c r="K25" s="72"/>
      <c r="L25" s="71"/>
      <c r="M25" s="606"/>
      <c r="N25" s="607"/>
      <c r="O25" s="82"/>
      <c r="P25" s="82"/>
      <c r="Q25" s="272" t="str">
        <f>IF(B25="","",IF(OR(H25=Fordítások!$C$70,H25=Fordítások!$B$70),"Y","N"))</f>
        <v/>
      </c>
      <c r="R25" s="272" t="str">
        <f t="shared" si="2"/>
        <v>N</v>
      </c>
      <c r="S25" s="272" t="str">
        <f t="shared" si="3"/>
        <v>N</v>
      </c>
      <c r="T25" s="272" t="str">
        <f t="shared" si="3"/>
        <v>N</v>
      </c>
      <c r="U25" s="82"/>
      <c r="V25" s="273"/>
      <c r="W25" s="738">
        <v>351</v>
      </c>
      <c r="X25" s="16"/>
      <c r="Y25">
        <f t="shared" si="8"/>
        <v>0</v>
      </c>
      <c r="AA25" s="131" t="b">
        <f>IF(H25=Auswahldaten!$A$16,TRUE,FALSE)</f>
        <v>0</v>
      </c>
      <c r="AB25" s="131" t="b">
        <f>IF(Alapanyagok_DID!O25="R",TRUE,FALSE)</f>
        <v>0</v>
      </c>
      <c r="AC25" s="131" t="b">
        <f t="shared" si="4"/>
        <v>0</v>
      </c>
      <c r="AD25" s="131" t="b">
        <f>IF(Alapanyagok_DID!K25=Auswahldaten!$A$12,TRUE,FALSE)</f>
        <v>0</v>
      </c>
      <c r="AE25" s="131" t="b">
        <f t="shared" si="5"/>
        <v>0</v>
      </c>
      <c r="AF25" s="131" t="b">
        <f>IF(AND(AA25=TRUE,Alapanyagok_DID!E25='DID List'!$A$7),TRUE,FALSE)</f>
        <v>0</v>
      </c>
      <c r="AG25" s="131" t="b">
        <f>IF(AND(O25=Auswahldaten!$A$12,Alapanyagok_DID!F25='DID List'!$A$7),TRUE,FALSE)</f>
        <v>0</v>
      </c>
      <c r="AH25" s="131" t="b">
        <f>IF(Alapanyagok_DID!F25='DID List'!$A$7,TRUE,FALSE)</f>
        <v>0</v>
      </c>
      <c r="AI25" s="131" t="b">
        <f>IF(P25=Auswahldaten!$A$12,TRUE,FALSE)</f>
        <v>0</v>
      </c>
      <c r="AJ25" s="131" t="b">
        <f>IF(AND(ISERROR(SEARCH("H400",J25))=FALSE,H25=Auswahldaten!$A$16)=TRUE,TRUE,FALSE)</f>
        <v>0</v>
      </c>
      <c r="AK25" s="131" t="b">
        <f>IF(AND(ISERROR(SEARCH($AK$11,J25))=FALSE,H25=Auswahldaten!$A$16)=TRUE,TRUE,FALSE)</f>
        <v>0</v>
      </c>
      <c r="AL25" s="131" t="b">
        <f>IF(AND(ISERROR(SEARCH("H317",J25))=FALSE,H25=Auswahldaten!$A$21)=TRUE,TRUE,FALSE)</f>
        <v>0</v>
      </c>
      <c r="AM25" s="131" t="b">
        <f>IF(AND(ISERROR(SEARCH("H334",J25))=FALSE,H25=Auswahldaten!$A$21)=TRUE,TRUE,FALSE)</f>
        <v>0</v>
      </c>
      <c r="AN25" s="131" t="b">
        <f t="shared" si="6"/>
        <v>0</v>
      </c>
      <c r="AP25" s="731">
        <f t="shared" si="7"/>
        <v>0</v>
      </c>
      <c r="AQ25" s="131" t="b">
        <f>IF(AND(H25=Auswahldaten!A$20,OR(Alapanyagok!L25=Auswahldaten!A$52,Alapanyagok!L25=Auswahldaten!A$53)),TRUE,FALSE)</f>
        <v>0</v>
      </c>
      <c r="AR25" s="523">
        <f>IF(K25=Auswahldaten!$A$61,1,0)</f>
        <v>0</v>
      </c>
    </row>
    <row r="26" spans="1:44" ht="15.5">
      <c r="A26" s="35">
        <v>15</v>
      </c>
      <c r="B26" s="72"/>
      <c r="C26" s="123"/>
      <c r="D26" s="267" t="str">
        <f>IF(C26="","",VLOOKUP(C26,Összetétel!$B$13:$E$61,4,FALSE))</f>
        <v/>
      </c>
      <c r="E26" s="82"/>
      <c r="F26" s="122">
        <f t="shared" si="1"/>
        <v>0</v>
      </c>
      <c r="G26" s="879"/>
      <c r="H26" s="72"/>
      <c r="I26" s="122" t="str">
        <f t="shared" si="9"/>
        <v/>
      </c>
      <c r="J26" s="87"/>
      <c r="K26" s="72"/>
      <c r="L26" s="71"/>
      <c r="M26" s="606"/>
      <c r="N26" s="607"/>
      <c r="O26" s="82"/>
      <c r="P26" s="82"/>
      <c r="Q26" s="272" t="str">
        <f>IF(B26="","",IF(OR(H26=Fordítások!$C$70,H26=Fordítások!$B$70),"Y","N"))</f>
        <v/>
      </c>
      <c r="R26" s="272" t="str">
        <f t="shared" si="2"/>
        <v>N</v>
      </c>
      <c r="S26" s="272" t="str">
        <f t="shared" si="3"/>
        <v>N</v>
      </c>
      <c r="T26" s="272" t="str">
        <f t="shared" si="3"/>
        <v>N</v>
      </c>
      <c r="U26" s="82"/>
      <c r="V26" s="273"/>
      <c r="W26" s="738">
        <v>360</v>
      </c>
      <c r="X26" s="16"/>
      <c r="Y26">
        <f t="shared" si="8"/>
        <v>0</v>
      </c>
      <c r="AA26" s="131" t="b">
        <f>IF(H26=Auswahldaten!$A$16,TRUE,FALSE)</f>
        <v>0</v>
      </c>
      <c r="AB26" s="131" t="b">
        <f>IF(Alapanyagok_DID!O26="R",TRUE,FALSE)</f>
        <v>0</v>
      </c>
      <c r="AC26" s="131" t="b">
        <f t="shared" si="4"/>
        <v>0</v>
      </c>
      <c r="AD26" s="131" t="b">
        <f>IF(Alapanyagok_DID!K26=Auswahldaten!$A$12,TRUE,FALSE)</f>
        <v>0</v>
      </c>
      <c r="AE26" s="131" t="b">
        <f t="shared" si="5"/>
        <v>0</v>
      </c>
      <c r="AF26" s="131" t="b">
        <f>IF(AND(AA26=TRUE,Alapanyagok_DID!E26='DID List'!$A$7),TRUE,FALSE)</f>
        <v>0</v>
      </c>
      <c r="AG26" s="131" t="b">
        <f>IF(AND(O26=Auswahldaten!$A$12,Alapanyagok_DID!F26='DID List'!$A$7),TRUE,FALSE)</f>
        <v>0</v>
      </c>
      <c r="AH26" s="131" t="b">
        <f>IF(Alapanyagok_DID!F26='DID List'!$A$7,TRUE,FALSE)</f>
        <v>0</v>
      </c>
      <c r="AI26" s="131" t="b">
        <f>IF(P26=Auswahldaten!$A$12,TRUE,FALSE)</f>
        <v>0</v>
      </c>
      <c r="AJ26" s="131" t="b">
        <f>IF(AND(ISERROR(SEARCH("H400",J26))=FALSE,H26=Auswahldaten!$A$16)=TRUE,TRUE,FALSE)</f>
        <v>0</v>
      </c>
      <c r="AK26" s="131" t="b">
        <f>IF(AND(ISERROR(SEARCH($AK$11,J26))=FALSE,H26=Auswahldaten!$A$16)=TRUE,TRUE,FALSE)</f>
        <v>0</v>
      </c>
      <c r="AL26" s="131" t="b">
        <f>IF(AND(ISERROR(SEARCH("H317",J26))=FALSE,H26=Auswahldaten!$A$21)=TRUE,TRUE,FALSE)</f>
        <v>0</v>
      </c>
      <c r="AM26" s="131" t="b">
        <f>IF(AND(ISERROR(SEARCH("H334",J26))=FALSE,H26=Auswahldaten!$A$21)=TRUE,TRUE,FALSE)</f>
        <v>0</v>
      </c>
      <c r="AN26" s="131" t="b">
        <f t="shared" si="6"/>
        <v>0</v>
      </c>
      <c r="AP26" s="731">
        <f t="shared" si="7"/>
        <v>0</v>
      </c>
      <c r="AQ26" s="131" t="b">
        <f>IF(AND(H26=Auswahldaten!A$20,OR(Alapanyagok!L26=Auswahldaten!A$52,Alapanyagok!L26=Auswahldaten!A$53)),TRUE,FALSE)</f>
        <v>0</v>
      </c>
      <c r="AR26" s="523">
        <f>IF(K26=Auswahldaten!$A$61,1,0)</f>
        <v>0</v>
      </c>
    </row>
    <row r="27" spans="1:44" ht="15.5">
      <c r="A27" s="35">
        <v>16</v>
      </c>
      <c r="B27" s="72"/>
      <c r="C27" s="123"/>
      <c r="D27" s="267" t="str">
        <f>IF(C27="","",VLOOKUP(C27,Összetétel!$B$13:$E$61,4,FALSE))</f>
        <v/>
      </c>
      <c r="E27" s="82"/>
      <c r="F27" s="122">
        <f t="shared" si="1"/>
        <v>0</v>
      </c>
      <c r="G27" s="879"/>
      <c r="H27" s="72"/>
      <c r="I27" s="122" t="str">
        <f t="shared" si="9"/>
        <v/>
      </c>
      <c r="J27" s="87"/>
      <c r="K27" s="72"/>
      <c r="L27" s="71"/>
      <c r="M27" s="606"/>
      <c r="N27" s="607"/>
      <c r="O27" s="82"/>
      <c r="P27" s="82"/>
      <c r="Q27" s="272" t="str">
        <f>IF(B27="","",IF(OR(H27=Fordítások!$C$70,H27=Fordítások!$B$70),"Y","N"))</f>
        <v/>
      </c>
      <c r="R27" s="272" t="str">
        <f t="shared" si="2"/>
        <v>N</v>
      </c>
      <c r="S27" s="272" t="str">
        <f t="shared" si="3"/>
        <v>N</v>
      </c>
      <c r="T27" s="272" t="str">
        <f t="shared" si="3"/>
        <v>N</v>
      </c>
      <c r="U27" s="82"/>
      <c r="V27" s="273"/>
      <c r="W27" s="738">
        <v>361</v>
      </c>
      <c r="X27" s="16"/>
      <c r="Y27">
        <f t="shared" si="8"/>
        <v>0</v>
      </c>
      <c r="AA27" s="131" t="b">
        <f>IF(H27=Auswahldaten!$A$16,TRUE,FALSE)</f>
        <v>0</v>
      </c>
      <c r="AB27" s="131" t="b">
        <f>IF(Alapanyagok_DID!O27="R",TRUE,FALSE)</f>
        <v>0</v>
      </c>
      <c r="AC27" s="131" t="b">
        <f t="shared" si="4"/>
        <v>0</v>
      </c>
      <c r="AD27" s="131" t="b">
        <f>IF(Alapanyagok_DID!K27=Auswahldaten!$A$12,TRUE,FALSE)</f>
        <v>0</v>
      </c>
      <c r="AE27" s="131" t="b">
        <f t="shared" si="5"/>
        <v>0</v>
      </c>
      <c r="AF27" s="131" t="b">
        <f>IF(AND(AA27=TRUE,Alapanyagok_DID!E27='DID List'!$A$7),TRUE,FALSE)</f>
        <v>0</v>
      </c>
      <c r="AG27" s="131" t="b">
        <f>IF(AND(O27=Auswahldaten!$A$12,Alapanyagok_DID!F27='DID List'!$A$7),TRUE,FALSE)</f>
        <v>0</v>
      </c>
      <c r="AH27" s="131" t="b">
        <f>IF(Alapanyagok_DID!F27='DID List'!$A$7,TRUE,FALSE)</f>
        <v>0</v>
      </c>
      <c r="AI27" s="131" t="b">
        <f>IF(P27=Auswahldaten!$A$12,TRUE,FALSE)</f>
        <v>0</v>
      </c>
      <c r="AJ27" s="131" t="b">
        <f>IF(AND(ISERROR(SEARCH("H400",J27))=FALSE,H27=Auswahldaten!$A$16)=TRUE,TRUE,FALSE)</f>
        <v>0</v>
      </c>
      <c r="AK27" s="131" t="b">
        <f>IF(AND(ISERROR(SEARCH($AK$11,J27))=FALSE,H27=Auswahldaten!$A$16)=TRUE,TRUE,FALSE)</f>
        <v>0</v>
      </c>
      <c r="AL27" s="131" t="b">
        <f>IF(AND(ISERROR(SEARCH("H317",J27))=FALSE,H27=Auswahldaten!$A$21)=TRUE,TRUE,FALSE)</f>
        <v>0</v>
      </c>
      <c r="AM27" s="131" t="b">
        <f>IF(AND(ISERROR(SEARCH("H334",J27))=FALSE,H27=Auswahldaten!$A$21)=TRUE,TRUE,FALSE)</f>
        <v>0</v>
      </c>
      <c r="AN27" s="131" t="b">
        <f t="shared" si="6"/>
        <v>0</v>
      </c>
      <c r="AP27" s="731">
        <f t="shared" si="7"/>
        <v>0</v>
      </c>
      <c r="AQ27" s="131" t="b">
        <f>IF(AND(H27=Auswahldaten!A$20,OR(Alapanyagok!L27=Auswahldaten!A$52,Alapanyagok!L27=Auswahldaten!A$53)),TRUE,FALSE)</f>
        <v>0</v>
      </c>
      <c r="AR27" s="523">
        <f>IF(K27=Auswahldaten!$A$61,1,0)</f>
        <v>0</v>
      </c>
    </row>
    <row r="28" spans="1:44" ht="15.5">
      <c r="A28" s="35">
        <v>17</v>
      </c>
      <c r="B28" s="72"/>
      <c r="C28" s="123"/>
      <c r="D28" s="267" t="str">
        <f>IF(C28="","",VLOOKUP(C28,Összetétel!$B$13:$E$61,4,FALSE))</f>
        <v/>
      </c>
      <c r="E28" s="82"/>
      <c r="F28" s="122">
        <f t="shared" si="1"/>
        <v>0</v>
      </c>
      <c r="G28" s="879"/>
      <c r="H28" s="72"/>
      <c r="I28" s="122" t="str">
        <f t="shared" si="9"/>
        <v/>
      </c>
      <c r="J28" s="87"/>
      <c r="K28" s="72"/>
      <c r="L28" s="71"/>
      <c r="M28" s="606"/>
      <c r="N28" s="607"/>
      <c r="O28" s="82"/>
      <c r="P28" s="82"/>
      <c r="Q28" s="272" t="str">
        <f>IF(B28="","",IF(OR(H28=Fordítások!$C$70,H28=Fordítások!$B$70),"Y","N"))</f>
        <v/>
      </c>
      <c r="R28" s="272" t="str">
        <f t="shared" si="2"/>
        <v>N</v>
      </c>
      <c r="S28" s="272" t="str">
        <f t="shared" si="3"/>
        <v>N</v>
      </c>
      <c r="T28" s="272" t="str">
        <f t="shared" si="3"/>
        <v>N</v>
      </c>
      <c r="U28" s="82"/>
      <c r="V28" s="273"/>
      <c r="W28" s="738">
        <v>362</v>
      </c>
      <c r="X28" s="16"/>
      <c r="Y28">
        <f t="shared" si="8"/>
        <v>0</v>
      </c>
      <c r="AA28" s="131" t="b">
        <f>IF(H28=Auswahldaten!$A$16,TRUE,FALSE)</f>
        <v>0</v>
      </c>
      <c r="AB28" s="131" t="b">
        <f>IF(Alapanyagok_DID!O28="R",TRUE,FALSE)</f>
        <v>0</v>
      </c>
      <c r="AC28" s="131" t="b">
        <f t="shared" si="4"/>
        <v>0</v>
      </c>
      <c r="AD28" s="131" t="b">
        <f>IF(Alapanyagok_DID!K28=Auswahldaten!$A$12,TRUE,FALSE)</f>
        <v>0</v>
      </c>
      <c r="AE28" s="131" t="b">
        <f t="shared" si="5"/>
        <v>0</v>
      </c>
      <c r="AF28" s="131" t="b">
        <f>IF(AND(AA28=TRUE,Alapanyagok_DID!E28='DID List'!$A$7),TRUE,FALSE)</f>
        <v>0</v>
      </c>
      <c r="AG28" s="131" t="b">
        <f>IF(AND(O28=Auswahldaten!$A$12,Alapanyagok_DID!F28='DID List'!$A$7),TRUE,FALSE)</f>
        <v>0</v>
      </c>
      <c r="AH28" s="131" t="b">
        <f>IF(Alapanyagok_DID!F28='DID List'!$A$7,TRUE,FALSE)</f>
        <v>0</v>
      </c>
      <c r="AI28" s="131" t="b">
        <f>IF(P28=Auswahldaten!$A$12,TRUE,FALSE)</f>
        <v>0</v>
      </c>
      <c r="AJ28" s="131" t="b">
        <f>IF(AND(ISERROR(SEARCH("H400",J28))=FALSE,H28=Auswahldaten!$A$16)=TRUE,TRUE,FALSE)</f>
        <v>0</v>
      </c>
      <c r="AK28" s="131" t="b">
        <f>IF(AND(ISERROR(SEARCH($AK$11,J28))=FALSE,H28=Auswahldaten!$A$16)=TRUE,TRUE,FALSE)</f>
        <v>0</v>
      </c>
      <c r="AL28" s="131" t="b">
        <f>IF(AND(ISERROR(SEARCH("H317",J28))=FALSE,H28=Auswahldaten!$A$21)=TRUE,TRUE,FALSE)</f>
        <v>0</v>
      </c>
      <c r="AM28" s="131" t="b">
        <f>IF(AND(ISERROR(SEARCH("H334",J28))=FALSE,H28=Auswahldaten!$A$21)=TRUE,TRUE,FALSE)</f>
        <v>0</v>
      </c>
      <c r="AN28" s="131" t="b">
        <f t="shared" si="6"/>
        <v>0</v>
      </c>
      <c r="AP28" s="731">
        <f t="shared" si="7"/>
        <v>0</v>
      </c>
      <c r="AQ28" s="131" t="b">
        <f>IF(AND(H28=Auswahldaten!A$20,OR(Alapanyagok!L28=Auswahldaten!A$52,Alapanyagok!L28=Auswahldaten!A$53)),TRUE,FALSE)</f>
        <v>0</v>
      </c>
      <c r="AR28" s="523">
        <f>IF(K28=Auswahldaten!$A$61,1,0)</f>
        <v>0</v>
      </c>
    </row>
    <row r="29" spans="1:44" ht="15.5">
      <c r="A29" s="35">
        <v>18</v>
      </c>
      <c r="B29" s="72"/>
      <c r="C29" s="123"/>
      <c r="D29" s="267" t="str">
        <f>IF(C29="","",VLOOKUP(C29,Összetétel!$B$13:$E$61,4,FALSE))</f>
        <v/>
      </c>
      <c r="E29" s="82"/>
      <c r="F29" s="122">
        <f t="shared" si="1"/>
        <v>0</v>
      </c>
      <c r="G29" s="879"/>
      <c r="H29" s="72"/>
      <c r="I29" s="122" t="str">
        <f t="shared" si="9"/>
        <v/>
      </c>
      <c r="J29" s="87"/>
      <c r="K29" s="72"/>
      <c r="L29" s="71"/>
      <c r="M29" s="606"/>
      <c r="N29" s="607"/>
      <c r="O29" s="82"/>
      <c r="P29" s="82"/>
      <c r="Q29" s="272" t="str">
        <f>IF(B29="","",IF(OR(H29=Fordítások!$C$70,H29=Fordítások!$B$70),"Y","N"))</f>
        <v/>
      </c>
      <c r="R29" s="272" t="str">
        <f t="shared" si="2"/>
        <v>N</v>
      </c>
      <c r="S29" s="272" t="str">
        <f t="shared" si="3"/>
        <v>N</v>
      </c>
      <c r="T29" s="272" t="str">
        <f t="shared" si="3"/>
        <v>N</v>
      </c>
      <c r="U29" s="82"/>
      <c r="V29" s="273"/>
      <c r="W29" s="738">
        <v>370</v>
      </c>
      <c r="X29" s="16"/>
      <c r="Y29">
        <f t="shared" si="8"/>
        <v>0</v>
      </c>
      <c r="AA29" s="131" t="b">
        <f>IF(H29=Auswahldaten!$A$16,TRUE,FALSE)</f>
        <v>0</v>
      </c>
      <c r="AB29" s="131" t="b">
        <f>IF(Alapanyagok_DID!O29="R",TRUE,FALSE)</f>
        <v>0</v>
      </c>
      <c r="AC29" s="131" t="b">
        <f t="shared" si="4"/>
        <v>0</v>
      </c>
      <c r="AD29" s="131" t="b">
        <f>IF(Alapanyagok_DID!K29=Auswahldaten!$A$12,TRUE,FALSE)</f>
        <v>0</v>
      </c>
      <c r="AE29" s="131" t="b">
        <f t="shared" si="5"/>
        <v>0</v>
      </c>
      <c r="AF29" s="131" t="b">
        <f>IF(AND(AA29=TRUE,Alapanyagok_DID!E29='DID List'!$A$7),TRUE,FALSE)</f>
        <v>0</v>
      </c>
      <c r="AG29" s="131" t="b">
        <f>IF(AND(O29=Auswahldaten!$A$12,Alapanyagok_DID!F29='DID List'!$A$7),TRUE,FALSE)</f>
        <v>0</v>
      </c>
      <c r="AH29" s="131" t="b">
        <f>IF(Alapanyagok_DID!F29='DID List'!$A$7,TRUE,FALSE)</f>
        <v>0</v>
      </c>
      <c r="AI29" s="131" t="b">
        <f>IF(P29=Auswahldaten!$A$12,TRUE,FALSE)</f>
        <v>0</v>
      </c>
      <c r="AJ29" s="131" t="b">
        <f>IF(AND(ISERROR(SEARCH("H400",J29))=FALSE,H29=Auswahldaten!$A$16)=TRUE,TRUE,FALSE)</f>
        <v>0</v>
      </c>
      <c r="AK29" s="131" t="b">
        <f>IF(AND(ISERROR(SEARCH($AK$11,J29))=FALSE,H29=Auswahldaten!$A$16)=TRUE,TRUE,FALSE)</f>
        <v>0</v>
      </c>
      <c r="AL29" s="131" t="b">
        <f>IF(AND(ISERROR(SEARCH("H317",J29))=FALSE,H29=Auswahldaten!$A$21)=TRUE,TRUE,FALSE)</f>
        <v>0</v>
      </c>
      <c r="AM29" s="131" t="b">
        <f>IF(AND(ISERROR(SEARCH("H334",J29))=FALSE,H29=Auswahldaten!$A$21)=TRUE,TRUE,FALSE)</f>
        <v>0</v>
      </c>
      <c r="AN29" s="131" t="b">
        <f t="shared" si="6"/>
        <v>0</v>
      </c>
      <c r="AP29" s="731">
        <f t="shared" si="7"/>
        <v>0</v>
      </c>
      <c r="AQ29" s="131" t="b">
        <f>IF(AND(H29=Auswahldaten!A$20,OR(Alapanyagok!L29=Auswahldaten!A$52,Alapanyagok!L29=Auswahldaten!A$53)),TRUE,FALSE)</f>
        <v>0</v>
      </c>
      <c r="AR29" s="523">
        <f>IF(K29=Auswahldaten!$A$61,1,0)</f>
        <v>0</v>
      </c>
    </row>
    <row r="30" spans="1:44" ht="15.5">
      <c r="A30" s="35">
        <v>19</v>
      </c>
      <c r="B30" s="72"/>
      <c r="C30" s="123"/>
      <c r="D30" s="267" t="str">
        <f>IF(C30="","",VLOOKUP(C30,Összetétel!$B$13:$E$61,4,FALSE))</f>
        <v/>
      </c>
      <c r="E30" s="82"/>
      <c r="F30" s="122">
        <f t="shared" si="1"/>
        <v>0</v>
      </c>
      <c r="G30" s="879"/>
      <c r="H30" s="72"/>
      <c r="I30" s="122" t="str">
        <f t="shared" si="9"/>
        <v/>
      </c>
      <c r="J30" s="87"/>
      <c r="K30" s="72"/>
      <c r="L30" s="71"/>
      <c r="M30" s="606"/>
      <c r="N30" s="607"/>
      <c r="O30" s="82"/>
      <c r="P30" s="82"/>
      <c r="Q30" s="272" t="str">
        <f>IF(B30="","",IF(OR(H30=Fordítások!$C$70,H30=Fordítások!$B$70),"Y","N"))</f>
        <v/>
      </c>
      <c r="R30" s="272" t="str">
        <f t="shared" si="2"/>
        <v>N</v>
      </c>
      <c r="S30" s="272" t="str">
        <f t="shared" si="3"/>
        <v>N</v>
      </c>
      <c r="T30" s="272" t="str">
        <f t="shared" si="3"/>
        <v>N</v>
      </c>
      <c r="U30" s="82"/>
      <c r="V30" s="273"/>
      <c r="W30" s="738">
        <v>371</v>
      </c>
      <c r="X30" s="16"/>
      <c r="Y30">
        <f t="shared" si="8"/>
        <v>0</v>
      </c>
      <c r="AA30" s="131" t="b">
        <f>IF(H30=Auswahldaten!$A$16,TRUE,FALSE)</f>
        <v>0</v>
      </c>
      <c r="AB30" s="131" t="b">
        <f>IF(Alapanyagok_DID!O30="R",TRUE,FALSE)</f>
        <v>0</v>
      </c>
      <c r="AC30" s="131" t="b">
        <f t="shared" si="4"/>
        <v>0</v>
      </c>
      <c r="AD30" s="131" t="b">
        <f>IF(Alapanyagok_DID!K30=Auswahldaten!$A$12,TRUE,FALSE)</f>
        <v>0</v>
      </c>
      <c r="AE30" s="131" t="b">
        <f t="shared" si="5"/>
        <v>0</v>
      </c>
      <c r="AF30" s="131" t="b">
        <f>IF(AND(AA30=TRUE,Alapanyagok_DID!E30='DID List'!$A$7),TRUE,FALSE)</f>
        <v>0</v>
      </c>
      <c r="AG30" s="131" t="b">
        <f>IF(AND(O30=Auswahldaten!$A$12,Alapanyagok_DID!F30='DID List'!$A$7),TRUE,FALSE)</f>
        <v>0</v>
      </c>
      <c r="AH30" s="131" t="b">
        <f>IF(Alapanyagok_DID!F30='DID List'!$A$7,TRUE,FALSE)</f>
        <v>0</v>
      </c>
      <c r="AI30" s="131" t="b">
        <f>IF(P30=Auswahldaten!$A$12,TRUE,FALSE)</f>
        <v>0</v>
      </c>
      <c r="AJ30" s="131" t="b">
        <f>IF(AND(ISERROR(SEARCH("H400",J30))=FALSE,H30=Auswahldaten!$A$16)=TRUE,TRUE,FALSE)</f>
        <v>0</v>
      </c>
      <c r="AK30" s="131" t="b">
        <f>IF(AND(ISERROR(SEARCH($AK$11,J30))=FALSE,H30=Auswahldaten!$A$16)=TRUE,TRUE,FALSE)</f>
        <v>0</v>
      </c>
      <c r="AL30" s="131" t="b">
        <f>IF(AND(ISERROR(SEARCH("H317",J30))=FALSE,H30=Auswahldaten!$A$21)=TRUE,TRUE,FALSE)</f>
        <v>0</v>
      </c>
      <c r="AM30" s="131" t="b">
        <f>IF(AND(ISERROR(SEARCH("H334",J30))=FALSE,H30=Auswahldaten!$A$21)=TRUE,TRUE,FALSE)</f>
        <v>0</v>
      </c>
      <c r="AN30" s="131" t="b">
        <f t="shared" si="6"/>
        <v>0</v>
      </c>
      <c r="AP30" s="731">
        <f t="shared" si="7"/>
        <v>0</v>
      </c>
      <c r="AQ30" s="131" t="b">
        <f>IF(AND(H30=Auswahldaten!A$20,OR(Alapanyagok!L30=Auswahldaten!A$52,Alapanyagok!L30=Auswahldaten!A$53)),TRUE,FALSE)</f>
        <v>0</v>
      </c>
      <c r="AR30" s="523">
        <f>IF(K30=Auswahldaten!$A$61,1,0)</f>
        <v>0</v>
      </c>
    </row>
    <row r="31" spans="1:44" ht="15.5">
      <c r="A31" s="35">
        <v>20</v>
      </c>
      <c r="B31" s="72"/>
      <c r="C31" s="123"/>
      <c r="D31" s="267" t="str">
        <f>IF(C31="","",VLOOKUP(C31,Összetétel!$B$13:$E$61,4,FALSE))</f>
        <v/>
      </c>
      <c r="E31" s="82"/>
      <c r="F31" s="122">
        <f t="shared" si="1"/>
        <v>0</v>
      </c>
      <c r="G31" s="879"/>
      <c r="H31" s="72"/>
      <c r="I31" s="122" t="str">
        <f t="shared" si="9"/>
        <v/>
      </c>
      <c r="J31" s="87"/>
      <c r="K31" s="72"/>
      <c r="L31" s="71"/>
      <c r="M31" s="606"/>
      <c r="N31" s="607"/>
      <c r="O31" s="82"/>
      <c r="P31" s="82"/>
      <c r="Q31" s="272" t="str">
        <f>IF(B31="","",IF(OR(H31=Fordítások!$C$70,H31=Fordítások!$B$70),"Y","N"))</f>
        <v/>
      </c>
      <c r="R31" s="272" t="str">
        <f t="shared" si="2"/>
        <v>N</v>
      </c>
      <c r="S31" s="272" t="str">
        <f t="shared" si="3"/>
        <v>N</v>
      </c>
      <c r="T31" s="272" t="str">
        <f t="shared" si="3"/>
        <v>N</v>
      </c>
      <c r="U31" s="82"/>
      <c r="V31" s="273"/>
      <c r="W31" s="738">
        <v>372</v>
      </c>
      <c r="X31" s="16"/>
      <c r="Y31">
        <f t="shared" si="8"/>
        <v>0</v>
      </c>
      <c r="AA31" s="131" t="b">
        <f>IF(H31=Auswahldaten!$A$16,TRUE,FALSE)</f>
        <v>0</v>
      </c>
      <c r="AB31" s="131" t="b">
        <f>IF(Alapanyagok_DID!O31="R",TRUE,FALSE)</f>
        <v>0</v>
      </c>
      <c r="AC31" s="131" t="b">
        <f t="shared" si="4"/>
        <v>0</v>
      </c>
      <c r="AD31" s="131" t="b">
        <f>IF(Alapanyagok_DID!K31=Auswahldaten!$A$12,TRUE,FALSE)</f>
        <v>0</v>
      </c>
      <c r="AE31" s="131" t="b">
        <f t="shared" si="5"/>
        <v>0</v>
      </c>
      <c r="AF31" s="131" t="b">
        <f>IF(AND(AA31=TRUE,Alapanyagok_DID!E31='DID List'!$A$7),TRUE,FALSE)</f>
        <v>0</v>
      </c>
      <c r="AG31" s="131" t="b">
        <f>IF(AND(O31=Auswahldaten!$A$12,Alapanyagok_DID!F31='DID List'!$A$7),TRUE,FALSE)</f>
        <v>0</v>
      </c>
      <c r="AH31" s="131" t="b">
        <f>IF(Alapanyagok_DID!F31='DID List'!$A$7,TRUE,FALSE)</f>
        <v>0</v>
      </c>
      <c r="AI31" s="131" t="b">
        <f>IF(P31=Auswahldaten!$A$12,TRUE,FALSE)</f>
        <v>0</v>
      </c>
      <c r="AJ31" s="131" t="b">
        <f>IF(AND(ISERROR(SEARCH("H400",J31))=FALSE,H31=Auswahldaten!$A$16)=TRUE,TRUE,FALSE)</f>
        <v>0</v>
      </c>
      <c r="AK31" s="131" t="b">
        <f>IF(AND(ISERROR(SEARCH($AK$11,J31))=FALSE,H31=Auswahldaten!$A$16)=TRUE,TRUE,FALSE)</f>
        <v>0</v>
      </c>
      <c r="AL31" s="131" t="b">
        <f>IF(AND(ISERROR(SEARCH("H317",J31))=FALSE,H31=Auswahldaten!$A$21)=TRUE,TRUE,FALSE)</f>
        <v>0</v>
      </c>
      <c r="AM31" s="131" t="b">
        <f>IF(AND(ISERROR(SEARCH("H334",J31))=FALSE,H31=Auswahldaten!$A$21)=TRUE,TRUE,FALSE)</f>
        <v>0</v>
      </c>
      <c r="AN31" s="131" t="b">
        <f t="shared" si="6"/>
        <v>0</v>
      </c>
      <c r="AP31" s="731">
        <f t="shared" si="7"/>
        <v>0</v>
      </c>
      <c r="AQ31" s="131" t="b">
        <f>IF(AND(H31=Auswahldaten!A$20,OR(Alapanyagok!L31=Auswahldaten!A$52,Alapanyagok!L31=Auswahldaten!A$53)),TRUE,FALSE)</f>
        <v>0</v>
      </c>
      <c r="AR31" s="523">
        <f>IF(K31=Auswahldaten!$A$61,1,0)</f>
        <v>0</v>
      </c>
    </row>
    <row r="32" spans="1:44" ht="15.5">
      <c r="A32" s="35">
        <v>21</v>
      </c>
      <c r="B32" s="72"/>
      <c r="C32" s="123"/>
      <c r="D32" s="267" t="str">
        <f>IF(C32="","",VLOOKUP(C32,Összetétel!$B$13:$E$61,4,FALSE))</f>
        <v/>
      </c>
      <c r="E32" s="82"/>
      <c r="F32" s="122">
        <f t="shared" si="1"/>
        <v>0</v>
      </c>
      <c r="G32" s="879"/>
      <c r="H32" s="72"/>
      <c r="I32" s="122" t="str">
        <f t="shared" si="9"/>
        <v/>
      </c>
      <c r="J32" s="87"/>
      <c r="K32" s="72"/>
      <c r="L32" s="71"/>
      <c r="M32" s="606"/>
      <c r="N32" s="607"/>
      <c r="O32" s="82"/>
      <c r="P32" s="82"/>
      <c r="Q32" s="272" t="str">
        <f>IF(B32="","",IF(OR(H32=Fordítások!$C$70,H32=Fordítások!$B$70),"Y","N"))</f>
        <v/>
      </c>
      <c r="R32" s="272" t="str">
        <f t="shared" si="2"/>
        <v>N</v>
      </c>
      <c r="S32" s="272" t="str">
        <f t="shared" si="3"/>
        <v>N</v>
      </c>
      <c r="T32" s="272" t="str">
        <f t="shared" si="3"/>
        <v>N</v>
      </c>
      <c r="U32" s="82"/>
      <c r="V32" s="273"/>
      <c r="W32" s="738">
        <v>373</v>
      </c>
      <c r="X32" s="16"/>
      <c r="Y32">
        <f t="shared" si="8"/>
        <v>0</v>
      </c>
      <c r="AA32" s="131" t="b">
        <f>IF(H32=Auswahldaten!$A$16,TRUE,FALSE)</f>
        <v>0</v>
      </c>
      <c r="AB32" s="131" t="b">
        <f>IF(Alapanyagok_DID!O32="R",TRUE,FALSE)</f>
        <v>0</v>
      </c>
      <c r="AC32" s="131" t="b">
        <f t="shared" si="4"/>
        <v>0</v>
      </c>
      <c r="AD32" s="131" t="b">
        <f>IF(Alapanyagok_DID!K32=Auswahldaten!$A$12,TRUE,FALSE)</f>
        <v>0</v>
      </c>
      <c r="AE32" s="131" t="b">
        <f t="shared" si="5"/>
        <v>0</v>
      </c>
      <c r="AF32" s="131" t="b">
        <f>IF(AND(AA32=TRUE,Alapanyagok_DID!E32='DID List'!$A$7),TRUE,FALSE)</f>
        <v>0</v>
      </c>
      <c r="AG32" s="131" t="b">
        <f>IF(AND(O32=Auswahldaten!$A$12,Alapanyagok_DID!F32='DID List'!$A$7),TRUE,FALSE)</f>
        <v>0</v>
      </c>
      <c r="AH32" s="131" t="b">
        <f>IF(Alapanyagok_DID!F32='DID List'!$A$7,TRUE,FALSE)</f>
        <v>0</v>
      </c>
      <c r="AI32" s="131" t="b">
        <f>IF(P32=Auswahldaten!$A$12,TRUE,FALSE)</f>
        <v>0</v>
      </c>
      <c r="AJ32" s="131" t="b">
        <f>IF(AND(ISERROR(SEARCH("H400",J32))=FALSE,H32=Auswahldaten!$A$16)=TRUE,TRUE,FALSE)</f>
        <v>0</v>
      </c>
      <c r="AK32" s="131" t="b">
        <f>IF(AND(ISERROR(SEARCH($AK$11,J32))=FALSE,H32=Auswahldaten!$A$16)=TRUE,TRUE,FALSE)</f>
        <v>0</v>
      </c>
      <c r="AL32" s="131" t="b">
        <f>IF(AND(ISERROR(SEARCH("H317",J32))=FALSE,H32=Auswahldaten!$A$21)=TRUE,TRUE,FALSE)</f>
        <v>0</v>
      </c>
      <c r="AM32" s="131" t="b">
        <f>IF(AND(ISERROR(SEARCH("H334",J32))=FALSE,H32=Auswahldaten!$A$21)=TRUE,TRUE,FALSE)</f>
        <v>0</v>
      </c>
      <c r="AN32" s="131" t="b">
        <f t="shared" si="6"/>
        <v>0</v>
      </c>
      <c r="AP32" s="731">
        <f t="shared" si="7"/>
        <v>0</v>
      </c>
      <c r="AQ32" s="131" t="b">
        <f>IF(AND(H32=Auswahldaten!A$20,OR(Alapanyagok!L32=Auswahldaten!A$52,Alapanyagok!L32=Auswahldaten!A$53)),TRUE,FALSE)</f>
        <v>0</v>
      </c>
      <c r="AR32" s="523">
        <f>IF(K32=Auswahldaten!$A$61,1,0)</f>
        <v>0</v>
      </c>
    </row>
    <row r="33" spans="1:44" ht="15.5">
      <c r="A33" s="35">
        <v>22</v>
      </c>
      <c r="B33" s="72"/>
      <c r="C33" s="123"/>
      <c r="D33" s="267" t="str">
        <f>IF(C33="","",VLOOKUP(C33,Összetétel!$B$13:$E$61,4,FALSE))</f>
        <v/>
      </c>
      <c r="E33" s="82"/>
      <c r="F33" s="122">
        <f t="shared" si="1"/>
        <v>0</v>
      </c>
      <c r="G33" s="879"/>
      <c r="H33" s="72"/>
      <c r="I33" s="122" t="str">
        <f t="shared" si="9"/>
        <v/>
      </c>
      <c r="J33" s="87"/>
      <c r="K33" s="72"/>
      <c r="L33" s="71"/>
      <c r="M33" s="606"/>
      <c r="N33" s="607"/>
      <c r="O33" s="82"/>
      <c r="P33" s="82"/>
      <c r="Q33" s="272" t="str">
        <f>IF(B33="","",IF(OR(H33=Fordítások!$C$70,H33=Fordítások!$B$70),"Y","N"))</f>
        <v/>
      </c>
      <c r="R33" s="272" t="str">
        <f t="shared" si="2"/>
        <v>N</v>
      </c>
      <c r="S33" s="272" t="str">
        <f t="shared" si="3"/>
        <v>N</v>
      </c>
      <c r="T33" s="272" t="str">
        <f t="shared" si="3"/>
        <v>N</v>
      </c>
      <c r="U33" s="82"/>
      <c r="V33" s="273"/>
      <c r="W33" s="738">
        <v>400</v>
      </c>
      <c r="X33" s="16"/>
      <c r="Y33">
        <f t="shared" si="8"/>
        <v>0</v>
      </c>
      <c r="AA33" s="131" t="b">
        <f>IF(H33=Auswahldaten!$A$16,TRUE,FALSE)</f>
        <v>0</v>
      </c>
      <c r="AB33" s="131" t="b">
        <f>IF(Alapanyagok_DID!O33="R",TRUE,FALSE)</f>
        <v>0</v>
      </c>
      <c r="AC33" s="131" t="b">
        <f t="shared" si="4"/>
        <v>0</v>
      </c>
      <c r="AD33" s="131" t="b">
        <f>IF(Alapanyagok_DID!K33=Auswahldaten!$A$12,TRUE,FALSE)</f>
        <v>0</v>
      </c>
      <c r="AE33" s="131" t="b">
        <f t="shared" si="5"/>
        <v>0</v>
      </c>
      <c r="AF33" s="131" t="b">
        <f>IF(AND(AA33=TRUE,Alapanyagok_DID!E33='DID List'!$A$7),TRUE,FALSE)</f>
        <v>0</v>
      </c>
      <c r="AG33" s="131" t="b">
        <f>IF(AND(O33=Auswahldaten!$A$12,Alapanyagok_DID!F33='DID List'!$A$7),TRUE,FALSE)</f>
        <v>0</v>
      </c>
      <c r="AH33" s="131" t="b">
        <f>IF(Alapanyagok_DID!F33='DID List'!$A$7,TRUE,FALSE)</f>
        <v>0</v>
      </c>
      <c r="AI33" s="131" t="b">
        <f>IF(P33=Auswahldaten!$A$12,TRUE,FALSE)</f>
        <v>0</v>
      </c>
      <c r="AJ33" s="131" t="b">
        <f>IF(AND(ISERROR(SEARCH("H400",J33))=FALSE,H33=Auswahldaten!$A$16)=TRUE,TRUE,FALSE)</f>
        <v>0</v>
      </c>
      <c r="AK33" s="131" t="b">
        <f>IF(AND(ISERROR(SEARCH($AK$11,J33))=FALSE,H33=Auswahldaten!$A$16)=TRUE,TRUE,FALSE)</f>
        <v>0</v>
      </c>
      <c r="AL33" s="131" t="b">
        <f>IF(AND(ISERROR(SEARCH("H317",J33))=FALSE,H33=Auswahldaten!$A$21)=TRUE,TRUE,FALSE)</f>
        <v>0</v>
      </c>
      <c r="AM33" s="131" t="b">
        <f>IF(AND(ISERROR(SEARCH("H334",J33))=FALSE,H33=Auswahldaten!$A$21)=TRUE,TRUE,FALSE)</f>
        <v>0</v>
      </c>
      <c r="AN33" s="131" t="b">
        <f t="shared" si="6"/>
        <v>0</v>
      </c>
      <c r="AP33" s="731">
        <f t="shared" si="7"/>
        <v>0</v>
      </c>
      <c r="AQ33" s="131" t="b">
        <f>IF(AND(H33=Auswahldaten!A$20,OR(Alapanyagok!L33=Auswahldaten!A$52,Alapanyagok!L33=Auswahldaten!A$53)),TRUE,FALSE)</f>
        <v>0</v>
      </c>
      <c r="AR33" s="523">
        <f>IF(K33=Auswahldaten!$A$61,1,0)</f>
        <v>0</v>
      </c>
    </row>
    <row r="34" spans="1:44" ht="15.5">
      <c r="A34" s="35">
        <v>23</v>
      </c>
      <c r="B34" s="72"/>
      <c r="C34" s="123"/>
      <c r="D34" s="267" t="str">
        <f>IF(C34="","",VLOOKUP(C34,Összetétel!$B$13:$E$61,4,FALSE))</f>
        <v/>
      </c>
      <c r="E34" s="82"/>
      <c r="F34" s="122">
        <f t="shared" si="1"/>
        <v>0</v>
      </c>
      <c r="G34" s="879"/>
      <c r="H34" s="72"/>
      <c r="I34" s="122" t="str">
        <f t="shared" si="9"/>
        <v/>
      </c>
      <c r="J34" s="87"/>
      <c r="K34" s="72"/>
      <c r="L34" s="71"/>
      <c r="M34" s="606"/>
      <c r="N34" s="607"/>
      <c r="O34" s="82"/>
      <c r="P34" s="82"/>
      <c r="Q34" s="272" t="str">
        <f>IF(B34="","",IF(OR(H34=Fordítások!$C$70,H34=Fordítások!$B$70),"Y","N"))</f>
        <v/>
      </c>
      <c r="R34" s="272" t="str">
        <f t="shared" si="2"/>
        <v>N</v>
      </c>
      <c r="S34" s="272" t="str">
        <f t="shared" si="3"/>
        <v>N</v>
      </c>
      <c r="T34" s="272" t="str">
        <f t="shared" si="3"/>
        <v>N</v>
      </c>
      <c r="U34" s="82"/>
      <c r="V34" s="273"/>
      <c r="W34" s="738">
        <v>410</v>
      </c>
      <c r="X34" s="16"/>
      <c r="Y34">
        <f t="shared" si="8"/>
        <v>0</v>
      </c>
      <c r="AA34" s="131" t="b">
        <f>IF(H34=Auswahldaten!$A$16,TRUE,FALSE)</f>
        <v>0</v>
      </c>
      <c r="AB34" s="131" t="b">
        <f>IF(Alapanyagok_DID!O34="R",TRUE,FALSE)</f>
        <v>0</v>
      </c>
      <c r="AC34" s="131" t="b">
        <f t="shared" si="4"/>
        <v>0</v>
      </c>
      <c r="AD34" s="131" t="b">
        <f>IF(Alapanyagok_DID!K34=Auswahldaten!$A$12,TRUE,FALSE)</f>
        <v>0</v>
      </c>
      <c r="AE34" s="131" t="b">
        <f t="shared" si="5"/>
        <v>0</v>
      </c>
      <c r="AF34" s="131" t="b">
        <f>IF(AND(AA34=TRUE,Alapanyagok_DID!E34='DID List'!$A$7),TRUE,FALSE)</f>
        <v>0</v>
      </c>
      <c r="AG34" s="131" t="b">
        <f>IF(AND(O34=Auswahldaten!$A$12,Alapanyagok_DID!F34='DID List'!$A$7),TRUE,FALSE)</f>
        <v>0</v>
      </c>
      <c r="AH34" s="131" t="b">
        <f>IF(Alapanyagok_DID!F34='DID List'!$A$7,TRUE,FALSE)</f>
        <v>0</v>
      </c>
      <c r="AI34" s="131" t="b">
        <f>IF(P34=Auswahldaten!$A$12,TRUE,FALSE)</f>
        <v>0</v>
      </c>
      <c r="AJ34" s="131" t="b">
        <f>IF(AND(ISERROR(SEARCH("H400",J34))=FALSE,H34=Auswahldaten!$A$16)=TRUE,TRUE,FALSE)</f>
        <v>0</v>
      </c>
      <c r="AK34" s="131" t="b">
        <f>IF(AND(ISERROR(SEARCH($AK$11,J34))=FALSE,H34=Auswahldaten!$A$16)=TRUE,TRUE,FALSE)</f>
        <v>0</v>
      </c>
      <c r="AL34" s="131" t="b">
        <f>IF(AND(ISERROR(SEARCH("H317",J34))=FALSE,H34=Auswahldaten!$A$21)=TRUE,TRUE,FALSE)</f>
        <v>0</v>
      </c>
      <c r="AM34" s="131" t="b">
        <f>IF(AND(ISERROR(SEARCH("H334",J34))=FALSE,H34=Auswahldaten!$A$21)=TRUE,TRUE,FALSE)</f>
        <v>0</v>
      </c>
      <c r="AN34" s="131" t="b">
        <f t="shared" si="6"/>
        <v>0</v>
      </c>
      <c r="AP34" s="731">
        <f t="shared" si="7"/>
        <v>0</v>
      </c>
      <c r="AQ34" s="131" t="b">
        <f>IF(AND(H34=Auswahldaten!A$20,OR(Alapanyagok!L34=Auswahldaten!A$52,Alapanyagok!L34=Auswahldaten!A$53)),TRUE,FALSE)</f>
        <v>0</v>
      </c>
      <c r="AR34" s="523">
        <f>IF(K34=Auswahldaten!$A$61,1,0)</f>
        <v>0</v>
      </c>
    </row>
    <row r="35" spans="1:44" ht="15.5">
      <c r="A35" s="35">
        <v>24</v>
      </c>
      <c r="B35" s="72"/>
      <c r="C35" s="123"/>
      <c r="D35" s="267" t="str">
        <f>IF(C35="","",VLOOKUP(C35,Összetétel!$B$13:$E$61,4,FALSE))</f>
        <v/>
      </c>
      <c r="E35" s="82"/>
      <c r="F35" s="122">
        <f t="shared" si="1"/>
        <v>0</v>
      </c>
      <c r="G35" s="879"/>
      <c r="H35" s="72"/>
      <c r="I35" s="122" t="str">
        <f t="shared" si="9"/>
        <v/>
      </c>
      <c r="J35" s="87"/>
      <c r="K35" s="72"/>
      <c r="L35" s="71"/>
      <c r="M35" s="606"/>
      <c r="N35" s="607"/>
      <c r="O35" s="82"/>
      <c r="P35" s="82"/>
      <c r="Q35" s="272" t="str">
        <f>IF(B35="","",IF(OR(H35=Fordítások!$C$70,H35=Fordítások!$B$70),"Y","N"))</f>
        <v/>
      </c>
      <c r="R35" s="272" t="str">
        <f t="shared" si="2"/>
        <v>N</v>
      </c>
      <c r="S35" s="272" t="str">
        <f t="shared" si="3"/>
        <v>N</v>
      </c>
      <c r="T35" s="272" t="str">
        <f t="shared" si="3"/>
        <v>N</v>
      </c>
      <c r="U35" s="82"/>
      <c r="V35" s="273"/>
      <c r="W35" s="738">
        <v>411</v>
      </c>
      <c r="X35" s="16"/>
      <c r="Y35">
        <f t="shared" si="8"/>
        <v>0</v>
      </c>
      <c r="AA35" s="131" t="b">
        <f>IF(H35=Auswahldaten!$A$16,TRUE,FALSE)</f>
        <v>0</v>
      </c>
      <c r="AB35" s="131" t="b">
        <f>IF(Alapanyagok_DID!O35="R",TRUE,FALSE)</f>
        <v>0</v>
      </c>
      <c r="AC35" s="131" t="b">
        <f t="shared" si="4"/>
        <v>0</v>
      </c>
      <c r="AD35" s="131" t="b">
        <f>IF(Alapanyagok_DID!K35=Auswahldaten!$A$12,TRUE,FALSE)</f>
        <v>0</v>
      </c>
      <c r="AE35" s="131" t="b">
        <f t="shared" si="5"/>
        <v>0</v>
      </c>
      <c r="AF35" s="131" t="b">
        <f>IF(AND(AA35=TRUE,Alapanyagok_DID!E35='DID List'!$A$7),TRUE,FALSE)</f>
        <v>0</v>
      </c>
      <c r="AG35" s="131" t="b">
        <f>IF(AND(O35=Auswahldaten!$A$12,Alapanyagok_DID!F35='DID List'!$A$7),TRUE,FALSE)</f>
        <v>0</v>
      </c>
      <c r="AH35" s="131" t="b">
        <f>IF(Alapanyagok_DID!F35='DID List'!$A$7,TRUE,FALSE)</f>
        <v>0</v>
      </c>
      <c r="AI35" s="131" t="b">
        <f>IF(P35=Auswahldaten!$A$12,TRUE,FALSE)</f>
        <v>0</v>
      </c>
      <c r="AJ35" s="131" t="b">
        <f>IF(AND(ISERROR(SEARCH("H400",J35))=FALSE,H35=Auswahldaten!$A$16)=TRUE,TRUE,FALSE)</f>
        <v>0</v>
      </c>
      <c r="AK35" s="131" t="b">
        <f>IF(AND(ISERROR(SEARCH($AK$11,J35))=FALSE,H35=Auswahldaten!$A$16)=TRUE,TRUE,FALSE)</f>
        <v>0</v>
      </c>
      <c r="AL35" s="131" t="b">
        <f>IF(AND(ISERROR(SEARCH("H317",J35))=FALSE,H35=Auswahldaten!$A$21)=TRUE,TRUE,FALSE)</f>
        <v>0</v>
      </c>
      <c r="AM35" s="131" t="b">
        <f>IF(AND(ISERROR(SEARCH("H334",J35))=FALSE,H35=Auswahldaten!$A$21)=TRUE,TRUE,FALSE)</f>
        <v>0</v>
      </c>
      <c r="AN35" s="131" t="b">
        <f t="shared" si="6"/>
        <v>0</v>
      </c>
      <c r="AP35" s="731">
        <f t="shared" si="7"/>
        <v>0</v>
      </c>
      <c r="AQ35" s="131" t="b">
        <f>IF(AND(H35=Auswahldaten!A$20,OR(Alapanyagok!L35=Auswahldaten!A$52,Alapanyagok!L35=Auswahldaten!A$53)),TRUE,FALSE)</f>
        <v>0</v>
      </c>
      <c r="AR35" s="523">
        <f>IF(K35=Auswahldaten!$A$61,1,0)</f>
        <v>0</v>
      </c>
    </row>
    <row r="36" spans="1:44" ht="15.5">
      <c r="A36" s="35">
        <v>25</v>
      </c>
      <c r="B36" s="72"/>
      <c r="C36" s="123"/>
      <c r="D36" s="267" t="str">
        <f>IF(C36="","",VLOOKUP(C36,Összetétel!$B$13:$E$61,4,FALSE))</f>
        <v/>
      </c>
      <c r="E36" s="82"/>
      <c r="F36" s="122">
        <f t="shared" si="1"/>
        <v>0</v>
      </c>
      <c r="G36" s="879"/>
      <c r="H36" s="72"/>
      <c r="I36" s="122" t="str">
        <f t="shared" si="9"/>
        <v/>
      </c>
      <c r="J36" s="87"/>
      <c r="K36" s="72"/>
      <c r="L36" s="71"/>
      <c r="M36" s="606"/>
      <c r="N36" s="607"/>
      <c r="O36" s="82"/>
      <c r="P36" s="82"/>
      <c r="Q36" s="272" t="str">
        <f>IF(B36="","",IF(OR(H36=Fordítások!$C$70,H36=Fordítások!$B$70),"Y","N"))</f>
        <v/>
      </c>
      <c r="R36" s="272" t="str">
        <f t="shared" si="2"/>
        <v>N</v>
      </c>
      <c r="S36" s="272" t="str">
        <f t="shared" si="3"/>
        <v>N</v>
      </c>
      <c r="T36" s="272" t="str">
        <f t="shared" si="3"/>
        <v>N</v>
      </c>
      <c r="U36" s="82"/>
      <c r="V36" s="273"/>
      <c r="W36" s="738">
        <v>412</v>
      </c>
      <c r="X36" s="16"/>
      <c r="Y36">
        <f t="shared" si="8"/>
        <v>0</v>
      </c>
      <c r="AA36" s="131" t="b">
        <f>IF(H36=Auswahldaten!$A$16,TRUE,FALSE)</f>
        <v>0</v>
      </c>
      <c r="AB36" s="131" t="b">
        <f>IF(Alapanyagok_DID!O36="R",TRUE,FALSE)</f>
        <v>0</v>
      </c>
      <c r="AC36" s="131" t="b">
        <f t="shared" si="4"/>
        <v>0</v>
      </c>
      <c r="AD36" s="131" t="b">
        <f>IF(Alapanyagok_DID!K36=Auswahldaten!$A$12,TRUE,FALSE)</f>
        <v>0</v>
      </c>
      <c r="AE36" s="131" t="b">
        <f t="shared" si="5"/>
        <v>0</v>
      </c>
      <c r="AF36" s="131" t="b">
        <f>IF(AND(AA36=TRUE,Alapanyagok_DID!E36='DID List'!$A$7),TRUE,FALSE)</f>
        <v>0</v>
      </c>
      <c r="AG36" s="131" t="b">
        <f>IF(AND(O36=Auswahldaten!$A$12,Alapanyagok_DID!F36='DID List'!$A$7),TRUE,FALSE)</f>
        <v>0</v>
      </c>
      <c r="AH36" s="131" t="b">
        <f>IF(Alapanyagok_DID!F36='DID List'!$A$7,TRUE,FALSE)</f>
        <v>0</v>
      </c>
      <c r="AI36" s="131" t="b">
        <f>IF(P36=Auswahldaten!$A$12,TRUE,FALSE)</f>
        <v>0</v>
      </c>
      <c r="AJ36" s="131" t="b">
        <f>IF(AND(ISERROR(SEARCH("H400",J36))=FALSE,H36=Auswahldaten!$A$16)=TRUE,TRUE,FALSE)</f>
        <v>0</v>
      </c>
      <c r="AK36" s="131" t="b">
        <f>IF(AND(ISERROR(SEARCH($AK$11,J36))=FALSE,H36=Auswahldaten!$A$16)=TRUE,TRUE,FALSE)</f>
        <v>0</v>
      </c>
      <c r="AL36" s="131" t="b">
        <f>IF(AND(ISERROR(SEARCH("H317",J36))=FALSE,H36=Auswahldaten!$A$21)=TRUE,TRUE,FALSE)</f>
        <v>0</v>
      </c>
      <c r="AM36" s="131" t="b">
        <f>IF(AND(ISERROR(SEARCH("H334",J36))=FALSE,H36=Auswahldaten!$A$21)=TRUE,TRUE,FALSE)</f>
        <v>0</v>
      </c>
      <c r="AN36" s="131" t="b">
        <f t="shared" si="6"/>
        <v>0</v>
      </c>
      <c r="AP36" s="731">
        <f t="shared" si="7"/>
        <v>0</v>
      </c>
      <c r="AQ36" s="131" t="b">
        <f>IF(AND(H36=Auswahldaten!A$20,OR(Alapanyagok!L36=Auswahldaten!A$52,Alapanyagok!L36=Auswahldaten!A$53)),TRUE,FALSE)</f>
        <v>0</v>
      </c>
      <c r="AR36" s="523">
        <f>IF(K36=Auswahldaten!$A$61,1,0)</f>
        <v>0</v>
      </c>
    </row>
    <row r="37" spans="1:44" ht="15.5">
      <c r="A37" s="35">
        <v>26</v>
      </c>
      <c r="B37" s="72"/>
      <c r="C37" s="123"/>
      <c r="D37" s="267" t="str">
        <f>IF(C37="","",VLOOKUP(C37,Összetétel!$B$13:$E$61,4,FALSE))</f>
        <v/>
      </c>
      <c r="E37" s="82"/>
      <c r="F37" s="122">
        <f t="shared" si="1"/>
        <v>0</v>
      </c>
      <c r="G37" s="879"/>
      <c r="H37" s="72"/>
      <c r="I37" s="122" t="str">
        <f t="shared" si="9"/>
        <v/>
      </c>
      <c r="J37" s="87"/>
      <c r="K37" s="72"/>
      <c r="L37" s="71"/>
      <c r="M37" s="606"/>
      <c r="N37" s="607"/>
      <c r="O37" s="82"/>
      <c r="P37" s="82"/>
      <c r="Q37" s="272" t="str">
        <f>IF(B37="","",IF(OR(H37=Fordítások!$C$70,H37=Fordítások!$B$70),"Y","N"))</f>
        <v/>
      </c>
      <c r="R37" s="272" t="str">
        <f t="shared" si="2"/>
        <v>N</v>
      </c>
      <c r="S37" s="272" t="str">
        <f t="shared" si="3"/>
        <v>N</v>
      </c>
      <c r="T37" s="272" t="str">
        <f t="shared" si="3"/>
        <v>N</v>
      </c>
      <c r="U37" s="82"/>
      <c r="V37" s="273"/>
      <c r="W37" s="738">
        <v>413</v>
      </c>
      <c r="X37" s="16"/>
      <c r="Y37">
        <f t="shared" si="8"/>
        <v>0</v>
      </c>
      <c r="AA37" s="131" t="b">
        <f>IF(H37=Auswahldaten!$A$16,TRUE,FALSE)</f>
        <v>0</v>
      </c>
      <c r="AB37" s="131" t="b">
        <f>IF(Alapanyagok_DID!O37="R",TRUE,FALSE)</f>
        <v>0</v>
      </c>
      <c r="AC37" s="131" t="b">
        <f t="shared" si="4"/>
        <v>0</v>
      </c>
      <c r="AD37" s="131" t="b">
        <f>IF(Alapanyagok_DID!K37=Auswahldaten!$A$12,TRUE,FALSE)</f>
        <v>0</v>
      </c>
      <c r="AE37" s="131" t="b">
        <f t="shared" si="5"/>
        <v>0</v>
      </c>
      <c r="AF37" s="131" t="b">
        <f>IF(AND(AA37=TRUE,Alapanyagok_DID!E37='DID List'!$A$7),TRUE,FALSE)</f>
        <v>0</v>
      </c>
      <c r="AG37" s="131" t="b">
        <f>IF(AND(O37=Auswahldaten!$A$12,Alapanyagok_DID!F37='DID List'!$A$7),TRUE,FALSE)</f>
        <v>0</v>
      </c>
      <c r="AH37" s="131" t="b">
        <f>IF(Alapanyagok_DID!F37='DID List'!$A$7,TRUE,FALSE)</f>
        <v>0</v>
      </c>
      <c r="AI37" s="131" t="b">
        <f>IF(P37=Auswahldaten!$A$12,TRUE,FALSE)</f>
        <v>0</v>
      </c>
      <c r="AJ37" s="131" t="b">
        <f>IF(AND(ISERROR(SEARCH("H400",J37))=FALSE,H37=Auswahldaten!$A$16)=TRUE,TRUE,FALSE)</f>
        <v>0</v>
      </c>
      <c r="AK37" s="131" t="b">
        <f>IF(AND(ISERROR(SEARCH($AK$11,J37))=FALSE,H37=Auswahldaten!$A$16)=TRUE,TRUE,FALSE)</f>
        <v>0</v>
      </c>
      <c r="AL37" s="131" t="b">
        <f>IF(AND(ISERROR(SEARCH("H317",J37))=FALSE,H37=Auswahldaten!$A$21)=TRUE,TRUE,FALSE)</f>
        <v>0</v>
      </c>
      <c r="AM37" s="131" t="b">
        <f>IF(AND(ISERROR(SEARCH("H334",J37))=FALSE,H37=Auswahldaten!$A$21)=TRUE,TRUE,FALSE)</f>
        <v>0</v>
      </c>
      <c r="AN37" s="131" t="b">
        <f t="shared" si="6"/>
        <v>0</v>
      </c>
      <c r="AP37" s="731">
        <f t="shared" si="7"/>
        <v>0</v>
      </c>
      <c r="AQ37" s="131" t="b">
        <f>IF(AND(H37=Auswahldaten!A$20,OR(Alapanyagok!L37=Auswahldaten!A$52,Alapanyagok!L37=Auswahldaten!A$53)),TRUE,FALSE)</f>
        <v>0</v>
      </c>
      <c r="AR37" s="523">
        <f>IF(K37=Auswahldaten!$A$61,1,0)</f>
        <v>0</v>
      </c>
    </row>
    <row r="38" spans="1:44" ht="15.5">
      <c r="A38" s="35">
        <v>27</v>
      </c>
      <c r="B38" s="72"/>
      <c r="C38" s="123"/>
      <c r="D38" s="267" t="str">
        <f>IF(C38="","",VLOOKUP(C38,Összetétel!$B$13:$E$61,4,FALSE))</f>
        <v/>
      </c>
      <c r="E38" s="82"/>
      <c r="F38" s="122">
        <f t="shared" si="1"/>
        <v>0</v>
      </c>
      <c r="G38" s="879"/>
      <c r="H38" s="72"/>
      <c r="I38" s="122" t="str">
        <f t="shared" si="9"/>
        <v/>
      </c>
      <c r="J38" s="87"/>
      <c r="K38" s="72"/>
      <c r="L38" s="71"/>
      <c r="M38" s="606"/>
      <c r="N38" s="607"/>
      <c r="O38" s="82"/>
      <c r="P38" s="82"/>
      <c r="Q38" s="272" t="str">
        <f>IF(B38="","",IF(OR(H38=Fordítások!$C$70,H38=Fordítások!$B$70),"Y","N"))</f>
        <v/>
      </c>
      <c r="R38" s="272" t="str">
        <f t="shared" si="2"/>
        <v>N</v>
      </c>
      <c r="S38" s="272" t="str">
        <f t="shared" si="3"/>
        <v>N</v>
      </c>
      <c r="T38" s="272" t="str">
        <f t="shared" si="3"/>
        <v>N</v>
      </c>
      <c r="U38" s="82"/>
      <c r="V38" s="273"/>
      <c r="W38" s="739" t="s">
        <v>631</v>
      </c>
      <c r="X38" s="16"/>
      <c r="Y38">
        <f t="shared" si="8"/>
        <v>0</v>
      </c>
      <c r="AA38" s="131" t="b">
        <f>IF(H38=Auswahldaten!$A$16,TRUE,FALSE)</f>
        <v>0</v>
      </c>
      <c r="AB38" s="131" t="b">
        <f>IF(Alapanyagok_DID!O38="R",TRUE,FALSE)</f>
        <v>0</v>
      </c>
      <c r="AC38" s="131" t="b">
        <f t="shared" si="4"/>
        <v>0</v>
      </c>
      <c r="AD38" s="131" t="b">
        <f>IF(Alapanyagok_DID!K38=Auswahldaten!$A$12,TRUE,FALSE)</f>
        <v>0</v>
      </c>
      <c r="AE38" s="131" t="b">
        <f t="shared" si="5"/>
        <v>0</v>
      </c>
      <c r="AF38" s="131" t="b">
        <f>IF(AND(AA38=TRUE,Alapanyagok_DID!E38='DID List'!$A$7),TRUE,FALSE)</f>
        <v>0</v>
      </c>
      <c r="AG38" s="131" t="b">
        <f>IF(AND(O38=Auswahldaten!$A$12,Alapanyagok_DID!F38='DID List'!$A$7),TRUE,FALSE)</f>
        <v>0</v>
      </c>
      <c r="AH38" s="131" t="b">
        <f>IF(Alapanyagok_DID!F38='DID List'!$A$7,TRUE,FALSE)</f>
        <v>0</v>
      </c>
      <c r="AI38" s="131" t="b">
        <f>IF(P38=Auswahldaten!$A$12,TRUE,FALSE)</f>
        <v>0</v>
      </c>
      <c r="AJ38" s="131" t="b">
        <f>IF(AND(ISERROR(SEARCH("H400",J38))=FALSE,H38=Auswahldaten!$A$16)=TRUE,TRUE,FALSE)</f>
        <v>0</v>
      </c>
      <c r="AK38" s="131" t="b">
        <f>IF(AND(ISERROR(SEARCH($AK$11,J38))=FALSE,H38=Auswahldaten!$A$16)=TRUE,TRUE,FALSE)</f>
        <v>0</v>
      </c>
      <c r="AL38" s="131" t="b">
        <f>IF(AND(ISERROR(SEARCH("H317",J38))=FALSE,H38=Auswahldaten!$A$21)=TRUE,TRUE,FALSE)</f>
        <v>0</v>
      </c>
      <c r="AM38" s="131" t="b">
        <f>IF(AND(ISERROR(SEARCH("H334",J38))=FALSE,H38=Auswahldaten!$A$21)=TRUE,TRUE,FALSE)</f>
        <v>0</v>
      </c>
      <c r="AN38" s="131" t="b">
        <f t="shared" si="6"/>
        <v>0</v>
      </c>
      <c r="AP38" s="731">
        <f t="shared" si="7"/>
        <v>0</v>
      </c>
      <c r="AQ38" s="131" t="b">
        <f>IF(AND(H38=Auswahldaten!A$20,OR(Alapanyagok!L38=Auswahldaten!A$52,Alapanyagok!L38=Auswahldaten!A$53)),TRUE,FALSE)</f>
        <v>0</v>
      </c>
      <c r="AR38" s="523">
        <f>IF(K38=Auswahldaten!$A$61,1,0)</f>
        <v>0</v>
      </c>
    </row>
    <row r="39" spans="1:44" ht="15.5">
      <c r="A39" s="35">
        <v>28</v>
      </c>
      <c r="B39" s="72"/>
      <c r="C39" s="123"/>
      <c r="D39" s="267" t="str">
        <f>IF(C39="","",VLOOKUP(C39,Összetétel!$B$13:$E$61,4,FALSE))</f>
        <v/>
      </c>
      <c r="E39" s="82"/>
      <c r="F39" s="122">
        <f t="shared" si="1"/>
        <v>0</v>
      </c>
      <c r="G39" s="879"/>
      <c r="H39" s="72"/>
      <c r="I39" s="122" t="str">
        <f t="shared" si="9"/>
        <v/>
      </c>
      <c r="J39" s="87"/>
      <c r="K39" s="72"/>
      <c r="L39" s="71"/>
      <c r="M39" s="606"/>
      <c r="N39" s="607"/>
      <c r="O39" s="82"/>
      <c r="P39" s="82"/>
      <c r="Q39" s="272" t="str">
        <f>IF(B39="","",IF(OR(H39=Fordítások!$C$70,H39=Fordítások!$B$70),"Y","N"))</f>
        <v/>
      </c>
      <c r="R39" s="272" t="str">
        <f t="shared" si="2"/>
        <v>N</v>
      </c>
      <c r="S39" s="272" t="str">
        <f t="shared" si="3"/>
        <v>N</v>
      </c>
      <c r="T39" s="272" t="str">
        <f t="shared" si="3"/>
        <v>N</v>
      </c>
      <c r="U39" s="82"/>
      <c r="V39" s="273"/>
      <c r="W39" s="739"/>
      <c r="X39" s="16"/>
      <c r="Y39">
        <f t="shared" si="8"/>
        <v>0</v>
      </c>
      <c r="AA39" s="131" t="b">
        <f>IF(H39=Auswahldaten!$A$16,TRUE,FALSE)</f>
        <v>0</v>
      </c>
      <c r="AB39" s="131" t="b">
        <f>IF(Alapanyagok_DID!O39="R",TRUE,FALSE)</f>
        <v>0</v>
      </c>
      <c r="AC39" s="131" t="b">
        <f t="shared" si="4"/>
        <v>0</v>
      </c>
      <c r="AD39" s="131" t="b">
        <f>IF(Alapanyagok_DID!K39=Auswahldaten!$A$12,TRUE,FALSE)</f>
        <v>0</v>
      </c>
      <c r="AE39" s="131" t="b">
        <f t="shared" si="5"/>
        <v>0</v>
      </c>
      <c r="AF39" s="131" t="b">
        <f>IF(AND(AA39=TRUE,Alapanyagok_DID!E39='DID List'!$A$7),TRUE,FALSE)</f>
        <v>0</v>
      </c>
      <c r="AG39" s="131" t="b">
        <f>IF(AND(O39=Auswahldaten!$A$12,Alapanyagok_DID!F39='DID List'!$A$7),TRUE,FALSE)</f>
        <v>0</v>
      </c>
      <c r="AH39" s="131" t="b">
        <f>IF(Alapanyagok_DID!F39='DID List'!$A$7,TRUE,FALSE)</f>
        <v>0</v>
      </c>
      <c r="AI39" s="131" t="b">
        <f>IF(P39=Auswahldaten!$A$12,TRUE,FALSE)</f>
        <v>0</v>
      </c>
      <c r="AJ39" s="131" t="b">
        <f>IF(AND(ISERROR(SEARCH("H400",J39))=FALSE,H39=Auswahldaten!$A$16)=TRUE,TRUE,FALSE)</f>
        <v>0</v>
      </c>
      <c r="AK39" s="131" t="b">
        <f>IF(AND(ISERROR(SEARCH($AK$11,J39))=FALSE,H39=Auswahldaten!$A$16)=TRUE,TRUE,FALSE)</f>
        <v>0</v>
      </c>
      <c r="AL39" s="131" t="b">
        <f>IF(AND(ISERROR(SEARCH("H317",J39))=FALSE,H39=Auswahldaten!$A$21)=TRUE,TRUE,FALSE)</f>
        <v>0</v>
      </c>
      <c r="AM39" s="131" t="b">
        <f>IF(AND(ISERROR(SEARCH("H334",J39))=FALSE,H39=Auswahldaten!$A$21)=TRUE,TRUE,FALSE)</f>
        <v>0</v>
      </c>
      <c r="AN39" s="131" t="b">
        <f t="shared" si="6"/>
        <v>0</v>
      </c>
      <c r="AP39" s="731">
        <f t="shared" si="7"/>
        <v>0</v>
      </c>
      <c r="AQ39" s="131" t="b">
        <f>IF(AND(H39=Auswahldaten!A$20,OR(Alapanyagok!L39=Auswahldaten!A$52,Alapanyagok!L39=Auswahldaten!A$53)),TRUE,FALSE)</f>
        <v>0</v>
      </c>
      <c r="AR39" s="523">
        <f>IF(K39=Auswahldaten!$A$61,1,0)</f>
        <v>0</v>
      </c>
    </row>
    <row r="40" spans="1:44" ht="15.5">
      <c r="A40" s="35">
        <v>29</v>
      </c>
      <c r="B40" s="72"/>
      <c r="C40" s="123"/>
      <c r="D40" s="267" t="str">
        <f>IF(C40="","",VLOOKUP(C40,Összetétel!$B$13:$E$61,4,FALSE))</f>
        <v/>
      </c>
      <c r="E40" s="82"/>
      <c r="F40" s="122">
        <f t="shared" si="1"/>
        <v>0</v>
      </c>
      <c r="G40" s="879"/>
      <c r="H40" s="72"/>
      <c r="I40" s="122" t="str">
        <f t="shared" si="9"/>
        <v/>
      </c>
      <c r="J40" s="87"/>
      <c r="K40" s="72"/>
      <c r="L40" s="71"/>
      <c r="M40" s="606"/>
      <c r="N40" s="607"/>
      <c r="O40" s="82"/>
      <c r="P40" s="82"/>
      <c r="Q40" s="272" t="str">
        <f>IF(B40="","",IF(OR(H40=Fordítások!$C$70,H40=Fordítások!$B$70),"Y","N"))</f>
        <v/>
      </c>
      <c r="R40" s="272" t="str">
        <f t="shared" si="2"/>
        <v>N</v>
      </c>
      <c r="S40" s="272" t="str">
        <f t="shared" si="3"/>
        <v>N</v>
      </c>
      <c r="T40" s="272" t="str">
        <f t="shared" si="3"/>
        <v>N</v>
      </c>
      <c r="U40" s="82"/>
      <c r="V40" s="273"/>
      <c r="X40" s="16"/>
      <c r="Y40">
        <f t="shared" si="8"/>
        <v>0</v>
      </c>
      <c r="AA40" s="131" t="b">
        <f>IF(H40=Auswahldaten!$A$16,TRUE,FALSE)</f>
        <v>0</v>
      </c>
      <c r="AB40" s="131" t="b">
        <f>IF(Alapanyagok_DID!O40="R",TRUE,FALSE)</f>
        <v>0</v>
      </c>
      <c r="AC40" s="131" t="b">
        <f t="shared" si="4"/>
        <v>0</v>
      </c>
      <c r="AD40" s="131" t="b">
        <f>IF(Alapanyagok_DID!K40=Auswahldaten!$A$12,TRUE,FALSE)</f>
        <v>0</v>
      </c>
      <c r="AE40" s="131" t="b">
        <f t="shared" si="5"/>
        <v>0</v>
      </c>
      <c r="AF40" s="131" t="b">
        <f>IF(AND(AA40=TRUE,Alapanyagok_DID!E40='DID List'!$A$7),TRUE,FALSE)</f>
        <v>0</v>
      </c>
      <c r="AG40" s="131" t="b">
        <f>IF(AND(O40=Auswahldaten!$A$12,Alapanyagok_DID!F40='DID List'!$A$7),TRUE,FALSE)</f>
        <v>0</v>
      </c>
      <c r="AH40" s="131" t="b">
        <f>IF(Alapanyagok_DID!F40='DID List'!$A$7,TRUE,FALSE)</f>
        <v>0</v>
      </c>
      <c r="AI40" s="131" t="b">
        <f>IF(P40=Auswahldaten!$A$12,TRUE,FALSE)</f>
        <v>0</v>
      </c>
      <c r="AJ40" s="131" t="b">
        <f>IF(AND(ISERROR(SEARCH("H400",J40))=FALSE,H40=Auswahldaten!$A$16)=TRUE,TRUE,FALSE)</f>
        <v>0</v>
      </c>
      <c r="AK40" s="131" t="b">
        <f>IF(AND(ISERROR(SEARCH($AK$11,J40))=FALSE,H40=Auswahldaten!$A$16)=TRUE,TRUE,FALSE)</f>
        <v>0</v>
      </c>
      <c r="AL40" s="131" t="b">
        <f>IF(AND(ISERROR(SEARCH("H317",J40))=FALSE,H40=Auswahldaten!$A$21)=TRUE,TRUE,FALSE)</f>
        <v>0</v>
      </c>
      <c r="AM40" s="131" t="b">
        <f>IF(AND(ISERROR(SEARCH("H334",J40))=FALSE,H40=Auswahldaten!$A$21)=TRUE,TRUE,FALSE)</f>
        <v>0</v>
      </c>
      <c r="AN40" s="131" t="b">
        <f t="shared" si="6"/>
        <v>0</v>
      </c>
      <c r="AP40" s="731">
        <f t="shared" si="7"/>
        <v>0</v>
      </c>
      <c r="AQ40" s="131" t="b">
        <f>IF(AND(H40=Auswahldaten!A$20,OR(Alapanyagok!L40=Auswahldaten!A$52,Alapanyagok!L40=Auswahldaten!A$53)),TRUE,FALSE)</f>
        <v>0</v>
      </c>
      <c r="AR40" s="523">
        <f>IF(K40=Auswahldaten!$A$61,1,0)</f>
        <v>0</v>
      </c>
    </row>
    <row r="41" spans="1:44" ht="15.5">
      <c r="A41" s="35">
        <v>30</v>
      </c>
      <c r="B41" s="72"/>
      <c r="C41" s="123"/>
      <c r="D41" s="267" t="str">
        <f>IF(C41="","",VLOOKUP(C41,Összetétel!$B$13:$E$61,4,FALSE))</f>
        <v/>
      </c>
      <c r="E41" s="82"/>
      <c r="F41" s="122">
        <f t="shared" si="1"/>
        <v>0</v>
      </c>
      <c r="G41" s="879"/>
      <c r="H41" s="72"/>
      <c r="I41" s="122" t="str">
        <f t="shared" si="9"/>
        <v/>
      </c>
      <c r="J41" s="87"/>
      <c r="K41" s="72"/>
      <c r="L41" s="71"/>
      <c r="M41" s="606"/>
      <c r="N41" s="607"/>
      <c r="O41" s="82"/>
      <c r="P41" s="82"/>
      <c r="Q41" s="272" t="str">
        <f>IF(B41="","",IF(OR(H41=Fordítások!$C$70,H41=Fordítások!$B$70),"Y","N"))</f>
        <v/>
      </c>
      <c r="R41" s="272" t="str">
        <f t="shared" si="2"/>
        <v>N</v>
      </c>
      <c r="S41" s="272" t="str">
        <f t="shared" si="3"/>
        <v>N</v>
      </c>
      <c r="T41" s="272" t="str">
        <f t="shared" si="3"/>
        <v>N</v>
      </c>
      <c r="U41" s="82"/>
      <c r="V41" s="273"/>
      <c r="W41" s="738"/>
      <c r="X41" s="16"/>
      <c r="Y41">
        <f t="shared" si="8"/>
        <v>0</v>
      </c>
      <c r="AA41" s="131" t="b">
        <f>IF(H41=Auswahldaten!$A$16,TRUE,FALSE)</f>
        <v>0</v>
      </c>
      <c r="AB41" s="131" t="b">
        <f>IF(Alapanyagok_DID!O41="R",TRUE,FALSE)</f>
        <v>0</v>
      </c>
      <c r="AC41" s="131" t="b">
        <f t="shared" si="4"/>
        <v>0</v>
      </c>
      <c r="AD41" s="131" t="b">
        <f>IF(Alapanyagok_DID!K41=Auswahldaten!$A$12,TRUE,FALSE)</f>
        <v>0</v>
      </c>
      <c r="AE41" s="131" t="b">
        <f t="shared" si="5"/>
        <v>0</v>
      </c>
      <c r="AF41" s="131" t="b">
        <f>IF(AND(AA41=TRUE,Alapanyagok_DID!E41='DID List'!$A$7),TRUE,FALSE)</f>
        <v>0</v>
      </c>
      <c r="AG41" s="131" t="b">
        <f>IF(AND(O41=Auswahldaten!$A$12,Alapanyagok_DID!F41='DID List'!$A$7),TRUE,FALSE)</f>
        <v>0</v>
      </c>
      <c r="AH41" s="131" t="b">
        <f>IF(Alapanyagok_DID!F41='DID List'!$A$7,TRUE,FALSE)</f>
        <v>0</v>
      </c>
      <c r="AI41" s="131" t="b">
        <f>IF(P41=Auswahldaten!$A$12,TRUE,FALSE)</f>
        <v>0</v>
      </c>
      <c r="AJ41" s="131" t="b">
        <f>IF(AND(ISERROR(SEARCH("H400",J41))=FALSE,H41=Auswahldaten!$A$16)=TRUE,TRUE,FALSE)</f>
        <v>0</v>
      </c>
      <c r="AK41" s="131" t="b">
        <f>IF(AND(ISERROR(SEARCH($AK$11,J41))=FALSE,H41=Auswahldaten!$A$16)=TRUE,TRUE,FALSE)</f>
        <v>0</v>
      </c>
      <c r="AL41" s="131" t="b">
        <f>IF(AND(ISERROR(SEARCH("H317",J41))=FALSE,H41=Auswahldaten!$A$21)=TRUE,TRUE,FALSE)</f>
        <v>0</v>
      </c>
      <c r="AM41" s="131" t="b">
        <f>IF(AND(ISERROR(SEARCH("H334",J41))=FALSE,H41=Auswahldaten!$A$21)=TRUE,TRUE,FALSE)</f>
        <v>0</v>
      </c>
      <c r="AN41" s="131" t="b">
        <f t="shared" si="6"/>
        <v>0</v>
      </c>
      <c r="AP41" s="731">
        <f t="shared" si="7"/>
        <v>0</v>
      </c>
      <c r="AQ41" s="131" t="b">
        <f>IF(AND(H41=Auswahldaten!A$20,OR(Alapanyagok!L41=Auswahldaten!A$52,Alapanyagok!L41=Auswahldaten!A$53)),TRUE,FALSE)</f>
        <v>0</v>
      </c>
      <c r="AR41" s="523">
        <f>IF(K41=Auswahldaten!$A$61,1,0)</f>
        <v>0</v>
      </c>
    </row>
    <row r="42" spans="1:44" ht="15.5">
      <c r="A42" s="35">
        <v>31</v>
      </c>
      <c r="B42" s="72"/>
      <c r="C42" s="123"/>
      <c r="D42" s="267" t="str">
        <f>IF(C42="","",VLOOKUP(C42,Összetétel!$B$13:$E$61,4,FALSE))</f>
        <v/>
      </c>
      <c r="E42" s="82"/>
      <c r="F42" s="122">
        <f t="shared" si="1"/>
        <v>0</v>
      </c>
      <c r="G42" s="879"/>
      <c r="H42" s="72"/>
      <c r="I42" s="122" t="str">
        <f t="shared" si="9"/>
        <v/>
      </c>
      <c r="J42" s="87"/>
      <c r="K42" s="72"/>
      <c r="L42" s="71"/>
      <c r="M42" s="606"/>
      <c r="N42" s="607"/>
      <c r="O42" s="82"/>
      <c r="P42" s="82"/>
      <c r="Q42" s="272" t="str">
        <f>IF(B42="","",IF(OR(H42=Fordítások!$C$70,H42=Fordítások!$B$70),"Y","N"))</f>
        <v/>
      </c>
      <c r="R42" s="272" t="str">
        <f t="shared" si="2"/>
        <v>N</v>
      </c>
      <c r="S42" s="272" t="str">
        <f t="shared" si="3"/>
        <v>N</v>
      </c>
      <c r="T42" s="272" t="str">
        <f t="shared" si="3"/>
        <v>N</v>
      </c>
      <c r="U42" s="82"/>
      <c r="V42" s="273"/>
      <c r="W42" s="738"/>
      <c r="X42" s="16"/>
      <c r="Y42">
        <f t="shared" si="8"/>
        <v>0</v>
      </c>
      <c r="AA42" s="131" t="b">
        <f>IF(H42=Auswahldaten!$A$16,TRUE,FALSE)</f>
        <v>0</v>
      </c>
      <c r="AB42" s="131" t="b">
        <f>IF(Alapanyagok_DID!O42="R",TRUE,FALSE)</f>
        <v>0</v>
      </c>
      <c r="AC42" s="131" t="b">
        <f t="shared" si="4"/>
        <v>0</v>
      </c>
      <c r="AD42" s="131" t="b">
        <f>IF(Alapanyagok_DID!K42=Auswahldaten!$A$12,TRUE,FALSE)</f>
        <v>0</v>
      </c>
      <c r="AE42" s="131" t="b">
        <f t="shared" si="5"/>
        <v>0</v>
      </c>
      <c r="AF42" s="131" t="b">
        <f>IF(AND(AA42=TRUE,Alapanyagok_DID!E42='DID List'!$A$7),TRUE,FALSE)</f>
        <v>0</v>
      </c>
      <c r="AG42" s="131" t="b">
        <f>IF(AND(O42=Auswahldaten!$A$12,Alapanyagok_DID!F42='DID List'!$A$7),TRUE,FALSE)</f>
        <v>0</v>
      </c>
      <c r="AH42" s="131" t="b">
        <f>IF(Alapanyagok_DID!F42='DID List'!$A$7,TRUE,FALSE)</f>
        <v>0</v>
      </c>
      <c r="AI42" s="131" t="b">
        <f>IF(P42=Auswahldaten!$A$12,TRUE,FALSE)</f>
        <v>0</v>
      </c>
      <c r="AJ42" s="131" t="b">
        <f>IF(AND(ISERROR(SEARCH("H400",J42))=FALSE,H42=Auswahldaten!$A$16)=TRUE,TRUE,FALSE)</f>
        <v>0</v>
      </c>
      <c r="AK42" s="131" t="b">
        <f>IF(AND(ISERROR(SEARCH($AK$11,J42))=FALSE,H42=Auswahldaten!$A$16)=TRUE,TRUE,FALSE)</f>
        <v>0</v>
      </c>
      <c r="AL42" s="131" t="b">
        <f>IF(AND(ISERROR(SEARCH("H317",J42))=FALSE,H42=Auswahldaten!$A$21)=TRUE,TRUE,FALSE)</f>
        <v>0</v>
      </c>
      <c r="AM42" s="131" t="b">
        <f>IF(AND(ISERROR(SEARCH("H334",J42))=FALSE,H42=Auswahldaten!$A$21)=TRUE,TRUE,FALSE)</f>
        <v>0</v>
      </c>
      <c r="AN42" s="131" t="b">
        <f t="shared" si="6"/>
        <v>0</v>
      </c>
      <c r="AP42" s="731">
        <f t="shared" si="7"/>
        <v>0</v>
      </c>
      <c r="AQ42" s="131" t="b">
        <f>IF(AND(H42=Auswahldaten!A$20,OR(Alapanyagok!L42=Auswahldaten!A$52,Alapanyagok!L42=Auswahldaten!A$53)),TRUE,FALSE)</f>
        <v>0</v>
      </c>
      <c r="AR42" s="523">
        <f>IF(K42=Auswahldaten!$A$61,1,0)</f>
        <v>0</v>
      </c>
    </row>
    <row r="43" spans="1:44" ht="15.5">
      <c r="A43" s="35">
        <v>32</v>
      </c>
      <c r="B43" s="72"/>
      <c r="C43" s="123"/>
      <c r="D43" s="267" t="str">
        <f>IF(C43="","",VLOOKUP(C43,Összetétel!$B$13:$E$61,4,FALSE))</f>
        <v/>
      </c>
      <c r="E43" s="82"/>
      <c r="F43" s="122">
        <f t="shared" si="1"/>
        <v>0</v>
      </c>
      <c r="G43" s="879"/>
      <c r="H43" s="72"/>
      <c r="I43" s="122" t="str">
        <f t="shared" si="9"/>
        <v/>
      </c>
      <c r="J43" s="87"/>
      <c r="K43" s="72"/>
      <c r="L43" s="71"/>
      <c r="M43" s="606"/>
      <c r="N43" s="607"/>
      <c r="O43" s="82"/>
      <c r="P43" s="82"/>
      <c r="Q43" s="272" t="str">
        <f>IF(B43="","",IF(OR(H43=Fordítások!$C$70,H43=Fordítások!$B$70),"Y","N"))</f>
        <v/>
      </c>
      <c r="R43" s="272" t="str">
        <f t="shared" si="2"/>
        <v>N</v>
      </c>
      <c r="S43" s="272" t="str">
        <f t="shared" si="3"/>
        <v>N</v>
      </c>
      <c r="T43" s="272" t="str">
        <f t="shared" si="3"/>
        <v>N</v>
      </c>
      <c r="U43" s="82"/>
      <c r="V43" s="273"/>
      <c r="W43" s="737"/>
      <c r="X43" s="16"/>
      <c r="Y43">
        <f t="shared" si="8"/>
        <v>0</v>
      </c>
      <c r="AA43" s="131" t="b">
        <f>IF(H43=Auswahldaten!$A$16,TRUE,FALSE)</f>
        <v>0</v>
      </c>
      <c r="AB43" s="131" t="b">
        <f>IF(Alapanyagok_DID!O43="R",TRUE,FALSE)</f>
        <v>0</v>
      </c>
      <c r="AC43" s="131" t="b">
        <f t="shared" si="4"/>
        <v>0</v>
      </c>
      <c r="AD43" s="131" t="b">
        <f>IF(Alapanyagok_DID!K43=Auswahldaten!$A$12,TRUE,FALSE)</f>
        <v>0</v>
      </c>
      <c r="AE43" s="131" t="b">
        <f t="shared" si="5"/>
        <v>0</v>
      </c>
      <c r="AF43" s="131" t="b">
        <f>IF(AND(AA43=TRUE,Alapanyagok_DID!E43='DID List'!$A$7),TRUE,FALSE)</f>
        <v>0</v>
      </c>
      <c r="AG43" s="131" t="b">
        <f>IF(AND(O43=Auswahldaten!$A$12,Alapanyagok_DID!F43='DID List'!$A$7),TRUE,FALSE)</f>
        <v>0</v>
      </c>
      <c r="AH43" s="131" t="b">
        <f>IF(Alapanyagok_DID!F43='DID List'!$A$7,TRUE,FALSE)</f>
        <v>0</v>
      </c>
      <c r="AI43" s="131" t="b">
        <f>IF(P43=Auswahldaten!$A$12,TRUE,FALSE)</f>
        <v>0</v>
      </c>
      <c r="AJ43" s="131" t="b">
        <f>IF(AND(ISERROR(SEARCH("H400",J43))=FALSE,H43=Auswahldaten!$A$16)=TRUE,TRUE,FALSE)</f>
        <v>0</v>
      </c>
      <c r="AK43" s="131" t="b">
        <f>IF(AND(ISERROR(SEARCH($AK$11,J43))=FALSE,H43=Auswahldaten!$A$16)=TRUE,TRUE,FALSE)</f>
        <v>0</v>
      </c>
      <c r="AL43" s="131" t="b">
        <f>IF(AND(ISERROR(SEARCH("H317",J43))=FALSE,H43=Auswahldaten!$A$21)=TRUE,TRUE,FALSE)</f>
        <v>0</v>
      </c>
      <c r="AM43" s="131" t="b">
        <f>IF(AND(ISERROR(SEARCH("H334",J43))=FALSE,H43=Auswahldaten!$A$21)=TRUE,TRUE,FALSE)</f>
        <v>0</v>
      </c>
      <c r="AN43" s="131" t="b">
        <f t="shared" si="6"/>
        <v>0</v>
      </c>
      <c r="AP43" s="731">
        <f t="shared" si="7"/>
        <v>0</v>
      </c>
      <c r="AQ43" s="131" t="b">
        <f>IF(AND(H43=Auswahldaten!A$20,OR(Alapanyagok!L43=Auswahldaten!A$52,Alapanyagok!L43=Auswahldaten!A$53)),TRUE,FALSE)</f>
        <v>0</v>
      </c>
      <c r="AR43" s="523">
        <f>IF(K43=Auswahldaten!$A$61,1,0)</f>
        <v>0</v>
      </c>
    </row>
    <row r="44" spans="1:44" ht="15.5">
      <c r="A44" s="35">
        <v>33</v>
      </c>
      <c r="B44" s="72"/>
      <c r="C44" s="123"/>
      <c r="D44" s="267" t="str">
        <f>IF(C44="","",VLOOKUP(C44,Összetétel!$B$13:$E$61,4,FALSE))</f>
        <v/>
      </c>
      <c r="E44" s="82"/>
      <c r="F44" s="122">
        <f t="shared" si="1"/>
        <v>0</v>
      </c>
      <c r="G44" s="879"/>
      <c r="H44" s="72"/>
      <c r="I44" s="122" t="str">
        <f t="shared" si="9"/>
        <v/>
      </c>
      <c r="J44" s="87"/>
      <c r="K44" s="72"/>
      <c r="L44" s="71"/>
      <c r="M44" s="606"/>
      <c r="N44" s="607"/>
      <c r="O44" s="82"/>
      <c r="P44" s="82"/>
      <c r="Q44" s="272" t="str">
        <f>IF(B44="","",IF(OR(H44=Fordítások!$C$70,H44=Fordítások!$B$70),"Y","N"))</f>
        <v/>
      </c>
      <c r="R44" s="272" t="str">
        <f t="shared" si="2"/>
        <v>N</v>
      </c>
      <c r="S44" s="272" t="str">
        <f t="shared" si="3"/>
        <v>N</v>
      </c>
      <c r="T44" s="272" t="str">
        <f t="shared" si="3"/>
        <v>N</v>
      </c>
      <c r="U44" s="82"/>
      <c r="V44" s="273"/>
      <c r="W44" s="737"/>
      <c r="X44" s="16"/>
      <c r="Y44">
        <f t="shared" si="8"/>
        <v>0</v>
      </c>
      <c r="AA44" s="131" t="b">
        <f>IF(H44=Auswahldaten!$A$16,TRUE,FALSE)</f>
        <v>0</v>
      </c>
      <c r="AB44" s="131" t="b">
        <f>IF(Alapanyagok_DID!O44="R",TRUE,FALSE)</f>
        <v>0</v>
      </c>
      <c r="AC44" s="131" t="b">
        <f t="shared" si="4"/>
        <v>0</v>
      </c>
      <c r="AD44" s="131" t="b">
        <f>IF(Alapanyagok_DID!K44=Auswahldaten!$A$12,TRUE,FALSE)</f>
        <v>0</v>
      </c>
      <c r="AE44" s="131" t="b">
        <f t="shared" si="5"/>
        <v>0</v>
      </c>
      <c r="AF44" s="131" t="b">
        <f>IF(AND(AA44=TRUE,Alapanyagok_DID!E44='DID List'!$A$7),TRUE,FALSE)</f>
        <v>0</v>
      </c>
      <c r="AG44" s="131" t="b">
        <f>IF(AND(O44=Auswahldaten!$A$12,Alapanyagok_DID!F44='DID List'!$A$7),TRUE,FALSE)</f>
        <v>0</v>
      </c>
      <c r="AH44" s="131" t="b">
        <f>IF(Alapanyagok_DID!F44='DID List'!$A$7,TRUE,FALSE)</f>
        <v>0</v>
      </c>
      <c r="AI44" s="131" t="b">
        <f>IF(P44=Auswahldaten!$A$12,TRUE,FALSE)</f>
        <v>0</v>
      </c>
      <c r="AJ44" s="131" t="b">
        <f>IF(AND(ISERROR(SEARCH("H400",J44))=FALSE,H44=Auswahldaten!$A$16)=TRUE,TRUE,FALSE)</f>
        <v>0</v>
      </c>
      <c r="AK44" s="131" t="b">
        <f>IF(AND(ISERROR(SEARCH($AK$11,J44))=FALSE,H44=Auswahldaten!$A$16)=TRUE,TRUE,FALSE)</f>
        <v>0</v>
      </c>
      <c r="AL44" s="131" t="b">
        <f>IF(AND(ISERROR(SEARCH("H317",J44))=FALSE,H44=Auswahldaten!$A$21)=TRUE,TRUE,FALSE)</f>
        <v>0</v>
      </c>
      <c r="AM44" s="131" t="b">
        <f>IF(AND(ISERROR(SEARCH("H334",J44))=FALSE,H44=Auswahldaten!$A$21)=TRUE,TRUE,FALSE)</f>
        <v>0</v>
      </c>
      <c r="AN44" s="131" t="b">
        <f t="shared" si="6"/>
        <v>0</v>
      </c>
      <c r="AP44" s="731">
        <f t="shared" si="7"/>
        <v>0</v>
      </c>
      <c r="AQ44" s="131" t="b">
        <f>IF(AND(H44=Auswahldaten!A$20,OR(Alapanyagok!L44=Auswahldaten!A$52,Alapanyagok!L44=Auswahldaten!A$53)),TRUE,FALSE)</f>
        <v>0</v>
      </c>
      <c r="AR44" s="523">
        <f>IF(K44=Auswahldaten!$A$61,1,0)</f>
        <v>0</v>
      </c>
    </row>
    <row r="45" spans="1:44" ht="15.5">
      <c r="A45" s="35">
        <v>34</v>
      </c>
      <c r="B45" s="72"/>
      <c r="C45" s="123"/>
      <c r="D45" s="267" t="str">
        <f>IF(C45="","",VLOOKUP(C45,Összetétel!$B$13:$E$61,4,FALSE))</f>
        <v/>
      </c>
      <c r="E45" s="82"/>
      <c r="F45" s="122">
        <f t="shared" si="1"/>
        <v>0</v>
      </c>
      <c r="G45" s="879"/>
      <c r="H45" s="72"/>
      <c r="I45" s="122" t="str">
        <f t="shared" si="9"/>
        <v/>
      </c>
      <c r="J45" s="87"/>
      <c r="K45" s="72"/>
      <c r="L45" s="71"/>
      <c r="M45" s="606"/>
      <c r="N45" s="607"/>
      <c r="O45" s="82"/>
      <c r="P45" s="82"/>
      <c r="Q45" s="272" t="str">
        <f>IF(B45="","",IF(OR(H45=Fordítások!$C$70,H45=Fordítások!$B$70),"Y","N"))</f>
        <v/>
      </c>
      <c r="R45" s="272" t="str">
        <f t="shared" si="2"/>
        <v>N</v>
      </c>
      <c r="S45" s="272" t="str">
        <f t="shared" si="3"/>
        <v>N</v>
      </c>
      <c r="T45" s="272" t="str">
        <f t="shared" si="3"/>
        <v>N</v>
      </c>
      <c r="U45" s="82"/>
      <c r="V45" s="273"/>
      <c r="W45" s="737"/>
      <c r="X45" s="16"/>
      <c r="Y45">
        <f t="shared" si="8"/>
        <v>0</v>
      </c>
      <c r="AA45" s="131" t="b">
        <f>IF(H45=Auswahldaten!$A$16,TRUE,FALSE)</f>
        <v>0</v>
      </c>
      <c r="AB45" s="131" t="b">
        <f>IF(Alapanyagok_DID!O45="R",TRUE,FALSE)</f>
        <v>0</v>
      </c>
      <c r="AC45" s="131" t="b">
        <f t="shared" si="4"/>
        <v>0</v>
      </c>
      <c r="AD45" s="131" t="b">
        <f>IF(Alapanyagok_DID!K45=Auswahldaten!$A$12,TRUE,FALSE)</f>
        <v>0</v>
      </c>
      <c r="AE45" s="131" t="b">
        <f t="shared" si="5"/>
        <v>0</v>
      </c>
      <c r="AF45" s="131" t="b">
        <f>IF(AND(AA45=TRUE,Alapanyagok_DID!E45='DID List'!$A$7),TRUE,FALSE)</f>
        <v>0</v>
      </c>
      <c r="AG45" s="131" t="b">
        <f>IF(AND(O45=Auswahldaten!$A$12,Alapanyagok_DID!F45='DID List'!$A$7),TRUE,FALSE)</f>
        <v>0</v>
      </c>
      <c r="AH45" s="131" t="b">
        <f>IF(Alapanyagok_DID!F45='DID List'!$A$7,TRUE,FALSE)</f>
        <v>0</v>
      </c>
      <c r="AI45" s="131" t="b">
        <f>IF(P45=Auswahldaten!$A$12,TRUE,FALSE)</f>
        <v>0</v>
      </c>
      <c r="AJ45" s="131" t="b">
        <f>IF(AND(ISERROR(SEARCH("H400",J45))=FALSE,H45=Auswahldaten!$A$16)=TRUE,TRUE,FALSE)</f>
        <v>0</v>
      </c>
      <c r="AK45" s="131" t="b">
        <f>IF(AND(ISERROR(SEARCH($AK$11,J45))=FALSE,H45=Auswahldaten!$A$16)=TRUE,TRUE,FALSE)</f>
        <v>0</v>
      </c>
      <c r="AL45" s="131" t="b">
        <f>IF(AND(ISERROR(SEARCH("H317",J45))=FALSE,H45=Auswahldaten!$A$21)=TRUE,TRUE,FALSE)</f>
        <v>0</v>
      </c>
      <c r="AM45" s="131" t="b">
        <f>IF(AND(ISERROR(SEARCH("H334",J45))=FALSE,H45=Auswahldaten!$A$21)=TRUE,TRUE,FALSE)</f>
        <v>0</v>
      </c>
      <c r="AN45" s="131" t="b">
        <f t="shared" si="6"/>
        <v>0</v>
      </c>
      <c r="AP45" s="731">
        <f t="shared" si="7"/>
        <v>0</v>
      </c>
      <c r="AQ45" s="131" t="b">
        <f>IF(AND(H45=Auswahldaten!A$20,OR(Alapanyagok!L45=Auswahldaten!A$52,Alapanyagok!L45=Auswahldaten!A$53)),TRUE,FALSE)</f>
        <v>0</v>
      </c>
      <c r="AR45" s="523">
        <f>IF(K45=Auswahldaten!$A$61,1,0)</f>
        <v>0</v>
      </c>
    </row>
    <row r="46" spans="1:44" ht="15.5">
      <c r="A46" s="35">
        <v>35</v>
      </c>
      <c r="B46" s="72"/>
      <c r="C46" s="123"/>
      <c r="D46" s="267" t="str">
        <f>IF(C46="","",VLOOKUP(C46,Összetétel!$B$13:$E$61,4,FALSE))</f>
        <v/>
      </c>
      <c r="E46" s="82"/>
      <c r="F46" s="122">
        <f t="shared" si="1"/>
        <v>0</v>
      </c>
      <c r="G46" s="879"/>
      <c r="H46" s="72"/>
      <c r="I46" s="122" t="str">
        <f t="shared" si="9"/>
        <v/>
      </c>
      <c r="J46" s="87"/>
      <c r="K46" s="72"/>
      <c r="L46" s="71"/>
      <c r="M46" s="606"/>
      <c r="N46" s="607"/>
      <c r="O46" s="82"/>
      <c r="P46" s="82"/>
      <c r="Q46" s="272" t="str">
        <f>IF(B46="","",IF(OR(H46=Fordítások!$C$70,H46=Fordítások!$B$70),"Y","N"))</f>
        <v/>
      </c>
      <c r="R46" s="272" t="str">
        <f t="shared" si="2"/>
        <v>N</v>
      </c>
      <c r="S46" s="272" t="str">
        <f t="shared" si="3"/>
        <v>N</v>
      </c>
      <c r="T46" s="272" t="str">
        <f t="shared" si="3"/>
        <v>N</v>
      </c>
      <c r="U46" s="82"/>
      <c r="V46" s="273"/>
      <c r="W46" s="737"/>
      <c r="X46" s="16"/>
      <c r="Y46">
        <f t="shared" si="8"/>
        <v>0</v>
      </c>
      <c r="AA46" s="131" t="b">
        <f>IF(H46=Auswahldaten!$A$16,TRUE,FALSE)</f>
        <v>0</v>
      </c>
      <c r="AB46" s="131" t="b">
        <f>IF(Alapanyagok_DID!O46="R",TRUE,FALSE)</f>
        <v>0</v>
      </c>
      <c r="AC46" s="131" t="b">
        <f t="shared" si="4"/>
        <v>0</v>
      </c>
      <c r="AD46" s="131" t="b">
        <f>IF(Alapanyagok_DID!K46=Auswahldaten!$A$12,TRUE,FALSE)</f>
        <v>0</v>
      </c>
      <c r="AE46" s="131" t="b">
        <f t="shared" si="5"/>
        <v>0</v>
      </c>
      <c r="AF46" s="131" t="b">
        <f>IF(AND(AA46=TRUE,Alapanyagok_DID!E46='DID List'!$A$7),TRUE,FALSE)</f>
        <v>0</v>
      </c>
      <c r="AG46" s="131" t="b">
        <f>IF(AND(O46=Auswahldaten!$A$12,Alapanyagok_DID!F46='DID List'!$A$7),TRUE,FALSE)</f>
        <v>0</v>
      </c>
      <c r="AH46" s="131" t="b">
        <f>IF(Alapanyagok_DID!F46='DID List'!$A$7,TRUE,FALSE)</f>
        <v>0</v>
      </c>
      <c r="AI46" s="131" t="b">
        <f>IF(P46=Auswahldaten!$A$12,TRUE,FALSE)</f>
        <v>0</v>
      </c>
      <c r="AJ46" s="131" t="b">
        <f>IF(AND(ISERROR(SEARCH("H400",J46))=FALSE,H46=Auswahldaten!$A$16)=TRUE,TRUE,FALSE)</f>
        <v>0</v>
      </c>
      <c r="AK46" s="131" t="b">
        <f>IF(AND(ISERROR(SEARCH($AK$11,J46))=FALSE,H46=Auswahldaten!$A$16)=TRUE,TRUE,FALSE)</f>
        <v>0</v>
      </c>
      <c r="AL46" s="131" t="b">
        <f>IF(AND(ISERROR(SEARCH("H317",J46))=FALSE,H46=Auswahldaten!$A$21)=TRUE,TRUE,FALSE)</f>
        <v>0</v>
      </c>
      <c r="AM46" s="131" t="b">
        <f>IF(AND(ISERROR(SEARCH("H334",J46))=FALSE,H46=Auswahldaten!$A$21)=TRUE,TRUE,FALSE)</f>
        <v>0</v>
      </c>
      <c r="AN46" s="131" t="b">
        <f t="shared" si="6"/>
        <v>0</v>
      </c>
      <c r="AP46" s="731">
        <f t="shared" si="7"/>
        <v>0</v>
      </c>
      <c r="AQ46" s="131" t="b">
        <f>IF(AND(H46=Auswahldaten!A$20,OR(Alapanyagok!L46=Auswahldaten!A$52,Alapanyagok!L46=Auswahldaten!A$53)),TRUE,FALSE)</f>
        <v>0</v>
      </c>
      <c r="AR46" s="523">
        <f>IF(K46=Auswahldaten!$A$61,1,0)</f>
        <v>0</v>
      </c>
    </row>
    <row r="47" spans="1:44" ht="15.5">
      <c r="A47" s="35">
        <v>36</v>
      </c>
      <c r="B47" s="72"/>
      <c r="C47" s="123"/>
      <c r="D47" s="267" t="str">
        <f>IF(C47="","",VLOOKUP(C47,Összetétel!$B$13:$E$61,4,FALSE))</f>
        <v/>
      </c>
      <c r="E47" s="82"/>
      <c r="F47" s="122">
        <f t="shared" si="1"/>
        <v>0</v>
      </c>
      <c r="G47" s="879"/>
      <c r="H47" s="72"/>
      <c r="I47" s="122" t="str">
        <f t="shared" si="9"/>
        <v/>
      </c>
      <c r="J47" s="87"/>
      <c r="K47" s="72"/>
      <c r="L47" s="71"/>
      <c r="M47" s="606"/>
      <c r="N47" s="607"/>
      <c r="O47" s="82"/>
      <c r="P47" s="82"/>
      <c r="Q47" s="272" t="str">
        <f>IF(B47="","",IF(OR(H47=Fordítások!$C$70,H47=Fordítások!$B$70),"Y","N"))</f>
        <v/>
      </c>
      <c r="R47" s="272" t="str">
        <f t="shared" si="2"/>
        <v>N</v>
      </c>
      <c r="S47" s="272" t="str">
        <f t="shared" si="3"/>
        <v>N</v>
      </c>
      <c r="T47" s="272" t="str">
        <f t="shared" si="3"/>
        <v>N</v>
      </c>
      <c r="U47" s="82"/>
      <c r="V47" s="273"/>
      <c r="W47" s="737"/>
      <c r="X47" s="16"/>
      <c r="Y47">
        <f t="shared" si="8"/>
        <v>0</v>
      </c>
      <c r="AA47" s="131" t="b">
        <f>IF(H47=Auswahldaten!$A$16,TRUE,FALSE)</f>
        <v>0</v>
      </c>
      <c r="AB47" s="131" t="b">
        <f>IF(Alapanyagok_DID!O47="R",TRUE,FALSE)</f>
        <v>0</v>
      </c>
      <c r="AC47" s="131" t="b">
        <f t="shared" si="4"/>
        <v>0</v>
      </c>
      <c r="AD47" s="131" t="b">
        <f>IF(Alapanyagok_DID!K47=Auswahldaten!$A$12,TRUE,FALSE)</f>
        <v>0</v>
      </c>
      <c r="AE47" s="131" t="b">
        <f t="shared" si="5"/>
        <v>0</v>
      </c>
      <c r="AF47" s="131" t="b">
        <f>IF(AND(AA47=TRUE,Alapanyagok_DID!E47='DID List'!$A$7),TRUE,FALSE)</f>
        <v>0</v>
      </c>
      <c r="AG47" s="131" t="b">
        <f>IF(AND(O47=Auswahldaten!$A$12,Alapanyagok_DID!F47='DID List'!$A$7),TRUE,FALSE)</f>
        <v>0</v>
      </c>
      <c r="AH47" s="131" t="b">
        <f>IF(Alapanyagok_DID!F47='DID List'!$A$7,TRUE,FALSE)</f>
        <v>0</v>
      </c>
      <c r="AI47" s="131" t="b">
        <f>IF(P47=Auswahldaten!$A$12,TRUE,FALSE)</f>
        <v>0</v>
      </c>
      <c r="AJ47" s="131" t="b">
        <f>IF(AND(ISERROR(SEARCH("H400",J47))=FALSE,H47=Auswahldaten!$A$16)=TRUE,TRUE,FALSE)</f>
        <v>0</v>
      </c>
      <c r="AK47" s="131" t="b">
        <f>IF(AND(ISERROR(SEARCH($AK$11,J47))=FALSE,H47=Auswahldaten!$A$16)=TRUE,TRUE,FALSE)</f>
        <v>0</v>
      </c>
      <c r="AL47" s="131" t="b">
        <f>IF(AND(ISERROR(SEARCH("H317",J47))=FALSE,H47=Auswahldaten!$A$21)=TRUE,TRUE,FALSE)</f>
        <v>0</v>
      </c>
      <c r="AM47" s="131" t="b">
        <f>IF(AND(ISERROR(SEARCH("H334",J47))=FALSE,H47=Auswahldaten!$A$21)=TRUE,TRUE,FALSE)</f>
        <v>0</v>
      </c>
      <c r="AN47" s="131" t="b">
        <f t="shared" si="6"/>
        <v>0</v>
      </c>
      <c r="AP47" s="731">
        <f t="shared" si="7"/>
        <v>0</v>
      </c>
      <c r="AQ47" s="131" t="b">
        <f>IF(AND(H47=Auswahldaten!A$20,OR(Alapanyagok!L47=Auswahldaten!A$52,Alapanyagok!L47=Auswahldaten!A$53)),TRUE,FALSE)</f>
        <v>0</v>
      </c>
      <c r="AR47" s="523">
        <f>IF(K47=Auswahldaten!$A$61,1,0)</f>
        <v>0</v>
      </c>
    </row>
    <row r="48" spans="1:44" ht="15.5">
      <c r="A48" s="35">
        <v>37</v>
      </c>
      <c r="B48" s="72"/>
      <c r="C48" s="123"/>
      <c r="D48" s="267" t="str">
        <f>IF(C48="","",VLOOKUP(C48,Összetétel!$B$13:$E$61,4,FALSE))</f>
        <v/>
      </c>
      <c r="E48" s="82"/>
      <c r="F48" s="122">
        <f t="shared" si="1"/>
        <v>0</v>
      </c>
      <c r="G48" s="879"/>
      <c r="H48" s="72"/>
      <c r="I48" s="122" t="str">
        <f t="shared" si="9"/>
        <v/>
      </c>
      <c r="J48" s="87"/>
      <c r="K48" s="72"/>
      <c r="L48" s="71"/>
      <c r="M48" s="606"/>
      <c r="N48" s="607"/>
      <c r="O48" s="82"/>
      <c r="P48" s="82"/>
      <c r="Q48" s="272" t="str">
        <f>IF(B48="","",IF(OR(H48=Fordítások!$C$70,H48=Fordítások!$B$70),"Y","N"))</f>
        <v/>
      </c>
      <c r="R48" s="272" t="str">
        <f t="shared" si="2"/>
        <v>N</v>
      </c>
      <c r="S48" s="272" t="str">
        <f t="shared" si="3"/>
        <v>N</v>
      </c>
      <c r="T48" s="272" t="str">
        <f t="shared" si="3"/>
        <v>N</v>
      </c>
      <c r="U48" s="82"/>
      <c r="V48" s="273"/>
      <c r="W48" s="737"/>
      <c r="X48" s="16"/>
      <c r="Y48">
        <f t="shared" si="8"/>
        <v>0</v>
      </c>
      <c r="AA48" s="131" t="b">
        <f>IF(H48=Auswahldaten!$A$16,TRUE,FALSE)</f>
        <v>0</v>
      </c>
      <c r="AB48" s="131" t="b">
        <f>IF(Alapanyagok_DID!O48="R",TRUE,FALSE)</f>
        <v>0</v>
      </c>
      <c r="AC48" s="131" t="b">
        <f t="shared" si="4"/>
        <v>0</v>
      </c>
      <c r="AD48" s="131" t="b">
        <f>IF(Alapanyagok_DID!K48=Auswahldaten!$A$12,TRUE,FALSE)</f>
        <v>0</v>
      </c>
      <c r="AE48" s="131" t="b">
        <f t="shared" si="5"/>
        <v>0</v>
      </c>
      <c r="AF48" s="131" t="b">
        <f>IF(AND(AA48=TRUE,Alapanyagok_DID!E48='DID List'!$A$7),TRUE,FALSE)</f>
        <v>0</v>
      </c>
      <c r="AG48" s="131" t="b">
        <f>IF(AND(O48=Auswahldaten!$A$12,Alapanyagok_DID!F48='DID List'!$A$7),TRUE,FALSE)</f>
        <v>0</v>
      </c>
      <c r="AH48" s="131" t="b">
        <f>IF(Alapanyagok_DID!F48='DID List'!$A$7,TRUE,FALSE)</f>
        <v>0</v>
      </c>
      <c r="AI48" s="131" t="b">
        <f>IF(P48=Auswahldaten!$A$12,TRUE,FALSE)</f>
        <v>0</v>
      </c>
      <c r="AJ48" s="131" t="b">
        <f>IF(AND(ISERROR(SEARCH("H400",J48))=FALSE,H48=Auswahldaten!$A$16)=TRUE,TRUE,FALSE)</f>
        <v>0</v>
      </c>
      <c r="AK48" s="131" t="b">
        <f>IF(AND(ISERROR(SEARCH($AK$11,J48))=FALSE,H48=Auswahldaten!$A$16)=TRUE,TRUE,FALSE)</f>
        <v>0</v>
      </c>
      <c r="AL48" s="131" t="b">
        <f>IF(AND(ISERROR(SEARCH("H317",J48))=FALSE,H48=Auswahldaten!$A$21)=TRUE,TRUE,FALSE)</f>
        <v>0</v>
      </c>
      <c r="AM48" s="131" t="b">
        <f>IF(AND(ISERROR(SEARCH("H334",J48))=FALSE,H48=Auswahldaten!$A$21)=TRUE,TRUE,FALSE)</f>
        <v>0</v>
      </c>
      <c r="AN48" s="131" t="b">
        <f t="shared" si="6"/>
        <v>0</v>
      </c>
      <c r="AP48" s="731">
        <f t="shared" si="7"/>
        <v>0</v>
      </c>
      <c r="AQ48" s="131" t="b">
        <f>IF(AND(H48=Auswahldaten!A$20,OR(Alapanyagok!L48=Auswahldaten!A$52,Alapanyagok!L48=Auswahldaten!A$53)),TRUE,FALSE)</f>
        <v>0</v>
      </c>
      <c r="AR48" s="523">
        <f>IF(K48=Auswahldaten!$A$61,1,0)</f>
        <v>0</v>
      </c>
    </row>
    <row r="49" spans="1:44" ht="15.5">
      <c r="A49" s="35">
        <v>38</v>
      </c>
      <c r="B49" s="72"/>
      <c r="C49" s="123"/>
      <c r="D49" s="267" t="str">
        <f>IF(C49="","",VLOOKUP(C49,Összetétel!$B$13:$E$61,4,FALSE))</f>
        <v/>
      </c>
      <c r="E49" s="82"/>
      <c r="F49" s="122">
        <f t="shared" si="1"/>
        <v>0</v>
      </c>
      <c r="G49" s="879"/>
      <c r="H49" s="72"/>
      <c r="I49" s="122" t="str">
        <f t="shared" si="9"/>
        <v/>
      </c>
      <c r="J49" s="87"/>
      <c r="K49" s="72"/>
      <c r="L49" s="71"/>
      <c r="M49" s="606"/>
      <c r="N49" s="607"/>
      <c r="O49" s="82"/>
      <c r="P49" s="82"/>
      <c r="Q49" s="272" t="str">
        <f>IF(B49="","",IF(OR(H49=Fordítások!$C$70,H49=Fordítások!$B$70),"Y","N"))</f>
        <v/>
      </c>
      <c r="R49" s="272" t="str">
        <f t="shared" si="2"/>
        <v>N</v>
      </c>
      <c r="S49" s="272" t="str">
        <f t="shared" si="3"/>
        <v>N</v>
      </c>
      <c r="T49" s="272" t="str">
        <f t="shared" si="3"/>
        <v>N</v>
      </c>
      <c r="U49" s="82"/>
      <c r="V49" s="273"/>
      <c r="W49" s="737"/>
      <c r="X49" s="16"/>
      <c r="Y49">
        <f t="shared" si="8"/>
        <v>0</v>
      </c>
      <c r="AA49" s="131" t="b">
        <f>IF(H49=Auswahldaten!$A$16,TRUE,FALSE)</f>
        <v>0</v>
      </c>
      <c r="AB49" s="131" t="b">
        <f>IF(Alapanyagok_DID!O49="R",TRUE,FALSE)</f>
        <v>0</v>
      </c>
      <c r="AC49" s="131" t="b">
        <f t="shared" si="4"/>
        <v>0</v>
      </c>
      <c r="AD49" s="131" t="b">
        <f>IF(Alapanyagok_DID!K49=Auswahldaten!$A$12,TRUE,FALSE)</f>
        <v>0</v>
      </c>
      <c r="AE49" s="131" t="b">
        <f t="shared" si="5"/>
        <v>0</v>
      </c>
      <c r="AF49" s="131" t="b">
        <f>IF(AND(AA49=TRUE,Alapanyagok_DID!E49='DID List'!$A$7),TRUE,FALSE)</f>
        <v>0</v>
      </c>
      <c r="AG49" s="131" t="b">
        <f>IF(AND(O49=Auswahldaten!$A$12,Alapanyagok_DID!F49='DID List'!$A$7),TRUE,FALSE)</f>
        <v>0</v>
      </c>
      <c r="AH49" s="131" t="b">
        <f>IF(Alapanyagok_DID!F49='DID List'!$A$7,TRUE,FALSE)</f>
        <v>0</v>
      </c>
      <c r="AI49" s="131" t="b">
        <f>IF(P49=Auswahldaten!$A$12,TRUE,FALSE)</f>
        <v>0</v>
      </c>
      <c r="AJ49" s="131" t="b">
        <f>IF(AND(ISERROR(SEARCH("H400",J49))=FALSE,H49=Auswahldaten!$A$16)=TRUE,TRUE,FALSE)</f>
        <v>0</v>
      </c>
      <c r="AK49" s="131" t="b">
        <f>IF(AND(ISERROR(SEARCH($AK$11,J49))=FALSE,H49=Auswahldaten!$A$16)=TRUE,TRUE,FALSE)</f>
        <v>0</v>
      </c>
      <c r="AL49" s="131" t="b">
        <f>IF(AND(ISERROR(SEARCH("H317",J49))=FALSE,H49=Auswahldaten!$A$21)=TRUE,TRUE,FALSE)</f>
        <v>0</v>
      </c>
      <c r="AM49" s="131" t="b">
        <f>IF(AND(ISERROR(SEARCH("H334",J49))=FALSE,H49=Auswahldaten!$A$21)=TRUE,TRUE,FALSE)</f>
        <v>0</v>
      </c>
      <c r="AN49" s="131" t="b">
        <f t="shared" si="6"/>
        <v>0</v>
      </c>
      <c r="AP49" s="731">
        <f t="shared" si="7"/>
        <v>0</v>
      </c>
      <c r="AQ49" s="131" t="b">
        <f>IF(AND(H49=Auswahldaten!A$20,OR(Alapanyagok!L49=Auswahldaten!A$52,Alapanyagok!L49=Auswahldaten!A$53)),TRUE,FALSE)</f>
        <v>0</v>
      </c>
      <c r="AR49" s="523">
        <f>IF(K49=Auswahldaten!$A$61,1,0)</f>
        <v>0</v>
      </c>
    </row>
    <row r="50" spans="1:44" ht="15.5">
      <c r="A50" s="35">
        <v>39</v>
      </c>
      <c r="B50" s="72"/>
      <c r="C50" s="123"/>
      <c r="D50" s="267" t="str">
        <f>IF(C50="","",VLOOKUP(C50,Összetétel!$B$13:$E$61,4,FALSE))</f>
        <v/>
      </c>
      <c r="E50" s="82"/>
      <c r="F50" s="122">
        <f t="shared" si="1"/>
        <v>0</v>
      </c>
      <c r="G50" s="879"/>
      <c r="H50" s="72"/>
      <c r="I50" s="122" t="str">
        <f t="shared" si="9"/>
        <v/>
      </c>
      <c r="J50" s="87"/>
      <c r="K50" s="72"/>
      <c r="L50" s="71"/>
      <c r="M50" s="606"/>
      <c r="N50" s="607"/>
      <c r="O50" s="82"/>
      <c r="P50" s="82"/>
      <c r="Q50" s="272" t="str">
        <f>IF(B50="","",IF(OR(H50=Fordítások!$C$70,H50=Fordítások!$B$70),"Y","N"))</f>
        <v/>
      </c>
      <c r="R50" s="272" t="str">
        <f t="shared" si="2"/>
        <v>N</v>
      </c>
      <c r="S50" s="272" t="str">
        <f t="shared" si="3"/>
        <v>N</v>
      </c>
      <c r="T50" s="272" t="str">
        <f t="shared" si="3"/>
        <v>N</v>
      </c>
      <c r="U50" s="82"/>
      <c r="V50" s="273"/>
      <c r="W50" s="737"/>
      <c r="X50" s="16"/>
      <c r="Y50">
        <f t="shared" si="8"/>
        <v>0</v>
      </c>
      <c r="AA50" s="131" t="b">
        <f>IF(H50=Auswahldaten!$A$16,TRUE,FALSE)</f>
        <v>0</v>
      </c>
      <c r="AB50" s="131" t="b">
        <f>IF(Alapanyagok_DID!O50="R",TRUE,FALSE)</f>
        <v>0</v>
      </c>
      <c r="AC50" s="131" t="b">
        <f t="shared" si="4"/>
        <v>0</v>
      </c>
      <c r="AD50" s="131" t="b">
        <f>IF(Alapanyagok_DID!K50=Auswahldaten!$A$12,TRUE,FALSE)</f>
        <v>0</v>
      </c>
      <c r="AE50" s="131" t="b">
        <f t="shared" si="5"/>
        <v>0</v>
      </c>
      <c r="AF50" s="131" t="b">
        <f>IF(AND(AA50=TRUE,Alapanyagok_DID!E50='DID List'!$A$7),TRUE,FALSE)</f>
        <v>0</v>
      </c>
      <c r="AG50" s="131" t="b">
        <f>IF(AND(O50=Auswahldaten!$A$12,Alapanyagok_DID!F50='DID List'!$A$7),TRUE,FALSE)</f>
        <v>0</v>
      </c>
      <c r="AH50" s="131" t="b">
        <f>IF(Alapanyagok_DID!F50='DID List'!$A$7,TRUE,FALSE)</f>
        <v>0</v>
      </c>
      <c r="AI50" s="131" t="b">
        <f>IF(P50=Auswahldaten!$A$12,TRUE,FALSE)</f>
        <v>0</v>
      </c>
      <c r="AJ50" s="131" t="b">
        <f>IF(AND(ISERROR(SEARCH("H400",J50))=FALSE,H50=Auswahldaten!$A$16)=TRUE,TRUE,FALSE)</f>
        <v>0</v>
      </c>
      <c r="AK50" s="131" t="b">
        <f>IF(AND(ISERROR(SEARCH($AK$11,J50))=FALSE,H50=Auswahldaten!$A$16)=TRUE,TRUE,FALSE)</f>
        <v>0</v>
      </c>
      <c r="AL50" s="131" t="b">
        <f>IF(AND(ISERROR(SEARCH("H317",J50))=FALSE,H50=Auswahldaten!$A$21)=TRUE,TRUE,FALSE)</f>
        <v>0</v>
      </c>
      <c r="AM50" s="131" t="b">
        <f>IF(AND(ISERROR(SEARCH("H334",J50))=FALSE,H50=Auswahldaten!$A$21)=TRUE,TRUE,FALSE)</f>
        <v>0</v>
      </c>
      <c r="AN50" s="131" t="b">
        <f t="shared" si="6"/>
        <v>0</v>
      </c>
      <c r="AP50" s="731">
        <f t="shared" si="7"/>
        <v>0</v>
      </c>
      <c r="AQ50" s="131" t="b">
        <f>IF(AND(H50=Auswahldaten!A$20,OR(Alapanyagok!L50=Auswahldaten!A$52,Alapanyagok!L50=Auswahldaten!A$53)),TRUE,FALSE)</f>
        <v>0</v>
      </c>
      <c r="AR50" s="523">
        <f>IF(K50=Auswahldaten!$A$61,1,0)</f>
        <v>0</v>
      </c>
    </row>
    <row r="51" spans="1:44" ht="15.5">
      <c r="A51" s="35">
        <v>40</v>
      </c>
      <c r="B51" s="72"/>
      <c r="C51" s="123"/>
      <c r="D51" s="267" t="str">
        <f>IF(C51="","",VLOOKUP(C51,Összetétel!$B$13:$E$61,4,FALSE))</f>
        <v/>
      </c>
      <c r="E51" s="82"/>
      <c r="F51" s="122">
        <f t="shared" si="1"/>
        <v>0</v>
      </c>
      <c r="G51" s="879"/>
      <c r="H51" s="72"/>
      <c r="I51" s="122" t="str">
        <f t="shared" si="9"/>
        <v/>
      </c>
      <c r="J51" s="87"/>
      <c r="K51" s="72"/>
      <c r="L51" s="71"/>
      <c r="M51" s="606"/>
      <c r="N51" s="607"/>
      <c r="O51" s="82"/>
      <c r="P51" s="82"/>
      <c r="Q51" s="272" t="str">
        <f>IF(B51="","",IF(OR(H51=Fordítások!$C$70,H51=Fordítások!$B$70),"Y","N"))</f>
        <v/>
      </c>
      <c r="R51" s="272" t="str">
        <f t="shared" si="2"/>
        <v>N</v>
      </c>
      <c r="S51" s="272" t="str">
        <f t="shared" si="3"/>
        <v>N</v>
      </c>
      <c r="T51" s="272" t="str">
        <f t="shared" si="3"/>
        <v>N</v>
      </c>
      <c r="U51" s="82"/>
      <c r="V51" s="273"/>
      <c r="W51" s="737"/>
      <c r="X51" s="16"/>
      <c r="Y51">
        <f t="shared" si="8"/>
        <v>0</v>
      </c>
      <c r="AA51" s="131" t="b">
        <f>IF(H51=Auswahldaten!$A$16,TRUE,FALSE)</f>
        <v>0</v>
      </c>
      <c r="AB51" s="131" t="b">
        <f>IF(Alapanyagok_DID!O51="R",TRUE,FALSE)</f>
        <v>0</v>
      </c>
      <c r="AC51" s="131" t="b">
        <f t="shared" si="4"/>
        <v>0</v>
      </c>
      <c r="AD51" s="131" t="b">
        <f>IF(Alapanyagok_DID!K51=Auswahldaten!$A$12,TRUE,FALSE)</f>
        <v>0</v>
      </c>
      <c r="AE51" s="131" t="b">
        <f t="shared" si="5"/>
        <v>0</v>
      </c>
      <c r="AF51" s="131" t="b">
        <f>IF(AND(AA51=TRUE,Alapanyagok_DID!E51='DID List'!$A$7),TRUE,FALSE)</f>
        <v>0</v>
      </c>
      <c r="AG51" s="131" t="b">
        <f>IF(AND(O51=Auswahldaten!$A$12,Alapanyagok_DID!F51='DID List'!$A$7),TRUE,FALSE)</f>
        <v>0</v>
      </c>
      <c r="AH51" s="131" t="b">
        <f>IF(Alapanyagok_DID!F51='DID List'!$A$7,TRUE,FALSE)</f>
        <v>0</v>
      </c>
      <c r="AI51" s="131" t="b">
        <f>IF(P51=Auswahldaten!$A$12,TRUE,FALSE)</f>
        <v>0</v>
      </c>
      <c r="AJ51" s="131" t="b">
        <f>IF(AND(ISERROR(SEARCH("H400",J51))=FALSE,H51=Auswahldaten!$A$16)=TRUE,TRUE,FALSE)</f>
        <v>0</v>
      </c>
      <c r="AK51" s="131" t="b">
        <f>IF(AND(ISERROR(SEARCH($AK$11,J51))=FALSE,H51=Auswahldaten!$A$16)=TRUE,TRUE,FALSE)</f>
        <v>0</v>
      </c>
      <c r="AL51" s="131" t="b">
        <f>IF(AND(ISERROR(SEARCH("H317",J51))=FALSE,H51=Auswahldaten!$A$21)=TRUE,TRUE,FALSE)</f>
        <v>0</v>
      </c>
      <c r="AM51" s="131" t="b">
        <f>IF(AND(ISERROR(SEARCH("H334",J51))=FALSE,H51=Auswahldaten!$A$21)=TRUE,TRUE,FALSE)</f>
        <v>0</v>
      </c>
      <c r="AN51" s="131" t="b">
        <f t="shared" si="6"/>
        <v>0</v>
      </c>
      <c r="AP51" s="731">
        <f t="shared" si="7"/>
        <v>0</v>
      </c>
      <c r="AQ51" s="131" t="b">
        <f>IF(AND(H51=Auswahldaten!A$20,OR(Alapanyagok!L51=Auswahldaten!A$52,Alapanyagok!L51=Auswahldaten!A$53)),TRUE,FALSE)</f>
        <v>0</v>
      </c>
      <c r="AR51" s="523">
        <f>IF(K51=Auswahldaten!$A$61,1,0)</f>
        <v>0</v>
      </c>
    </row>
    <row r="52" spans="1:44" ht="15.5">
      <c r="A52" s="35">
        <v>41</v>
      </c>
      <c r="B52" s="72"/>
      <c r="C52" s="123"/>
      <c r="D52" s="267" t="str">
        <f>IF(C52="","",VLOOKUP(C52,Összetétel!$B$13:$E$61,4,FALSE))</f>
        <v/>
      </c>
      <c r="E52" s="82"/>
      <c r="F52" s="122">
        <f t="shared" si="1"/>
        <v>0</v>
      </c>
      <c r="G52" s="879"/>
      <c r="H52" s="72"/>
      <c r="I52" s="122" t="str">
        <f t="shared" si="9"/>
        <v/>
      </c>
      <c r="J52" s="87"/>
      <c r="K52" s="72"/>
      <c r="L52" s="71"/>
      <c r="M52" s="606"/>
      <c r="N52" s="607"/>
      <c r="O52" s="82"/>
      <c r="P52" s="82"/>
      <c r="Q52" s="272" t="str">
        <f>IF(B52="","",IF(OR(H52=Fordítások!$C$70,H52=Fordítások!$B$70),"Y","N"))</f>
        <v/>
      </c>
      <c r="R52" s="272" t="str">
        <f t="shared" si="2"/>
        <v>N</v>
      </c>
      <c r="S52" s="272" t="str">
        <f t="shared" si="3"/>
        <v>N</v>
      </c>
      <c r="T52" s="272" t="str">
        <f t="shared" si="3"/>
        <v>N</v>
      </c>
      <c r="U52" s="82"/>
      <c r="V52" s="273"/>
      <c r="W52" s="737"/>
      <c r="X52" s="16"/>
      <c r="Y52">
        <f t="shared" si="8"/>
        <v>0</v>
      </c>
      <c r="AA52" s="131" t="b">
        <f>IF(H52=Auswahldaten!$A$16,TRUE,FALSE)</f>
        <v>0</v>
      </c>
      <c r="AB52" s="131" t="b">
        <f>IF(Alapanyagok_DID!O52="R",TRUE,FALSE)</f>
        <v>0</v>
      </c>
      <c r="AC52" s="131" t="b">
        <f t="shared" si="4"/>
        <v>0</v>
      </c>
      <c r="AD52" s="131" t="b">
        <f>IF(Alapanyagok_DID!K52=Auswahldaten!$A$12,TRUE,FALSE)</f>
        <v>0</v>
      </c>
      <c r="AE52" s="131" t="b">
        <f t="shared" si="5"/>
        <v>0</v>
      </c>
      <c r="AF52" s="131" t="b">
        <f>IF(AND(AA52=TRUE,Alapanyagok_DID!E52='DID List'!$A$7),TRUE,FALSE)</f>
        <v>0</v>
      </c>
      <c r="AG52" s="131" t="b">
        <f>IF(AND(O52=Auswahldaten!$A$12,Alapanyagok_DID!F52='DID List'!$A$7),TRUE,FALSE)</f>
        <v>0</v>
      </c>
      <c r="AH52" s="131" t="b">
        <f>IF(Alapanyagok_DID!F52='DID List'!$A$7,TRUE,FALSE)</f>
        <v>0</v>
      </c>
      <c r="AI52" s="131" t="b">
        <f>IF(P52=Auswahldaten!$A$12,TRUE,FALSE)</f>
        <v>0</v>
      </c>
      <c r="AJ52" s="131" t="b">
        <f>IF(AND(ISERROR(SEARCH("H400",J52))=FALSE,H52=Auswahldaten!$A$16)=TRUE,TRUE,FALSE)</f>
        <v>0</v>
      </c>
      <c r="AK52" s="131" t="b">
        <f>IF(AND(ISERROR(SEARCH($AK$11,J52))=FALSE,H52=Auswahldaten!$A$16)=TRUE,TRUE,FALSE)</f>
        <v>0</v>
      </c>
      <c r="AL52" s="131" t="b">
        <f>IF(AND(ISERROR(SEARCH("H317",J52))=FALSE,H52=Auswahldaten!$A$21)=TRUE,TRUE,FALSE)</f>
        <v>0</v>
      </c>
      <c r="AM52" s="131" t="b">
        <f>IF(AND(ISERROR(SEARCH("H334",J52))=FALSE,H52=Auswahldaten!$A$21)=TRUE,TRUE,FALSE)</f>
        <v>0</v>
      </c>
      <c r="AN52" s="131" t="b">
        <f t="shared" si="6"/>
        <v>0</v>
      </c>
      <c r="AP52" s="731">
        <f t="shared" si="7"/>
        <v>0</v>
      </c>
      <c r="AQ52" s="131" t="b">
        <f>IF(AND(H52=Auswahldaten!A$20,OR(Alapanyagok!L52=Auswahldaten!A$52,Alapanyagok!L52=Auswahldaten!A$53)),TRUE,FALSE)</f>
        <v>0</v>
      </c>
      <c r="AR52" s="523">
        <f>IF(K52=Auswahldaten!$A$61,1,0)</f>
        <v>0</v>
      </c>
    </row>
    <row r="53" spans="1:44" ht="15.5">
      <c r="A53" s="35">
        <v>42</v>
      </c>
      <c r="B53" s="72"/>
      <c r="C53" s="123"/>
      <c r="D53" s="267" t="str">
        <f>IF(C53="","",VLOOKUP(C53,Összetétel!$B$13:$E$61,4,FALSE))</f>
        <v/>
      </c>
      <c r="E53" s="82"/>
      <c r="F53" s="122">
        <f t="shared" si="1"/>
        <v>0</v>
      </c>
      <c r="G53" s="879"/>
      <c r="H53" s="72"/>
      <c r="I53" s="122" t="str">
        <f t="shared" si="9"/>
        <v/>
      </c>
      <c r="J53" s="87"/>
      <c r="K53" s="72"/>
      <c r="L53" s="71"/>
      <c r="M53" s="606"/>
      <c r="N53" s="607"/>
      <c r="O53" s="82"/>
      <c r="P53" s="82"/>
      <c r="Q53" s="272" t="str">
        <f>IF(B53="","",IF(OR(H53=Fordítások!$C$70,H53=Fordítások!$B$70),"Y","N"))</f>
        <v/>
      </c>
      <c r="R53" s="272" t="str">
        <f t="shared" si="2"/>
        <v>N</v>
      </c>
      <c r="S53" s="272" t="str">
        <f t="shared" si="3"/>
        <v>N</v>
      </c>
      <c r="T53" s="272" t="str">
        <f t="shared" si="3"/>
        <v>N</v>
      </c>
      <c r="U53" s="82"/>
      <c r="V53" s="273"/>
      <c r="W53" s="737"/>
      <c r="X53" s="16"/>
      <c r="Y53">
        <f t="shared" si="8"/>
        <v>0</v>
      </c>
      <c r="AA53" s="131" t="b">
        <f>IF(H53=Auswahldaten!$A$16,TRUE,FALSE)</f>
        <v>0</v>
      </c>
      <c r="AB53" s="131" t="b">
        <f>IF(Alapanyagok_DID!O53="R",TRUE,FALSE)</f>
        <v>0</v>
      </c>
      <c r="AC53" s="131" t="b">
        <f t="shared" si="4"/>
        <v>0</v>
      </c>
      <c r="AD53" s="131" t="b">
        <f>IF(Alapanyagok_DID!K53=Auswahldaten!$A$12,TRUE,FALSE)</f>
        <v>0</v>
      </c>
      <c r="AE53" s="131" t="b">
        <f t="shared" si="5"/>
        <v>0</v>
      </c>
      <c r="AF53" s="131" t="b">
        <f>IF(AND(AA53=TRUE,Alapanyagok_DID!E53='DID List'!$A$7),TRUE,FALSE)</f>
        <v>0</v>
      </c>
      <c r="AG53" s="131" t="b">
        <f>IF(AND(O53=Auswahldaten!$A$12,Alapanyagok_DID!F53='DID List'!$A$7),TRUE,FALSE)</f>
        <v>0</v>
      </c>
      <c r="AH53" s="131" t="b">
        <f>IF(Alapanyagok_DID!F53='DID List'!$A$7,TRUE,FALSE)</f>
        <v>0</v>
      </c>
      <c r="AI53" s="131" t="b">
        <f>IF(P53=Auswahldaten!$A$12,TRUE,FALSE)</f>
        <v>0</v>
      </c>
      <c r="AJ53" s="131" t="b">
        <f>IF(AND(ISERROR(SEARCH("H400",J53))=FALSE,H53=Auswahldaten!$A$16)=TRUE,TRUE,FALSE)</f>
        <v>0</v>
      </c>
      <c r="AK53" s="131" t="b">
        <f>IF(AND(ISERROR(SEARCH($AK$11,J53))=FALSE,H53=Auswahldaten!$A$16)=TRUE,TRUE,FALSE)</f>
        <v>0</v>
      </c>
      <c r="AL53" s="131" t="b">
        <f>IF(AND(ISERROR(SEARCH("H317",J53))=FALSE,H53=Auswahldaten!$A$21)=TRUE,TRUE,FALSE)</f>
        <v>0</v>
      </c>
      <c r="AM53" s="131" t="b">
        <f>IF(AND(ISERROR(SEARCH("H334",J53))=FALSE,H53=Auswahldaten!$A$21)=TRUE,TRUE,FALSE)</f>
        <v>0</v>
      </c>
      <c r="AN53" s="131" t="b">
        <f t="shared" si="6"/>
        <v>0</v>
      </c>
      <c r="AP53" s="731">
        <f t="shared" si="7"/>
        <v>0</v>
      </c>
      <c r="AQ53" s="131" t="b">
        <f>IF(AND(H53=Auswahldaten!A$20,OR(Alapanyagok!L53=Auswahldaten!A$52,Alapanyagok!L53=Auswahldaten!A$53)),TRUE,FALSE)</f>
        <v>0</v>
      </c>
      <c r="AR53" s="523">
        <f>IF(K53=Auswahldaten!$A$61,1,0)</f>
        <v>0</v>
      </c>
    </row>
    <row r="54" spans="1:44" ht="15.5">
      <c r="A54" s="35">
        <v>43</v>
      </c>
      <c r="B54" s="72"/>
      <c r="C54" s="123"/>
      <c r="D54" s="267" t="str">
        <f>IF(C54="","",VLOOKUP(C54,Összetétel!$B$13:$E$61,4,FALSE))</f>
        <v/>
      </c>
      <c r="E54" s="82"/>
      <c r="F54" s="122">
        <f t="shared" si="1"/>
        <v>0</v>
      </c>
      <c r="G54" s="879"/>
      <c r="H54" s="72"/>
      <c r="I54" s="122" t="str">
        <f t="shared" si="9"/>
        <v/>
      </c>
      <c r="J54" s="87"/>
      <c r="K54" s="72"/>
      <c r="L54" s="71"/>
      <c r="M54" s="606"/>
      <c r="N54" s="607"/>
      <c r="O54" s="82"/>
      <c r="P54" s="82"/>
      <c r="Q54" s="272" t="str">
        <f>IF(B54="","",IF(OR(H54=Fordítások!$C$70,H54=Fordítások!$B$70),"Y","N"))</f>
        <v/>
      </c>
      <c r="R54" s="272" t="str">
        <f t="shared" si="2"/>
        <v>N</v>
      </c>
      <c r="S54" s="272" t="str">
        <f t="shared" si="3"/>
        <v>N</v>
      </c>
      <c r="T54" s="272" t="str">
        <f t="shared" si="3"/>
        <v>N</v>
      </c>
      <c r="U54" s="82"/>
      <c r="V54" s="273"/>
      <c r="W54" s="737"/>
      <c r="X54" s="16"/>
      <c r="Y54">
        <f t="shared" si="8"/>
        <v>0</v>
      </c>
      <c r="AA54" s="131" t="b">
        <f>IF(H54=Auswahldaten!$A$16,TRUE,FALSE)</f>
        <v>0</v>
      </c>
      <c r="AB54" s="131" t="b">
        <f>IF(Alapanyagok_DID!O54="R",TRUE,FALSE)</f>
        <v>0</v>
      </c>
      <c r="AC54" s="131" t="b">
        <f t="shared" si="4"/>
        <v>0</v>
      </c>
      <c r="AD54" s="131" t="b">
        <f>IF(Alapanyagok_DID!K54=Auswahldaten!$A$12,TRUE,FALSE)</f>
        <v>0</v>
      </c>
      <c r="AE54" s="131" t="b">
        <f t="shared" si="5"/>
        <v>0</v>
      </c>
      <c r="AF54" s="131" t="b">
        <f>IF(AND(AA54=TRUE,Alapanyagok_DID!E54='DID List'!$A$7),TRUE,FALSE)</f>
        <v>0</v>
      </c>
      <c r="AG54" s="131" t="b">
        <f>IF(AND(O54=Auswahldaten!$A$12,Alapanyagok_DID!F54='DID List'!$A$7),TRUE,FALSE)</f>
        <v>0</v>
      </c>
      <c r="AH54" s="131" t="b">
        <f>IF(Alapanyagok_DID!F54='DID List'!$A$7,TRUE,FALSE)</f>
        <v>0</v>
      </c>
      <c r="AI54" s="131" t="b">
        <f>IF(P54=Auswahldaten!$A$12,TRUE,FALSE)</f>
        <v>0</v>
      </c>
      <c r="AJ54" s="131" t="b">
        <f>IF(AND(ISERROR(SEARCH("H400",J54))=FALSE,H54=Auswahldaten!$A$16)=TRUE,TRUE,FALSE)</f>
        <v>0</v>
      </c>
      <c r="AK54" s="131" t="b">
        <f>IF(AND(ISERROR(SEARCH($AK$11,J54))=FALSE,H54=Auswahldaten!$A$16)=TRUE,TRUE,FALSE)</f>
        <v>0</v>
      </c>
      <c r="AL54" s="131" t="b">
        <f>IF(AND(ISERROR(SEARCH("H317",J54))=FALSE,H54=Auswahldaten!$A$21)=TRUE,TRUE,FALSE)</f>
        <v>0</v>
      </c>
      <c r="AM54" s="131" t="b">
        <f>IF(AND(ISERROR(SEARCH("H334",J54))=FALSE,H54=Auswahldaten!$A$21)=TRUE,TRUE,FALSE)</f>
        <v>0</v>
      </c>
      <c r="AN54" s="131" t="b">
        <f t="shared" si="6"/>
        <v>0</v>
      </c>
      <c r="AP54" s="731">
        <f t="shared" si="7"/>
        <v>0</v>
      </c>
      <c r="AQ54" s="131" t="b">
        <f>IF(AND(H54=Auswahldaten!A$20,OR(Alapanyagok!L54=Auswahldaten!A$52,Alapanyagok!L54=Auswahldaten!A$53)),TRUE,FALSE)</f>
        <v>0</v>
      </c>
      <c r="AR54" s="523">
        <f>IF(K54=Auswahldaten!$A$61,1,0)</f>
        <v>0</v>
      </c>
    </row>
    <row r="55" spans="1:44" ht="15.5">
      <c r="A55" s="35">
        <v>44</v>
      </c>
      <c r="B55" s="72"/>
      <c r="C55" s="123"/>
      <c r="D55" s="267" t="str">
        <f>IF(C55="","",VLOOKUP(C55,Összetétel!$B$13:$E$61,4,FALSE))</f>
        <v/>
      </c>
      <c r="E55" s="82"/>
      <c r="F55" s="122">
        <f t="shared" si="1"/>
        <v>0</v>
      </c>
      <c r="G55" s="879"/>
      <c r="H55" s="72"/>
      <c r="I55" s="122" t="str">
        <f t="shared" si="9"/>
        <v/>
      </c>
      <c r="J55" s="87"/>
      <c r="K55" s="72"/>
      <c r="L55" s="71"/>
      <c r="M55" s="606"/>
      <c r="N55" s="607"/>
      <c r="O55" s="82"/>
      <c r="P55" s="82"/>
      <c r="Q55" s="272" t="str">
        <f>IF(B55="","",IF(OR(H55=Fordítások!$C$70,H55=Fordítások!$B$70),"Y","N"))</f>
        <v/>
      </c>
      <c r="R55" s="272" t="str">
        <f t="shared" si="2"/>
        <v>N</v>
      </c>
      <c r="S55" s="272" t="str">
        <f t="shared" si="3"/>
        <v>N</v>
      </c>
      <c r="T55" s="272" t="str">
        <f t="shared" si="3"/>
        <v>N</v>
      </c>
      <c r="U55" s="82"/>
      <c r="V55" s="273"/>
      <c r="W55" s="737"/>
      <c r="X55" s="16"/>
      <c r="Y55">
        <f t="shared" si="8"/>
        <v>0</v>
      </c>
      <c r="AA55" s="131" t="b">
        <f>IF(H55=Auswahldaten!$A$16,TRUE,FALSE)</f>
        <v>0</v>
      </c>
      <c r="AB55" s="131" t="b">
        <f>IF(Alapanyagok_DID!O55="R",TRUE,FALSE)</f>
        <v>0</v>
      </c>
      <c r="AC55" s="131" t="b">
        <f t="shared" si="4"/>
        <v>0</v>
      </c>
      <c r="AD55" s="131" t="b">
        <f>IF(Alapanyagok_DID!K55=Auswahldaten!$A$12,TRUE,FALSE)</f>
        <v>0</v>
      </c>
      <c r="AE55" s="131" t="b">
        <f t="shared" si="5"/>
        <v>0</v>
      </c>
      <c r="AF55" s="131" t="b">
        <f>IF(AND(AA55=TRUE,Alapanyagok_DID!E55='DID List'!$A$7),TRUE,FALSE)</f>
        <v>0</v>
      </c>
      <c r="AG55" s="131" t="b">
        <f>IF(AND(O55=Auswahldaten!$A$12,Alapanyagok_DID!F55='DID List'!$A$7),TRUE,FALSE)</f>
        <v>0</v>
      </c>
      <c r="AH55" s="131" t="b">
        <f>IF(Alapanyagok_DID!F55='DID List'!$A$7,TRUE,FALSE)</f>
        <v>0</v>
      </c>
      <c r="AI55" s="131" t="b">
        <f>IF(P55=Auswahldaten!$A$12,TRUE,FALSE)</f>
        <v>0</v>
      </c>
      <c r="AJ55" s="131" t="b">
        <f>IF(AND(ISERROR(SEARCH("H400",J55))=FALSE,H55=Auswahldaten!$A$16)=TRUE,TRUE,FALSE)</f>
        <v>0</v>
      </c>
      <c r="AK55" s="131" t="b">
        <f>IF(AND(ISERROR(SEARCH($AK$11,J55))=FALSE,H55=Auswahldaten!$A$16)=TRUE,TRUE,FALSE)</f>
        <v>0</v>
      </c>
      <c r="AL55" s="131" t="b">
        <f>IF(AND(ISERROR(SEARCH("H317",J55))=FALSE,H55=Auswahldaten!$A$21)=TRUE,TRUE,FALSE)</f>
        <v>0</v>
      </c>
      <c r="AM55" s="131" t="b">
        <f>IF(AND(ISERROR(SEARCH("H334",J55))=FALSE,H55=Auswahldaten!$A$21)=TRUE,TRUE,FALSE)</f>
        <v>0</v>
      </c>
      <c r="AN55" s="131" t="b">
        <f t="shared" si="6"/>
        <v>0</v>
      </c>
      <c r="AP55" s="731">
        <f t="shared" si="7"/>
        <v>0</v>
      </c>
      <c r="AQ55" s="131" t="b">
        <f>IF(AND(H55=Auswahldaten!A$20,OR(Alapanyagok!L55=Auswahldaten!A$52,Alapanyagok!L55=Auswahldaten!A$53)),TRUE,FALSE)</f>
        <v>0</v>
      </c>
      <c r="AR55" s="523">
        <f>IF(K55=Auswahldaten!$A$61,1,0)</f>
        <v>0</v>
      </c>
    </row>
    <row r="56" spans="1:44" ht="15.5">
      <c r="A56" s="35">
        <v>45</v>
      </c>
      <c r="B56" s="72"/>
      <c r="C56" s="123"/>
      <c r="D56" s="267" t="str">
        <f>IF(C56="","",VLOOKUP(C56,Összetétel!$B$13:$E$61,4,FALSE))</f>
        <v/>
      </c>
      <c r="E56" s="82"/>
      <c r="F56" s="122">
        <f t="shared" si="1"/>
        <v>0</v>
      </c>
      <c r="G56" s="879"/>
      <c r="H56" s="72"/>
      <c r="I56" s="122" t="str">
        <f t="shared" si="9"/>
        <v/>
      </c>
      <c r="J56" s="87"/>
      <c r="K56" s="72"/>
      <c r="L56" s="71"/>
      <c r="M56" s="606"/>
      <c r="N56" s="607"/>
      <c r="O56" s="82"/>
      <c r="P56" s="82"/>
      <c r="Q56" s="272" t="str">
        <f>IF(B56="","",IF(OR(H56=Fordítások!$C$70,H56=Fordítások!$B$70),"Y","N"))</f>
        <v/>
      </c>
      <c r="R56" s="272" t="str">
        <f t="shared" si="2"/>
        <v>N</v>
      </c>
      <c r="S56" s="272" t="str">
        <f t="shared" si="3"/>
        <v>N</v>
      </c>
      <c r="T56" s="272" t="str">
        <f t="shared" si="3"/>
        <v>N</v>
      </c>
      <c r="U56" s="82"/>
      <c r="V56" s="273"/>
      <c r="W56" s="737"/>
      <c r="X56" s="16"/>
      <c r="Y56">
        <f t="shared" si="8"/>
        <v>0</v>
      </c>
      <c r="AA56" s="131" t="b">
        <f>IF(H56=Auswahldaten!$A$16,TRUE,FALSE)</f>
        <v>0</v>
      </c>
      <c r="AB56" s="131" t="b">
        <f>IF(Alapanyagok_DID!O56="R",TRUE,FALSE)</f>
        <v>0</v>
      </c>
      <c r="AC56" s="131" t="b">
        <f t="shared" si="4"/>
        <v>0</v>
      </c>
      <c r="AD56" s="131" t="b">
        <f>IF(Alapanyagok_DID!K56=Auswahldaten!$A$12,TRUE,FALSE)</f>
        <v>0</v>
      </c>
      <c r="AE56" s="131" t="b">
        <f t="shared" si="5"/>
        <v>0</v>
      </c>
      <c r="AF56" s="131" t="b">
        <f>IF(AND(AA56=TRUE,Alapanyagok_DID!E56='DID List'!$A$7),TRUE,FALSE)</f>
        <v>0</v>
      </c>
      <c r="AG56" s="131" t="b">
        <f>IF(AND(O56=Auswahldaten!$A$12,Alapanyagok_DID!F56='DID List'!$A$7),TRUE,FALSE)</f>
        <v>0</v>
      </c>
      <c r="AH56" s="131" t="b">
        <f>IF(Alapanyagok_DID!F56='DID List'!$A$7,TRUE,FALSE)</f>
        <v>0</v>
      </c>
      <c r="AI56" s="131" t="b">
        <f>IF(P56=Auswahldaten!$A$12,TRUE,FALSE)</f>
        <v>0</v>
      </c>
      <c r="AJ56" s="131" t="b">
        <f>IF(AND(ISERROR(SEARCH("H400",J56))=FALSE,H56=Auswahldaten!$A$16)=TRUE,TRUE,FALSE)</f>
        <v>0</v>
      </c>
      <c r="AK56" s="131" t="b">
        <f>IF(AND(ISERROR(SEARCH($AK$11,J56))=FALSE,H56=Auswahldaten!$A$16)=TRUE,TRUE,FALSE)</f>
        <v>0</v>
      </c>
      <c r="AL56" s="131" t="b">
        <f>IF(AND(ISERROR(SEARCH("H317",J56))=FALSE,H56=Auswahldaten!$A$21)=TRUE,TRUE,FALSE)</f>
        <v>0</v>
      </c>
      <c r="AM56" s="131" t="b">
        <f>IF(AND(ISERROR(SEARCH("H334",J56))=FALSE,H56=Auswahldaten!$A$21)=TRUE,TRUE,FALSE)</f>
        <v>0</v>
      </c>
      <c r="AN56" s="131" t="b">
        <f t="shared" si="6"/>
        <v>0</v>
      </c>
      <c r="AP56" s="731">
        <f t="shared" si="7"/>
        <v>0</v>
      </c>
      <c r="AQ56" s="131" t="b">
        <f>IF(AND(H56=Auswahldaten!A$20,OR(Alapanyagok!L56=Auswahldaten!A$52,Alapanyagok!L56=Auswahldaten!A$53)),TRUE,FALSE)</f>
        <v>0</v>
      </c>
      <c r="AR56" s="523">
        <f>IF(K56=Auswahldaten!$A$61,1,0)</f>
        <v>0</v>
      </c>
    </row>
    <row r="57" spans="1:44" ht="15.5">
      <c r="A57" s="35">
        <v>46</v>
      </c>
      <c r="B57" s="72"/>
      <c r="C57" s="123"/>
      <c r="D57" s="267" t="str">
        <f>IF(C57="","",VLOOKUP(C57,Összetétel!$B$13:$E$61,4,FALSE))</f>
        <v/>
      </c>
      <c r="E57" s="82"/>
      <c r="F57" s="122">
        <f t="shared" si="1"/>
        <v>0</v>
      </c>
      <c r="G57" s="879"/>
      <c r="H57" s="72"/>
      <c r="I57" s="122" t="str">
        <f t="shared" si="9"/>
        <v/>
      </c>
      <c r="J57" s="87"/>
      <c r="K57" s="72"/>
      <c r="L57" s="71"/>
      <c r="M57" s="606"/>
      <c r="N57" s="607"/>
      <c r="O57" s="82"/>
      <c r="P57" s="82"/>
      <c r="Q57" s="272" t="str">
        <f>IF(B57="","",IF(OR(H57=Fordítások!$C$70,H57=Fordítások!$B$70),"Y","N"))</f>
        <v/>
      </c>
      <c r="R57" s="272" t="str">
        <f t="shared" si="2"/>
        <v>N</v>
      </c>
      <c r="S57" s="272" t="str">
        <f t="shared" si="3"/>
        <v>N</v>
      </c>
      <c r="T57" s="272" t="str">
        <f t="shared" si="3"/>
        <v>N</v>
      </c>
      <c r="U57" s="82"/>
      <c r="V57" s="273"/>
      <c r="W57" s="737"/>
      <c r="X57" s="16"/>
      <c r="Y57">
        <f t="shared" si="8"/>
        <v>0</v>
      </c>
      <c r="AA57" s="131" t="b">
        <f>IF(H57=Auswahldaten!$A$16,TRUE,FALSE)</f>
        <v>0</v>
      </c>
      <c r="AB57" s="131" t="b">
        <f>IF(Alapanyagok_DID!O57="R",TRUE,FALSE)</f>
        <v>0</v>
      </c>
      <c r="AC57" s="131" t="b">
        <f t="shared" si="4"/>
        <v>0</v>
      </c>
      <c r="AD57" s="131" t="b">
        <f>IF(Alapanyagok_DID!K57=Auswahldaten!$A$12,TRUE,FALSE)</f>
        <v>0</v>
      </c>
      <c r="AE57" s="131" t="b">
        <f t="shared" si="5"/>
        <v>0</v>
      </c>
      <c r="AF57" s="131" t="b">
        <f>IF(AND(AA57=TRUE,Alapanyagok_DID!E57='DID List'!$A$7),TRUE,FALSE)</f>
        <v>0</v>
      </c>
      <c r="AG57" s="131" t="b">
        <f>IF(AND(O57=Auswahldaten!$A$12,Alapanyagok_DID!F57='DID List'!$A$7),TRUE,FALSE)</f>
        <v>0</v>
      </c>
      <c r="AH57" s="131" t="b">
        <f>IF(Alapanyagok_DID!F57='DID List'!$A$7,TRUE,FALSE)</f>
        <v>0</v>
      </c>
      <c r="AI57" s="131" t="b">
        <f>IF(P57=Auswahldaten!$A$12,TRUE,FALSE)</f>
        <v>0</v>
      </c>
      <c r="AJ57" s="131" t="b">
        <f>IF(AND(ISERROR(SEARCH("H400",J57))=FALSE,H57=Auswahldaten!$A$16)=TRUE,TRUE,FALSE)</f>
        <v>0</v>
      </c>
      <c r="AK57" s="131" t="b">
        <f>IF(AND(ISERROR(SEARCH($AK$11,J57))=FALSE,H57=Auswahldaten!$A$16)=TRUE,TRUE,FALSE)</f>
        <v>0</v>
      </c>
      <c r="AL57" s="131" t="b">
        <f>IF(AND(ISERROR(SEARCH("H317",J57))=FALSE,H57=Auswahldaten!$A$21)=TRUE,TRUE,FALSE)</f>
        <v>0</v>
      </c>
      <c r="AM57" s="131" t="b">
        <f>IF(AND(ISERROR(SEARCH("H334",J57))=FALSE,H57=Auswahldaten!$A$21)=TRUE,TRUE,FALSE)</f>
        <v>0</v>
      </c>
      <c r="AN57" s="131" t="b">
        <f t="shared" si="6"/>
        <v>0</v>
      </c>
      <c r="AP57" s="731">
        <f t="shared" si="7"/>
        <v>0</v>
      </c>
      <c r="AQ57" s="131" t="b">
        <f>IF(AND(H57=Auswahldaten!A$20,OR(Alapanyagok!L57=Auswahldaten!A$52,Alapanyagok!L57=Auswahldaten!A$53)),TRUE,FALSE)</f>
        <v>0</v>
      </c>
      <c r="AR57" s="523">
        <f>IF(K57=Auswahldaten!$A$61,1,0)</f>
        <v>0</v>
      </c>
    </row>
    <row r="58" spans="1:44" ht="15.5">
      <c r="A58" s="35">
        <v>47</v>
      </c>
      <c r="B58" s="72"/>
      <c r="C58" s="123"/>
      <c r="D58" s="267" t="str">
        <f>IF(C58="","",VLOOKUP(C58,Összetétel!$B$13:$E$61,4,FALSE))</f>
        <v/>
      </c>
      <c r="E58" s="82"/>
      <c r="F58" s="122">
        <f t="shared" si="1"/>
        <v>0</v>
      </c>
      <c r="G58" s="879"/>
      <c r="H58" s="72"/>
      <c r="I58" s="122" t="str">
        <f t="shared" si="9"/>
        <v/>
      </c>
      <c r="J58" s="87"/>
      <c r="K58" s="72"/>
      <c r="L58" s="71"/>
      <c r="M58" s="606"/>
      <c r="N58" s="607"/>
      <c r="O58" s="82"/>
      <c r="P58" s="82"/>
      <c r="Q58" s="272" t="str">
        <f>IF(B58="","",IF(OR(H58=Fordítások!$C$70,H58=Fordítások!$B$70),"Y","N"))</f>
        <v/>
      </c>
      <c r="R58" s="272" t="str">
        <f t="shared" si="2"/>
        <v>N</v>
      </c>
      <c r="S58" s="272" t="str">
        <f t="shared" si="3"/>
        <v>N</v>
      </c>
      <c r="T58" s="272" t="str">
        <f t="shared" si="3"/>
        <v>N</v>
      </c>
      <c r="U58" s="82"/>
      <c r="V58" s="273"/>
      <c r="W58" s="737"/>
      <c r="X58" s="16"/>
      <c r="Y58">
        <f t="shared" si="8"/>
        <v>0</v>
      </c>
      <c r="AA58" s="131" t="b">
        <f>IF(H58=Auswahldaten!$A$16,TRUE,FALSE)</f>
        <v>0</v>
      </c>
      <c r="AB58" s="131" t="b">
        <f>IF(Alapanyagok_DID!O58="R",TRUE,FALSE)</f>
        <v>0</v>
      </c>
      <c r="AC58" s="131" t="b">
        <f t="shared" si="4"/>
        <v>0</v>
      </c>
      <c r="AD58" s="131" t="b">
        <f>IF(Alapanyagok_DID!K58=Auswahldaten!$A$12,TRUE,FALSE)</f>
        <v>0</v>
      </c>
      <c r="AE58" s="131" t="b">
        <f t="shared" si="5"/>
        <v>0</v>
      </c>
      <c r="AF58" s="131" t="b">
        <f>IF(AND(AA58=TRUE,Alapanyagok_DID!E58='DID List'!$A$7),TRUE,FALSE)</f>
        <v>0</v>
      </c>
      <c r="AG58" s="131" t="b">
        <f>IF(AND(O58=Auswahldaten!$A$12,Alapanyagok_DID!F58='DID List'!$A$7),TRUE,FALSE)</f>
        <v>0</v>
      </c>
      <c r="AH58" s="131" t="b">
        <f>IF(Alapanyagok_DID!F58='DID List'!$A$7,TRUE,FALSE)</f>
        <v>0</v>
      </c>
      <c r="AI58" s="131" t="b">
        <f>IF(P58=Auswahldaten!$A$12,TRUE,FALSE)</f>
        <v>0</v>
      </c>
      <c r="AJ58" s="131" t="b">
        <f>IF(AND(ISERROR(SEARCH("H400",J58))=FALSE,H58=Auswahldaten!$A$16)=TRUE,TRUE,FALSE)</f>
        <v>0</v>
      </c>
      <c r="AK58" s="131" t="b">
        <f>IF(AND(ISERROR(SEARCH($AK$11,J58))=FALSE,H58=Auswahldaten!$A$16)=TRUE,TRUE,FALSE)</f>
        <v>0</v>
      </c>
      <c r="AL58" s="131" t="b">
        <f>IF(AND(ISERROR(SEARCH("H317",J58))=FALSE,H58=Auswahldaten!$A$21)=TRUE,TRUE,FALSE)</f>
        <v>0</v>
      </c>
      <c r="AM58" s="131" t="b">
        <f>IF(AND(ISERROR(SEARCH("H334",J58))=FALSE,H58=Auswahldaten!$A$21)=TRUE,TRUE,FALSE)</f>
        <v>0</v>
      </c>
      <c r="AN58" s="131" t="b">
        <f t="shared" si="6"/>
        <v>0</v>
      </c>
      <c r="AP58" s="731">
        <f t="shared" si="7"/>
        <v>0</v>
      </c>
      <c r="AQ58" s="131" t="b">
        <f>IF(AND(H58=Auswahldaten!A$20,OR(Alapanyagok!L58=Auswahldaten!A$52,Alapanyagok!L58=Auswahldaten!A$53)),TRUE,FALSE)</f>
        <v>0</v>
      </c>
      <c r="AR58" s="523">
        <f>IF(K58=Auswahldaten!$A$61,1,0)</f>
        <v>0</v>
      </c>
    </row>
    <row r="59" spans="1:44" ht="15.5">
      <c r="A59" s="35">
        <v>48</v>
      </c>
      <c r="B59" s="72"/>
      <c r="C59" s="123"/>
      <c r="D59" s="267" t="str">
        <f>IF(C59="","",VLOOKUP(C59,Összetétel!$B$13:$E$61,4,FALSE))</f>
        <v/>
      </c>
      <c r="E59" s="82"/>
      <c r="F59" s="122">
        <f t="shared" si="1"/>
        <v>0</v>
      </c>
      <c r="G59" s="879"/>
      <c r="H59" s="72"/>
      <c r="I59" s="122" t="str">
        <f t="shared" si="9"/>
        <v/>
      </c>
      <c r="J59" s="87"/>
      <c r="K59" s="72"/>
      <c r="L59" s="71"/>
      <c r="M59" s="606"/>
      <c r="N59" s="607"/>
      <c r="O59" s="82"/>
      <c r="P59" s="82"/>
      <c r="Q59" s="272" t="str">
        <f>IF(B59="","",IF(OR(H59=Fordítások!$C$70,H59=Fordítások!$B$70),"Y","N"))</f>
        <v/>
      </c>
      <c r="R59" s="272" t="str">
        <f t="shared" si="2"/>
        <v>N</v>
      </c>
      <c r="S59" s="272" t="str">
        <f t="shared" si="3"/>
        <v>N</v>
      </c>
      <c r="T59" s="272" t="str">
        <f t="shared" si="3"/>
        <v>N</v>
      </c>
      <c r="U59" s="82"/>
      <c r="V59" s="273"/>
      <c r="W59" s="737"/>
      <c r="X59" s="16"/>
      <c r="Y59">
        <f t="shared" si="8"/>
        <v>0</v>
      </c>
      <c r="AA59" s="131" t="b">
        <f>IF(H59=Auswahldaten!$A$16,TRUE,FALSE)</f>
        <v>0</v>
      </c>
      <c r="AB59" s="131" t="b">
        <f>IF(Alapanyagok_DID!O59="R",TRUE,FALSE)</f>
        <v>0</v>
      </c>
      <c r="AC59" s="131" t="b">
        <f t="shared" si="4"/>
        <v>0</v>
      </c>
      <c r="AD59" s="131" t="b">
        <f>IF(Alapanyagok_DID!K59=Auswahldaten!$A$12,TRUE,FALSE)</f>
        <v>0</v>
      </c>
      <c r="AE59" s="131" t="b">
        <f t="shared" si="5"/>
        <v>0</v>
      </c>
      <c r="AF59" s="131" t="b">
        <f>IF(AND(AA59=TRUE,Alapanyagok_DID!E59='DID List'!$A$7),TRUE,FALSE)</f>
        <v>0</v>
      </c>
      <c r="AG59" s="131" t="b">
        <f>IF(AND(O59=Auswahldaten!$A$12,Alapanyagok_DID!F59='DID List'!$A$7),TRUE,FALSE)</f>
        <v>0</v>
      </c>
      <c r="AH59" s="131" t="b">
        <f>IF(Alapanyagok_DID!F59='DID List'!$A$7,TRUE,FALSE)</f>
        <v>0</v>
      </c>
      <c r="AI59" s="131" t="b">
        <f>IF(P59=Auswahldaten!$A$12,TRUE,FALSE)</f>
        <v>0</v>
      </c>
      <c r="AJ59" s="131" t="b">
        <f>IF(AND(ISERROR(SEARCH("H400",J59))=FALSE,H59=Auswahldaten!$A$16)=TRUE,TRUE,FALSE)</f>
        <v>0</v>
      </c>
      <c r="AK59" s="131" t="b">
        <f>IF(AND(ISERROR(SEARCH($AK$11,J59))=FALSE,H59=Auswahldaten!$A$16)=TRUE,TRUE,FALSE)</f>
        <v>0</v>
      </c>
      <c r="AL59" s="131" t="b">
        <f>IF(AND(ISERROR(SEARCH("H317",J59))=FALSE,H59=Auswahldaten!$A$21)=TRUE,TRUE,FALSE)</f>
        <v>0</v>
      </c>
      <c r="AM59" s="131" t="b">
        <f>IF(AND(ISERROR(SEARCH("H334",J59))=FALSE,H59=Auswahldaten!$A$21)=TRUE,TRUE,FALSE)</f>
        <v>0</v>
      </c>
      <c r="AN59" s="131" t="b">
        <f t="shared" si="6"/>
        <v>0</v>
      </c>
      <c r="AP59" s="731">
        <f t="shared" si="7"/>
        <v>0</v>
      </c>
      <c r="AQ59" s="131" t="b">
        <f>IF(AND(H59=Auswahldaten!A$20,OR(Alapanyagok!L59=Auswahldaten!A$52,Alapanyagok!L59=Auswahldaten!A$53)),TRUE,FALSE)</f>
        <v>0</v>
      </c>
      <c r="AR59" s="523">
        <f>IF(K59=Auswahldaten!$A$61,1,0)</f>
        <v>0</v>
      </c>
    </row>
    <row r="60" spans="1:44" ht="15.5">
      <c r="A60" s="35">
        <v>49</v>
      </c>
      <c r="B60" s="72"/>
      <c r="C60" s="123"/>
      <c r="D60" s="267" t="str">
        <f>IF(C60="","",VLOOKUP(C60,Összetétel!$B$13:$E$61,4,FALSE))</f>
        <v/>
      </c>
      <c r="E60" s="82"/>
      <c r="F60" s="122">
        <f t="shared" si="1"/>
        <v>0</v>
      </c>
      <c r="G60" s="879"/>
      <c r="H60" s="72"/>
      <c r="I60" s="122" t="str">
        <f t="shared" si="9"/>
        <v/>
      </c>
      <c r="J60" s="87"/>
      <c r="K60" s="72"/>
      <c r="L60" s="71"/>
      <c r="M60" s="606"/>
      <c r="N60" s="607"/>
      <c r="O60" s="82"/>
      <c r="P60" s="82"/>
      <c r="Q60" s="272" t="str">
        <f>IF(B60="","",IF(OR(H60=Fordítások!$C$70,H60=Fordítások!$B$70),"Y","N"))</f>
        <v/>
      </c>
      <c r="R60" s="272" t="str">
        <f t="shared" si="2"/>
        <v>N</v>
      </c>
      <c r="S60" s="272" t="str">
        <f t="shared" si="3"/>
        <v>N</v>
      </c>
      <c r="T60" s="272" t="str">
        <f t="shared" si="3"/>
        <v>N</v>
      </c>
      <c r="U60" s="82"/>
      <c r="V60" s="273"/>
      <c r="W60" s="737"/>
      <c r="X60" s="16"/>
      <c r="Y60">
        <f t="shared" si="8"/>
        <v>0</v>
      </c>
      <c r="AA60" s="131" t="b">
        <f>IF(H60=Auswahldaten!$A$16,TRUE,FALSE)</f>
        <v>0</v>
      </c>
      <c r="AB60" s="131" t="b">
        <f>IF(Alapanyagok_DID!O60="R",TRUE,FALSE)</f>
        <v>0</v>
      </c>
      <c r="AC60" s="131" t="b">
        <f t="shared" si="4"/>
        <v>0</v>
      </c>
      <c r="AD60" s="131" t="b">
        <f>IF(Alapanyagok_DID!K60=Auswahldaten!$A$12,TRUE,FALSE)</f>
        <v>0</v>
      </c>
      <c r="AE60" s="131" t="b">
        <f t="shared" si="5"/>
        <v>0</v>
      </c>
      <c r="AF60" s="131" t="b">
        <f>IF(AND(AA60=TRUE,Alapanyagok_DID!E60='DID List'!$A$7),TRUE,FALSE)</f>
        <v>0</v>
      </c>
      <c r="AG60" s="131" t="b">
        <f>IF(AND(O60=Auswahldaten!$A$12,Alapanyagok_DID!F60='DID List'!$A$7),TRUE,FALSE)</f>
        <v>0</v>
      </c>
      <c r="AH60" s="131" t="b">
        <f>IF(Alapanyagok_DID!F60='DID List'!$A$7,TRUE,FALSE)</f>
        <v>0</v>
      </c>
      <c r="AI60" s="131" t="b">
        <f>IF(P60=Auswahldaten!$A$12,TRUE,FALSE)</f>
        <v>0</v>
      </c>
      <c r="AJ60" s="131" t="b">
        <f>IF(AND(ISERROR(SEARCH("H400",J60))=FALSE,H60=Auswahldaten!$A$16)=TRUE,TRUE,FALSE)</f>
        <v>0</v>
      </c>
      <c r="AK60" s="131" t="b">
        <f>IF(AND(ISERROR(SEARCH($AK$11,J60))=FALSE,H60=Auswahldaten!$A$16)=TRUE,TRUE,FALSE)</f>
        <v>0</v>
      </c>
      <c r="AL60" s="131" t="b">
        <f>IF(AND(ISERROR(SEARCH("H317",J60))=FALSE,H60=Auswahldaten!$A$21)=TRUE,TRUE,FALSE)</f>
        <v>0</v>
      </c>
      <c r="AM60" s="131" t="b">
        <f>IF(AND(ISERROR(SEARCH("H334",J60))=FALSE,H60=Auswahldaten!$A$21)=TRUE,TRUE,FALSE)</f>
        <v>0</v>
      </c>
      <c r="AN60" s="131" t="b">
        <f t="shared" si="6"/>
        <v>0</v>
      </c>
      <c r="AP60" s="731">
        <f t="shared" si="7"/>
        <v>0</v>
      </c>
      <c r="AQ60" s="131" t="b">
        <f>IF(AND(H60=Auswahldaten!A$20,OR(Alapanyagok!L60=Auswahldaten!A$52,Alapanyagok!L60=Auswahldaten!A$53)),TRUE,FALSE)</f>
        <v>0</v>
      </c>
      <c r="AR60" s="523">
        <f>IF(K60=Auswahldaten!$A$61,1,0)</f>
        <v>0</v>
      </c>
    </row>
    <row r="61" spans="1:44" ht="15.5">
      <c r="A61" s="35">
        <v>50</v>
      </c>
      <c r="B61" s="72"/>
      <c r="C61" s="123"/>
      <c r="D61" s="267" t="str">
        <f>IF(C61="","",VLOOKUP(C61,Összetétel!$B$13:$E$61,4,FALSE))</f>
        <v/>
      </c>
      <c r="E61" s="82"/>
      <c r="F61" s="122">
        <f t="shared" si="1"/>
        <v>0</v>
      </c>
      <c r="G61" s="879"/>
      <c r="H61" s="72"/>
      <c r="I61" s="82" t="str">
        <f t="shared" si="9"/>
        <v/>
      </c>
      <c r="J61" s="87"/>
      <c r="K61" s="72"/>
      <c r="L61" s="71"/>
      <c r="M61" s="606"/>
      <c r="N61" s="607"/>
      <c r="O61" s="82"/>
      <c r="P61" s="82"/>
      <c r="Q61" s="272" t="str">
        <f>IF(B61="","",IF(OR(H61=Fordítások!$C$70,H61=Fordítások!$B$70),"Y","N"))</f>
        <v/>
      </c>
      <c r="R61" s="272" t="str">
        <f t="shared" si="2"/>
        <v>N</v>
      </c>
      <c r="S61" s="272" t="str">
        <f t="shared" si="3"/>
        <v>N</v>
      </c>
      <c r="T61" s="272" t="str">
        <f t="shared" si="3"/>
        <v>N</v>
      </c>
      <c r="U61" s="82"/>
      <c r="V61" s="273"/>
      <c r="W61" s="737"/>
      <c r="X61" s="16"/>
      <c r="Y61">
        <f t="shared" si="8"/>
        <v>0</v>
      </c>
      <c r="AA61" s="131" t="b">
        <f>IF(H61=Auswahldaten!$A$16,TRUE,FALSE)</f>
        <v>0</v>
      </c>
      <c r="AB61" s="131" t="b">
        <f>IF(Alapanyagok_DID!O61="R",TRUE,FALSE)</f>
        <v>0</v>
      </c>
      <c r="AC61" s="131" t="b">
        <f t="shared" si="4"/>
        <v>0</v>
      </c>
      <c r="AD61" s="131" t="b">
        <f>IF(Alapanyagok_DID!K61=Auswahldaten!$A$12,TRUE,FALSE)</f>
        <v>0</v>
      </c>
      <c r="AE61" s="131" t="b">
        <f t="shared" si="5"/>
        <v>0</v>
      </c>
      <c r="AF61" s="131" t="b">
        <f>IF(AND(AA61=TRUE,Alapanyagok_DID!E61='DID List'!$A$7),TRUE,FALSE)</f>
        <v>0</v>
      </c>
      <c r="AG61" s="131" t="b">
        <f>IF(AND(O61=Auswahldaten!$A$12,Alapanyagok_DID!F61='DID List'!$A$7),TRUE,FALSE)</f>
        <v>0</v>
      </c>
      <c r="AH61" s="131" t="b">
        <f>IF(Alapanyagok_DID!F61='DID List'!$A$7,TRUE,FALSE)</f>
        <v>0</v>
      </c>
      <c r="AI61" s="131" t="b">
        <f>IF(P61=Auswahldaten!$A$12,TRUE,FALSE)</f>
        <v>0</v>
      </c>
      <c r="AJ61" s="131" t="b">
        <f>IF(AND(ISERROR(SEARCH("H400",J61))=FALSE,H61=Auswahldaten!$A$16)=TRUE,TRUE,FALSE)</f>
        <v>0</v>
      </c>
      <c r="AK61" s="131" t="b">
        <f>IF(AND(ISERROR(SEARCH($AK$11,J61))=FALSE,H61=Auswahldaten!$A$16)=TRUE,TRUE,FALSE)</f>
        <v>0</v>
      </c>
      <c r="AL61" s="131" t="b">
        <f>IF(AND(ISERROR(SEARCH("H317",J61))=FALSE,H61=Auswahldaten!$A$21)=TRUE,TRUE,FALSE)</f>
        <v>0</v>
      </c>
      <c r="AM61" s="131" t="b">
        <f>IF(AND(ISERROR(SEARCH("H334",J61))=FALSE,H61=Auswahldaten!$A$21)=TRUE,TRUE,FALSE)</f>
        <v>0</v>
      </c>
      <c r="AN61" s="131" t="b">
        <f t="shared" si="6"/>
        <v>0</v>
      </c>
      <c r="AP61" s="731">
        <f t="shared" si="7"/>
        <v>0</v>
      </c>
      <c r="AQ61" s="131" t="b">
        <f>IF(AND(H61=Auswahldaten!A$20,OR(Alapanyagok!L61=Auswahldaten!A$52,Alapanyagok!L61=Auswahldaten!A$53)),TRUE,FALSE)</f>
        <v>0</v>
      </c>
      <c r="AR61" s="523">
        <f>IF(K61=Auswahldaten!$A$61,1,0)</f>
        <v>0</v>
      </c>
    </row>
    <row r="62" spans="1:25" ht="16" thickBot="1">
      <c r="A62" s="38"/>
      <c r="B62" s="92" t="str">
        <f>Összetétel!B62</f>
        <v>Összesen:</v>
      </c>
      <c r="C62" s="39"/>
      <c r="D62" s="39"/>
      <c r="E62" s="39"/>
      <c r="F62" s="39"/>
      <c r="G62" s="38"/>
      <c r="H62" s="63"/>
      <c r="I62" s="31">
        <f>SUM(I12:I61)</f>
        <v>0</v>
      </c>
      <c r="J62" s="42"/>
      <c r="K62" s="42"/>
      <c r="L62" s="42"/>
      <c r="M62" s="42"/>
      <c r="N62" s="42"/>
      <c r="O62" s="166"/>
      <c r="P62" s="166"/>
      <c r="Q62" s="166"/>
      <c r="R62" s="166"/>
      <c r="S62" s="166"/>
      <c r="T62" s="166"/>
      <c r="U62" s="166"/>
      <c r="V62" s="166"/>
      <c r="W62" s="737"/>
      <c r="X62" s="16"/>
      <c r="Y62" s="497" t="s">
        <v>1397</v>
      </c>
    </row>
    <row r="63" spans="1:44" ht="16" thickTop="1">
      <c r="A63" s="21"/>
      <c r="B63" s="18"/>
      <c r="C63" s="44"/>
      <c r="D63" s="44"/>
      <c r="E63" s="44"/>
      <c r="F63" s="44"/>
      <c r="G63" s="21"/>
      <c r="H63" s="44"/>
      <c r="I63" s="20" t="str">
        <f>IF(Adatlap!$L$1=Fordítások!C3,Fordítások!C25,Fordítások!B25)</f>
        <v>(100-t adjon ki!)</v>
      </c>
      <c r="J63" s="46"/>
      <c r="K63" s="46"/>
      <c r="L63" s="46"/>
      <c r="M63" s="46"/>
      <c r="N63" s="46"/>
      <c r="O63" s="167"/>
      <c r="P63" s="167"/>
      <c r="Q63" s="167"/>
      <c r="R63" s="167"/>
      <c r="S63" s="167"/>
      <c r="T63" s="167"/>
      <c r="U63" s="167"/>
      <c r="V63" s="167"/>
      <c r="W63" s="737"/>
      <c r="X63" s="16"/>
      <c r="Y63">
        <f>MAX(Y13:Y61)</f>
        <v>0</v>
      </c>
      <c r="AA63" s="735">
        <f aca="true" t="shared" si="10" ref="AA63:AG63">COUNTIFS(AA13:AA61,TRUE)</f>
        <v>0</v>
      </c>
      <c r="AB63" s="735">
        <f t="shared" si="10"/>
        <v>0</v>
      </c>
      <c r="AC63" s="735">
        <f t="shared" si="10"/>
        <v>0</v>
      </c>
      <c r="AD63" s="735">
        <f t="shared" si="10"/>
        <v>0</v>
      </c>
      <c r="AE63" s="735">
        <f t="shared" si="10"/>
        <v>0</v>
      </c>
      <c r="AF63" s="735">
        <f t="shared" si="10"/>
        <v>0</v>
      </c>
      <c r="AG63" s="735">
        <f t="shared" si="10"/>
        <v>0</v>
      </c>
      <c r="AH63" s="735">
        <f>COUNTIFS(AH13:AH61,TRUE)</f>
        <v>0</v>
      </c>
      <c r="AI63" s="735" t="str">
        <f>IF(COUNTIFS(AI13:AI61,TRUE)&gt;0,Auswahldaten!A12,Auswahldaten!A13)</f>
        <v>Nem</v>
      </c>
      <c r="AJ63" s="735">
        <f aca="true" t="shared" si="11" ref="AJ63:AN63">COUNTIFS(AJ13:AJ61,TRUE)</f>
        <v>0</v>
      </c>
      <c r="AK63" s="735">
        <f t="shared" si="11"/>
        <v>0</v>
      </c>
      <c r="AL63" s="735">
        <f t="shared" si="11"/>
        <v>0</v>
      </c>
      <c r="AM63" s="735">
        <f t="shared" si="11"/>
        <v>0</v>
      </c>
      <c r="AN63" s="735">
        <f t="shared" si="11"/>
        <v>0</v>
      </c>
      <c r="AR63" s="523">
        <f>SUM(AR13:AR61)</f>
        <v>0</v>
      </c>
    </row>
    <row r="64" spans="1:35" ht="15.5">
      <c r="A64" s="21"/>
      <c r="B64" s="44"/>
      <c r="C64" s="21"/>
      <c r="D64" s="21"/>
      <c r="E64" s="21"/>
      <c r="F64" s="21"/>
      <c r="G64" s="44"/>
      <c r="H64" s="44"/>
      <c r="I64" s="44"/>
      <c r="J64" s="44"/>
      <c r="K64" s="44"/>
      <c r="L64" s="47"/>
      <c r="M64" s="47"/>
      <c r="N64" s="47"/>
      <c r="O64" s="168"/>
      <c r="P64" s="168"/>
      <c r="Q64" s="168"/>
      <c r="R64" s="168"/>
      <c r="S64" s="168"/>
      <c r="T64" s="168"/>
      <c r="U64" s="168"/>
      <c r="V64" s="168"/>
      <c r="W64" s="737"/>
      <c r="X64" s="16"/>
      <c r="AI64" s="735">
        <f>COUNTIFS(AI13:AI61,TRUE)</f>
        <v>0</v>
      </c>
    </row>
    <row r="65" spans="1:24" ht="30" customHeight="1">
      <c r="A65" s="21"/>
      <c r="B65" s="1026" t="str">
        <f>Összetétel!B65:H65</f>
        <v>1) 1272/2008/EK rendelet az anyagok és keverékek osztályozásáról, címkézéséről és csomagolásáról, a 67/548/EGK és az 1999/45/EK irányelv módosításáról és hatályon kívül helyezéséről, valamint az 1907/2006/EK rendelet módosításáról</v>
      </c>
      <c r="C65" s="1040"/>
      <c r="D65" s="1040"/>
      <c r="E65" s="1040"/>
      <c r="F65" s="1040"/>
      <c r="G65" s="1040"/>
      <c r="H65" s="1040"/>
      <c r="I65" s="1040"/>
      <c r="J65" s="1040"/>
      <c r="K65" s="1040"/>
      <c r="L65" s="1040"/>
      <c r="M65" s="46"/>
      <c r="N65" s="46"/>
      <c r="O65" s="167"/>
      <c r="P65" s="167"/>
      <c r="Q65" s="167"/>
      <c r="R65" s="167"/>
      <c r="S65" s="167"/>
      <c r="T65" s="167"/>
      <c r="U65" s="167"/>
      <c r="V65" s="167"/>
      <c r="W65" s="737"/>
      <c r="X65" s="16"/>
    </row>
    <row r="66" spans="1:24" ht="25.5" customHeight="1">
      <c r="A66" s="21"/>
      <c r="B66" s="1058" t="str">
        <f>IF(Adatlap!$L$1=Fordítások!C3,Fordítások!C29,Fordítások!B29)</f>
        <v>2) Adjon meg minden, a termékben  ≥ 0,01% arányban jelen levő hozzáadott összetevőt, beleértve a tartósítószereket, illatanyagokat és színezékeket, koncentrációjuktól függetlenül. Amennyiben valamelyik felhasznált illatanyag aránya a termékben nagyobb, mint 0,01%, az illatanyag összetevőit kell felsorolni.</v>
      </c>
      <c r="C66" s="1058"/>
      <c r="D66" s="1058"/>
      <c r="E66" s="1058"/>
      <c r="F66" s="1058"/>
      <c r="G66" s="1058"/>
      <c r="H66" s="1058"/>
      <c r="I66" s="1058"/>
      <c r="J66" s="1058"/>
      <c r="K66" s="1058"/>
      <c r="L66" s="1058"/>
      <c r="M66" s="1058"/>
      <c r="N66" s="1058"/>
      <c r="O66" s="1058"/>
      <c r="P66" s="1058"/>
      <c r="Q66" s="1058"/>
      <c r="R66" s="1058"/>
      <c r="S66" s="1058"/>
      <c r="T66" s="1058"/>
      <c r="U66" s="1058"/>
      <c r="V66" s="1058"/>
      <c r="W66" s="737"/>
      <c r="X66" s="16"/>
    </row>
    <row r="67" spans="1:24" ht="15.5">
      <c r="A67" s="21"/>
      <c r="B67" s="44"/>
      <c r="C67" s="21"/>
      <c r="D67" s="21"/>
      <c r="E67" s="21"/>
      <c r="F67" s="21"/>
      <c r="G67" s="44"/>
      <c r="H67" s="44"/>
      <c r="I67" s="44"/>
      <c r="J67" s="44"/>
      <c r="K67" s="44"/>
      <c r="L67" s="47"/>
      <c r="M67" s="46"/>
      <c r="N67" s="46"/>
      <c r="O67" s="167"/>
      <c r="P67" s="167"/>
      <c r="Q67" s="167"/>
      <c r="R67" s="167"/>
      <c r="S67" s="167"/>
      <c r="T67" s="167"/>
      <c r="U67" s="167"/>
      <c r="V67" s="167"/>
      <c r="W67" s="737"/>
      <c r="X67" s="16"/>
    </row>
    <row r="68" spans="1:24" ht="46.5" customHeight="1">
      <c r="A68" s="14"/>
      <c r="B68" s="1041" t="str">
        <f>Összetétel!B67:H67</f>
        <v>A pályázó megjegyzései</v>
      </c>
      <c r="C68" s="1060"/>
      <c r="D68" s="1061"/>
      <c r="E68" s="1062"/>
      <c r="F68" s="1061"/>
      <c r="G68" s="1041"/>
      <c r="H68" s="1063"/>
      <c r="I68" s="1063"/>
      <c r="J68" s="1063"/>
      <c r="K68" s="1063"/>
      <c r="L68" s="1063"/>
      <c r="M68" s="1063"/>
      <c r="N68" s="1063"/>
      <c r="O68" s="1063"/>
      <c r="P68" s="1060"/>
      <c r="Q68" s="1061"/>
      <c r="R68" s="1061"/>
      <c r="S68" s="1061"/>
      <c r="T68" s="1061"/>
      <c r="U68" s="1041"/>
      <c r="V68" s="1060"/>
      <c r="W68" s="737"/>
      <c r="X68" s="16"/>
    </row>
    <row r="69" spans="1:24" ht="15.5">
      <c r="A69" s="21"/>
      <c r="B69" s="44"/>
      <c r="C69" s="21"/>
      <c r="D69" s="21"/>
      <c r="E69" s="21"/>
      <c r="F69" s="21"/>
      <c r="G69" s="44"/>
      <c r="H69" s="44"/>
      <c r="I69" s="44"/>
      <c r="J69" s="44"/>
      <c r="K69" s="44"/>
      <c r="L69" s="47"/>
      <c r="M69" s="46"/>
      <c r="N69" s="46"/>
      <c r="O69" s="167"/>
      <c r="P69" s="167"/>
      <c r="Q69" s="167"/>
      <c r="R69" s="167"/>
      <c r="S69" s="167"/>
      <c r="T69" s="167"/>
      <c r="U69" s="167"/>
      <c r="V69" s="167"/>
      <c r="W69" s="737"/>
      <c r="X69" s="16"/>
    </row>
    <row r="70" spans="1:24" ht="15.5">
      <c r="A70" s="51"/>
      <c r="B70" s="52"/>
      <c r="C70" s="51"/>
      <c r="D70" s="51"/>
      <c r="E70" s="51"/>
      <c r="F70" s="51"/>
      <c r="G70" s="52"/>
      <c r="H70" s="52"/>
      <c r="I70" s="52"/>
      <c r="J70" s="52"/>
      <c r="K70" s="52"/>
      <c r="L70" s="53"/>
      <c r="M70" s="46"/>
      <c r="N70" s="46"/>
      <c r="O70" s="167"/>
      <c r="P70" s="167"/>
      <c r="Q70" s="167"/>
      <c r="R70" s="167"/>
      <c r="S70" s="167"/>
      <c r="T70" s="167"/>
      <c r="U70" s="167"/>
      <c r="V70" s="167"/>
      <c r="W70" s="737"/>
      <c r="X70" s="16"/>
    </row>
    <row r="71" spans="1:24" ht="15.5">
      <c r="A71" s="51"/>
      <c r="B71" s="52"/>
      <c r="C71" s="51"/>
      <c r="D71" s="51"/>
      <c r="E71" s="51"/>
      <c r="F71" s="51"/>
      <c r="G71" s="52"/>
      <c r="H71" s="52"/>
      <c r="I71" s="52"/>
      <c r="J71" s="52"/>
      <c r="K71" s="52"/>
      <c r="L71" s="53"/>
      <c r="M71" s="53"/>
      <c r="N71" s="53"/>
      <c r="O71" s="169"/>
      <c r="P71" s="169"/>
      <c r="Q71" s="169"/>
      <c r="R71" s="169"/>
      <c r="S71" s="169"/>
      <c r="T71" s="169"/>
      <c r="U71" s="169"/>
      <c r="V71" s="169"/>
      <c r="W71" s="737"/>
      <c r="X71" s="16"/>
    </row>
    <row r="72" spans="1:24" ht="15.5">
      <c r="A72" s="51"/>
      <c r="B72" s="52"/>
      <c r="C72" s="51"/>
      <c r="D72" s="51"/>
      <c r="E72" s="51"/>
      <c r="F72" s="51"/>
      <c r="G72" s="52"/>
      <c r="H72" s="52"/>
      <c r="I72" s="52"/>
      <c r="J72" s="52"/>
      <c r="K72" s="52"/>
      <c r="L72" s="53"/>
      <c r="M72" s="53"/>
      <c r="N72" s="53"/>
      <c r="O72" s="169"/>
      <c r="P72" s="169"/>
      <c r="Q72" s="169"/>
      <c r="R72" s="169"/>
      <c r="S72" s="169"/>
      <c r="T72" s="169"/>
      <c r="U72" s="169"/>
      <c r="V72" s="169"/>
      <c r="W72" s="737"/>
      <c r="X72" s="16"/>
    </row>
    <row r="73" spans="1:24" ht="15.5">
      <c r="A73" s="51"/>
      <c r="B73" s="52"/>
      <c r="C73" s="51"/>
      <c r="D73" s="51"/>
      <c r="E73" s="51"/>
      <c r="F73" s="51"/>
      <c r="G73" s="52"/>
      <c r="H73" s="52"/>
      <c r="I73" s="52"/>
      <c r="J73" s="52"/>
      <c r="K73" s="52"/>
      <c r="L73" s="53"/>
      <c r="M73" s="53"/>
      <c r="N73" s="53"/>
      <c r="O73" s="169"/>
      <c r="P73" s="169"/>
      <c r="Q73" s="169"/>
      <c r="R73" s="169"/>
      <c r="S73" s="169"/>
      <c r="T73" s="169"/>
      <c r="U73" s="169"/>
      <c r="V73" s="169"/>
      <c r="W73" s="737"/>
      <c r="X73" s="16"/>
    </row>
    <row r="74" spans="1:24" ht="15.5">
      <c r="A74" s="51"/>
      <c r="B74" s="52"/>
      <c r="C74" s="51"/>
      <c r="D74" s="51"/>
      <c r="E74" s="51"/>
      <c r="F74" s="51"/>
      <c r="G74" s="52"/>
      <c r="H74" s="52"/>
      <c r="I74" s="52"/>
      <c r="J74" s="52"/>
      <c r="K74" s="52"/>
      <c r="L74" s="53"/>
      <c r="M74" s="53"/>
      <c r="N74" s="53"/>
      <c r="O74" s="169"/>
      <c r="P74" s="169"/>
      <c r="Q74" s="169"/>
      <c r="R74" s="169"/>
      <c r="S74" s="169"/>
      <c r="T74" s="169"/>
      <c r="U74" s="169"/>
      <c r="V74" s="169"/>
      <c r="W74" s="737"/>
      <c r="X74" s="16"/>
    </row>
    <row r="75" spans="1:24" ht="15.5">
      <c r="A75" s="51"/>
      <c r="B75" s="52"/>
      <c r="C75" s="51"/>
      <c r="D75" s="51"/>
      <c r="E75" s="51"/>
      <c r="F75" s="51"/>
      <c r="G75" s="52"/>
      <c r="H75" s="52"/>
      <c r="I75" s="52"/>
      <c r="J75" s="52"/>
      <c r="K75" s="52"/>
      <c r="L75" s="53"/>
      <c r="M75" s="53"/>
      <c r="N75" s="53"/>
      <c r="O75" s="169"/>
      <c r="P75" s="169"/>
      <c r="Q75" s="169"/>
      <c r="R75" s="169"/>
      <c r="S75" s="169"/>
      <c r="T75" s="169"/>
      <c r="U75" s="169"/>
      <c r="V75" s="169"/>
      <c r="W75" s="737"/>
      <c r="X75" s="16"/>
    </row>
    <row r="76" spans="1:24" ht="15.5">
      <c r="A76" s="51"/>
      <c r="B76" s="52"/>
      <c r="C76" s="51"/>
      <c r="D76" s="51"/>
      <c r="E76" s="51"/>
      <c r="F76" s="51"/>
      <c r="G76" s="52"/>
      <c r="H76" s="52"/>
      <c r="I76" s="52"/>
      <c r="J76" s="52"/>
      <c r="K76" s="52"/>
      <c r="L76" s="53"/>
      <c r="M76" s="53"/>
      <c r="N76" s="53"/>
      <c r="O76" s="169"/>
      <c r="P76" s="169"/>
      <c r="Q76" s="169"/>
      <c r="R76" s="169"/>
      <c r="S76" s="169"/>
      <c r="T76" s="169"/>
      <c r="U76" s="169"/>
      <c r="V76" s="169"/>
      <c r="W76" s="737"/>
      <c r="X76" s="16"/>
    </row>
    <row r="77" spans="1:24" ht="15.5">
      <c r="A77" s="5"/>
      <c r="B77" s="3"/>
      <c r="C77" s="5"/>
      <c r="D77" s="5"/>
      <c r="E77" s="5"/>
      <c r="F77" s="5"/>
      <c r="G77" s="3"/>
      <c r="H77" s="3"/>
      <c r="I77" s="3"/>
      <c r="J77" s="3"/>
      <c r="K77" s="3"/>
      <c r="L77" s="4"/>
      <c r="M77" s="4"/>
      <c r="N77" s="4"/>
      <c r="O77" s="170"/>
      <c r="P77" s="170"/>
      <c r="Q77" s="170"/>
      <c r="R77" s="170"/>
      <c r="S77" s="170"/>
      <c r="T77" s="170"/>
      <c r="U77" s="170"/>
      <c r="V77" s="170"/>
      <c r="W77" s="737"/>
      <c r="X77" s="16"/>
    </row>
    <row r="78" spans="23:24" ht="15.5">
      <c r="W78" s="737"/>
      <c r="X78" s="16"/>
    </row>
    <row r="81" spans="1:49" ht="12.75">
      <c r="A81" s="1">
        <v>1</v>
      </c>
      <c r="B81">
        <v>2</v>
      </c>
      <c r="C81" s="1">
        <v>3</v>
      </c>
      <c r="D81" s="1">
        <v>4</v>
      </c>
      <c r="E81">
        <v>5</v>
      </c>
      <c r="F81" s="1">
        <v>6</v>
      </c>
      <c r="G81" s="1">
        <v>7</v>
      </c>
      <c r="H81">
        <v>8</v>
      </c>
      <c r="I81" s="1">
        <v>9</v>
      </c>
      <c r="J81" s="1">
        <v>10</v>
      </c>
      <c r="K81">
        <v>11</v>
      </c>
      <c r="L81" s="1">
        <v>12</v>
      </c>
      <c r="M81" s="1">
        <v>13</v>
      </c>
      <c r="N81">
        <v>14</v>
      </c>
      <c r="O81" s="1">
        <v>15</v>
      </c>
      <c r="P81" s="1">
        <v>16</v>
      </c>
      <c r="Q81">
        <v>17</v>
      </c>
      <c r="R81" s="1">
        <v>18</v>
      </c>
      <c r="S81" s="1">
        <v>19</v>
      </c>
      <c r="T81">
        <v>20</v>
      </c>
      <c r="U81" s="1">
        <v>21</v>
      </c>
      <c r="V81" s="1">
        <v>22</v>
      </c>
      <c r="W81" s="740">
        <v>23</v>
      </c>
      <c r="X81" s="1">
        <v>24</v>
      </c>
      <c r="Y81" s="1">
        <v>25</v>
      </c>
      <c r="Z81">
        <v>26</v>
      </c>
      <c r="AA81" s="736">
        <v>27</v>
      </c>
      <c r="AB81" s="736">
        <v>28</v>
      </c>
      <c r="AC81" s="131">
        <v>29</v>
      </c>
      <c r="AD81" s="736">
        <v>30</v>
      </c>
      <c r="AE81" s="736">
        <v>31</v>
      </c>
      <c r="AF81" s="131">
        <v>32</v>
      </c>
      <c r="AG81" s="131">
        <v>33</v>
      </c>
      <c r="AH81" s="736">
        <v>34</v>
      </c>
      <c r="AI81" s="736">
        <v>35</v>
      </c>
      <c r="AJ81" s="131">
        <v>36</v>
      </c>
      <c r="AK81" s="736">
        <v>37</v>
      </c>
      <c r="AL81" s="736">
        <v>38</v>
      </c>
      <c r="AM81" s="131">
        <v>39</v>
      </c>
      <c r="AN81" s="131">
        <v>40</v>
      </c>
      <c r="AO81" s="728">
        <v>41</v>
      </c>
      <c r="AP81" s="131">
        <v>42</v>
      </c>
      <c r="AQ81" s="736">
        <v>43</v>
      </c>
      <c r="AR81" s="535">
        <v>44</v>
      </c>
      <c r="AS81" s="523">
        <v>45</v>
      </c>
      <c r="AT81" s="523">
        <v>46</v>
      </c>
      <c r="AU81" s="535">
        <v>47</v>
      </c>
      <c r="AV81" s="523">
        <v>48</v>
      </c>
      <c r="AW81" s="535">
        <v>49</v>
      </c>
    </row>
  </sheetData>
  <sheetProtection algorithmName="SHA-512" hashValue="jMX2vrQv+WHW/LaZgB2C4nzvToxk0luY7O/tHW5s/k1wbj0BEZiTAP6KiYjUR5uVhR+cGuLGy8IV7hgDrGff1Q==" saltValue="lgtWM94V8WYjtWLEpSNBxQ==" spinCount="100000" sheet="1" objects="1" scenarios="1" selectLockedCells="1"/>
  <autoFilter ref="B10:B63"/>
  <mergeCells count="18">
    <mergeCell ref="B66:V66"/>
    <mergeCell ref="C4:I4"/>
    <mergeCell ref="C5:I5"/>
    <mergeCell ref="AJ10:AN10"/>
    <mergeCell ref="B68:V68"/>
    <mergeCell ref="I1:J1"/>
    <mergeCell ref="K1:M1"/>
    <mergeCell ref="B65:L65"/>
    <mergeCell ref="A5:B5"/>
    <mergeCell ref="A6:B6"/>
    <mergeCell ref="C6:I6"/>
    <mergeCell ref="A7:B7"/>
    <mergeCell ref="C7:I7"/>
    <mergeCell ref="A8:B8"/>
    <mergeCell ref="C8:I8"/>
    <mergeCell ref="A3:B3"/>
    <mergeCell ref="A4:B4"/>
    <mergeCell ref="C3:I3"/>
  </mergeCells>
  <conditionalFormatting sqref="I13:I61">
    <cfRule type="expression" priority="27" dxfId="623">
      <formula>I13&gt;=0.01</formula>
    </cfRule>
  </conditionalFormatting>
  <conditionalFormatting sqref="I13:I61">
    <cfRule type="expression" priority="19" dxfId="76">
      <formula>I13=""</formula>
    </cfRule>
    <cfRule type="expression" priority="26" dxfId="623">
      <formula>I13&gt;=0.01</formula>
    </cfRule>
  </conditionalFormatting>
  <conditionalFormatting sqref="J13:K61">
    <cfRule type="expression" priority="25" dxfId="623">
      <formula>$I13&gt;=0.01</formula>
    </cfRule>
  </conditionalFormatting>
  <conditionalFormatting sqref="J13:K61">
    <cfRule type="expression" priority="24" dxfId="265">
      <formula>OR(J13="300",J13=301,J13=304,J13=310)</formula>
    </cfRule>
  </conditionalFormatting>
  <conditionalFormatting sqref="J13:K61">
    <cfRule type="expression" priority="18" dxfId="260">
      <formula>I13=""</formula>
    </cfRule>
    <cfRule type="expression" priority="22" dxfId="265">
      <formula>SUMPRODUCT(ISNUMBER(FIND($W$13:$W$38,J13))*1)&gt;0</formula>
    </cfRule>
  </conditionalFormatting>
  <conditionalFormatting sqref="I62">
    <cfRule type="expression" priority="21" dxfId="619">
      <formula>I62&lt;&gt;100</formula>
    </cfRule>
  </conditionalFormatting>
  <conditionalFormatting sqref="H13:H61 C15:E61 E14 E13:F13 C13:D14 J13:N61">
    <cfRule type="expression" priority="16" dxfId="76">
      <formula>$B13=""</formula>
    </cfRule>
  </conditionalFormatting>
  <conditionalFormatting sqref="Q13:Q61">
    <cfRule type="expression" priority="60" dxfId="76">
      <formula>A13=""</formula>
    </cfRule>
  </conditionalFormatting>
  <conditionalFormatting sqref="R13:R61">
    <cfRule type="expression" priority="11" dxfId="76">
      <formula>B13=""</formula>
    </cfRule>
  </conditionalFormatting>
  <conditionalFormatting sqref="S13:S61">
    <cfRule type="expression" priority="10" dxfId="76">
      <formula>C13=""</formula>
    </cfRule>
  </conditionalFormatting>
  <conditionalFormatting sqref="T13:T61">
    <cfRule type="expression" priority="9" dxfId="76">
      <formula>D13=""</formula>
    </cfRule>
  </conditionalFormatting>
  <conditionalFormatting sqref="G13:G61">
    <cfRule type="expression" priority="8" dxfId="76">
      <formula>$B13=""</formula>
    </cfRule>
  </conditionalFormatting>
  <conditionalFormatting sqref="O13:P61">
    <cfRule type="expression" priority="7" dxfId="76">
      <formula>$B13=""</formula>
    </cfRule>
  </conditionalFormatting>
  <conditionalFormatting sqref="U13:V61">
    <cfRule type="expression" priority="6" dxfId="76">
      <formula>$B13=""</formula>
    </cfRule>
  </conditionalFormatting>
  <conditionalFormatting sqref="M13:M61">
    <cfRule type="expression" priority="1" dxfId="265">
      <formula>AND($L13="log Kow",$M13&gt;=3)</formula>
    </cfRule>
    <cfRule type="expression" priority="2" dxfId="265">
      <formula>AND($L13="BCF",$M13&gt;=100)</formula>
    </cfRule>
  </conditionalFormatting>
  <dataValidations count="11">
    <dataValidation type="list" allowBlank="1" showInputMessage="1" showErrorMessage="1" error="please select" sqref="H13:H61">
      <formula1>Funktion</formula1>
    </dataValidation>
    <dataValidation type="list" allowBlank="1" showInputMessage="1" showErrorMessage="1" prompt="Az &quot;Élelmiszerekre is engedélyezett&quot; válasz csak színezékeknél választható./ 'Approved for foodstuff' option  only for colouring agents." sqref="L13:L61">
      <formula1>BCF</formula1>
    </dataValidation>
    <dataValidation type="decimal" allowBlank="1" showErrorMessage="1" promptTitle="Vorproduktenummer" prompt="Bitte eingeben oder auswählen, in welchem Vorprodukt diie Substanz enthalten ist." errorTitle="Vorprodukt" error="Not possible" sqref="E13:E61">
      <formula1>0</formula1>
      <formula2>200</formula2>
    </dataValidation>
    <dataValidation allowBlank="1" showErrorMessage="1" promptTitle="Vorproduktenummer" prompt="Bitte eingeben oder auswählen, in welchem Vorprodukt diie Substanz enthalten ist." errorTitle="Vorprodukt" error="Not possible" sqref="F13:F61 D13:D61"/>
    <dataValidation type="decimal" allowBlank="1" showInputMessage="1" showErrorMessage="1" prompt="0 és 100 (%) közötti értéket adjon meg! / Fill-in value between 0 and 100 (%)" sqref="V13:V61">
      <formula1>0</formula1>
      <formula2>100</formula2>
    </dataValidation>
    <dataValidation type="list" allowBlank="1" showInputMessage="1" showErrorMessage="1" error="Bitte auswählen!" sqref="O13:P61 U13:U61">
      <formula1>janein</formula1>
    </dataValidation>
    <dataValidation type="list" allowBlank="1" showInputMessage="1" showErrorMessage="1" sqref="N13:N61">
      <formula1>Form_Substanz</formula1>
    </dataValidation>
    <dataValidation type="list" allowBlank="1" showInputMessage="1" showErrorMessage="1" sqref="K13:K61">
      <formula1>Ausnahme</formula1>
    </dataValidation>
    <dataValidation type="list" allowBlank="1" showInputMessage="1" showErrorMessage="1" prompt="Válassza ki a legördülő menüből! / Please, select from the list!" sqref="C13:C61">
      <formula1>VPName</formula1>
    </dataValidation>
    <dataValidation allowBlank="1" showInputMessage="1" showErrorMessage="1" errorTitle="Please select" sqref="K1"/>
    <dataValidation allowBlank="1" showInputMessage="1" showErrorMessage="1" error="Bitte auswählen!" sqref="Q13:T61"/>
  </dataValidations>
  <printOptions/>
  <pageMargins left="0.7874015748031497" right="0.7874015748031497" top="0.984251968503937" bottom="0.984251968503937" header="0.5118110236220472" footer="0.5118110236220472"/>
  <pageSetup fitToHeight="0" fitToWidth="1" horizontalDpi="600" verticalDpi="600" orientation="landscape" paperSize="9" scale="56" r:id="rId3"/>
  <ignoredErrors>
    <ignoredError sqref="I13:I14 F13:F15 F28:F61 B68 F16:F27 I16:I6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38913" r:id="rId4" name="Button 1">
              <controlPr defaultSize="0" print="0" autoFill="0" autoPict="0" macro="[0]!Alapanyagok_törlés" altText="Gomb 2">
                <anchor moveWithCells="1" sizeWithCells="1">
                  <from>
                    <xdr:col>7</xdr:col>
                    <xdr:colOff>1028700</xdr:colOff>
                    <xdr:row>70</xdr:row>
                    <xdr:rowOff>114300</xdr:rowOff>
                  </from>
                  <to>
                    <xdr:col>9</xdr:col>
                    <xdr:colOff>317500</xdr:colOff>
                    <xdr:row>72</xdr:row>
                    <xdr:rowOff>50800</xdr:rowOff>
                  </to>
                </anchor>
              </controlPr>
            </control>
          </mc:Choice>
        </mc:AlternateContent>
        <mc:AlternateContent>
          <mc:Choice Requires="x14">
            <control xmlns:r="http://schemas.openxmlformats.org/officeDocument/2006/relationships" shapeId="38914" r:id="rId5" name="Button 2">
              <controlPr defaultSize="0" print="0" autoFill="0" autoPict="0" macro="[0]!Alapanyagok_további">
                <anchor moveWithCells="1" sizeWithCells="1">
                  <from>
                    <xdr:col>9</xdr:col>
                    <xdr:colOff>736600</xdr:colOff>
                    <xdr:row>70</xdr:row>
                    <xdr:rowOff>107950</xdr:rowOff>
                  </from>
                  <to>
                    <xdr:col>11</xdr:col>
                    <xdr:colOff>50800</xdr:colOff>
                    <xdr:row>72</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92D050"/>
    <pageSetUpPr fitToPage="1"/>
  </sheetPr>
  <dimension ref="A1:W96"/>
  <sheetViews>
    <sheetView zoomScale="97" zoomScaleNormal="97" workbookViewId="0" topLeftCell="A1">
      <selection activeCell="K13" sqref="K13"/>
    </sheetView>
  </sheetViews>
  <sheetFormatPr defaultColWidth="11.421875" defaultRowHeight="12.75"/>
  <cols>
    <col min="1" max="1" width="4.140625" style="1" customWidth="1"/>
    <col min="2" max="2" width="35.28125" style="0" customWidth="1"/>
    <col min="3" max="3" width="13.28125" style="1" customWidth="1"/>
    <col min="4" max="4" width="12.7109375" style="2" customWidth="1"/>
    <col min="5" max="5" width="11.00390625" style="0" bestFit="1" customWidth="1"/>
    <col min="6" max="6" width="23.7109375" style="2" customWidth="1"/>
    <col min="7" max="7" width="17.00390625" style="0" bestFit="1" customWidth="1"/>
    <col min="8" max="8" width="10.421875" style="0" bestFit="1" customWidth="1"/>
    <col min="9" max="9" width="9.28125" style="2" customWidth="1"/>
    <col min="10" max="10" width="10.00390625" style="0" customWidth="1"/>
    <col min="11" max="11" width="8.7109375" style="0" customWidth="1"/>
    <col min="12" max="12" width="10.00390625" style="91" customWidth="1"/>
    <col min="13" max="13" width="8.7109375" style="2" customWidth="1"/>
    <col min="14" max="14" width="9.28125" style="2" customWidth="1"/>
    <col min="15" max="15" width="8.7109375" style="2" customWidth="1"/>
    <col min="16" max="16" width="9.8515625" style="0" customWidth="1"/>
    <col min="17" max="17" width="14.57421875" style="0" customWidth="1"/>
    <col min="18" max="18" width="8.57421875" style="0" customWidth="1"/>
    <col min="19" max="19" width="11.421875" style="582" customWidth="1"/>
    <col min="20" max="20" width="11.421875" style="724" customWidth="1"/>
    <col min="21" max="23" width="11.421875" style="582" customWidth="1"/>
  </cols>
  <sheetData>
    <row r="1" spans="1:21" ht="18.75" customHeight="1">
      <c r="A1" s="14"/>
      <c r="B1" s="83"/>
      <c r="C1" s="15"/>
      <c r="D1" s="54"/>
      <c r="E1" s="16"/>
      <c r="F1" s="32"/>
      <c r="G1" s="1036" t="str">
        <f>Termék!A1</f>
        <v>A BIZOTTSÁG HATÁROZATA</v>
      </c>
      <c r="H1" s="1072"/>
      <c r="I1" s="1072"/>
      <c r="J1" s="1081" t="str">
        <f>Termék!C1</f>
        <v>2017/1214/EU a kézi mosogatószerek uniós ökocímke kritériumairól</v>
      </c>
      <c r="K1" s="1082"/>
      <c r="L1" s="1082"/>
      <c r="M1" s="1082"/>
      <c r="N1" s="1082"/>
      <c r="O1" s="1082"/>
      <c r="P1" s="1082"/>
      <c r="Q1" s="1082"/>
      <c r="R1" s="1082"/>
      <c r="S1" s="581"/>
      <c r="T1" s="746"/>
      <c r="U1" s="581"/>
    </row>
    <row r="2" spans="1:21" ht="12.75">
      <c r="A2" s="21"/>
      <c r="B2" s="44"/>
      <c r="C2" s="44"/>
      <c r="D2" s="47"/>
      <c r="E2" s="44"/>
      <c r="F2" s="53"/>
      <c r="G2" s="88"/>
      <c r="H2" s="44"/>
      <c r="I2" s="47"/>
      <c r="J2" s="240"/>
      <c r="K2" s="52"/>
      <c r="L2" s="113"/>
      <c r="M2" s="47"/>
      <c r="N2" s="47"/>
      <c r="O2" s="47"/>
      <c r="P2" s="47"/>
      <c r="Q2" s="47"/>
      <c r="R2" s="52"/>
      <c r="S2" s="581"/>
      <c r="T2" s="746"/>
      <c r="U2" s="581"/>
    </row>
    <row r="3" spans="1:21" ht="13">
      <c r="A3" s="1017" t="str">
        <f>Termék!A6</f>
        <v>Szerződés száma:</v>
      </c>
      <c r="B3" s="1018"/>
      <c r="C3" s="1069">
        <f>Termék!C6</f>
        <v>0</v>
      </c>
      <c r="D3" s="1070"/>
      <c r="E3" s="1071"/>
      <c r="F3" s="587"/>
      <c r="G3" s="17"/>
      <c r="H3" s="52"/>
      <c r="I3" s="53"/>
      <c r="J3" s="52"/>
      <c r="K3" s="52"/>
      <c r="L3" s="113"/>
      <c r="M3" s="52"/>
      <c r="N3" s="52"/>
      <c r="O3" s="52"/>
      <c r="P3" s="52"/>
      <c r="Q3" s="52"/>
      <c r="R3" s="52"/>
      <c r="S3" s="581"/>
      <c r="T3" s="746"/>
      <c r="U3" s="581"/>
    </row>
    <row r="4" spans="1:21" ht="15.5">
      <c r="A4" s="1017" t="str">
        <f>Termék!A7</f>
        <v>Védjegyhasználó</v>
      </c>
      <c r="B4" s="1018"/>
      <c r="C4" s="1069" t="str">
        <f>Termék!C7</f>
        <v/>
      </c>
      <c r="D4" s="1070"/>
      <c r="E4" s="1071"/>
      <c r="F4" s="587"/>
      <c r="G4" s="1017" t="str">
        <f>Termék!A3</f>
        <v>Dátum:</v>
      </c>
      <c r="H4" s="1018"/>
      <c r="I4" s="1064" t="str">
        <f>IF(Termék!B3="","",Termék!B3)</f>
        <v/>
      </c>
      <c r="J4" s="1065"/>
      <c r="K4" s="52"/>
      <c r="L4" s="113"/>
      <c r="M4" s="52"/>
      <c r="N4" s="52"/>
      <c r="O4" s="52"/>
      <c r="P4" s="52"/>
      <c r="Q4" s="52"/>
      <c r="R4" s="52"/>
      <c r="S4" s="581"/>
      <c r="T4" s="746"/>
      <c r="U4" s="581"/>
    </row>
    <row r="5" spans="1:21" ht="15.5">
      <c r="A5" s="1017" t="str">
        <f>Termék!A8</f>
        <v>Forgalmazó / Termék neve (Ország):</v>
      </c>
      <c r="B5" s="1018"/>
      <c r="C5" s="1069">
        <f>Termék!C8</f>
        <v>0</v>
      </c>
      <c r="D5" s="1070"/>
      <c r="E5" s="1071"/>
      <c r="F5" s="587"/>
      <c r="G5" s="1017" t="str">
        <f>Termék!A4</f>
        <v>Verziószám:</v>
      </c>
      <c r="H5" s="1018"/>
      <c r="I5" s="1064" t="str">
        <f>IF(Termék!B4="","",Termék!B4)</f>
        <v/>
      </c>
      <c r="J5" s="1065"/>
      <c r="K5" s="52"/>
      <c r="L5" s="113"/>
      <c r="M5" s="17"/>
      <c r="N5" s="52"/>
      <c r="O5" s="52"/>
      <c r="P5" s="52"/>
      <c r="Q5" s="52"/>
      <c r="R5" s="52"/>
      <c r="S5" s="581"/>
      <c r="T5" s="746"/>
      <c r="U5" s="581"/>
    </row>
    <row r="6" spans="1:21" ht="15.5">
      <c r="A6" s="1017" t="str">
        <f>Termék!A24</f>
        <v>A termék fajtája:</v>
      </c>
      <c r="B6" s="1018"/>
      <c r="C6" s="1069">
        <f>Termék!C24</f>
        <v>0</v>
      </c>
      <c r="D6" s="1070"/>
      <c r="E6" s="1071"/>
      <c r="F6" s="587"/>
      <c r="G6" s="17"/>
      <c r="H6" s="55"/>
      <c r="I6" s="53"/>
      <c r="J6" s="52"/>
      <c r="K6" s="52"/>
      <c r="L6" s="113"/>
      <c r="M6" s="52"/>
      <c r="N6" s="52"/>
      <c r="O6" s="52"/>
      <c r="P6" s="52"/>
      <c r="Q6" s="52"/>
      <c r="R6" s="52"/>
      <c r="S6" s="583"/>
      <c r="T6" s="704"/>
      <c r="U6" s="583"/>
    </row>
    <row r="7" spans="1:21" ht="15.5">
      <c r="A7" s="1017" t="str">
        <f>Termék!A26</f>
        <v>A termék halmazállapota:</v>
      </c>
      <c r="B7" s="1018"/>
      <c r="C7" s="1069">
        <f>Termék!C26</f>
        <v>0</v>
      </c>
      <c r="D7" s="1070"/>
      <c r="E7" s="1071"/>
      <c r="F7" s="587"/>
      <c r="G7" s="136"/>
      <c r="H7" s="136"/>
      <c r="I7" s="589"/>
      <c r="J7" s="52"/>
      <c r="K7" s="52"/>
      <c r="L7" s="113"/>
      <c r="M7" s="52"/>
      <c r="N7" s="52"/>
      <c r="O7" s="52"/>
      <c r="P7" s="52"/>
      <c r="Q7" s="52"/>
      <c r="R7" s="52"/>
      <c r="S7" s="583"/>
      <c r="T7" s="704"/>
      <c r="U7" s="583"/>
    </row>
    <row r="8" spans="1:21" ht="9.75" customHeight="1">
      <c r="A8" s="137"/>
      <c r="B8" s="201"/>
      <c r="C8" s="201"/>
      <c r="D8" s="576"/>
      <c r="E8" s="201"/>
      <c r="F8" s="53"/>
      <c r="G8" s="201"/>
      <c r="H8" s="201"/>
      <c r="I8" s="576"/>
      <c r="J8" s="201"/>
      <c r="K8" s="201"/>
      <c r="L8" s="113"/>
      <c r="M8" s="201"/>
      <c r="N8" s="56"/>
      <c r="O8" s="47"/>
      <c r="P8" s="201"/>
      <c r="Q8" s="201"/>
      <c r="R8" s="52"/>
      <c r="S8" s="583"/>
      <c r="T8" s="704"/>
      <c r="U8" s="583"/>
    </row>
    <row r="9" spans="1:21" ht="9.75" customHeight="1">
      <c r="A9" s="137"/>
      <c r="B9" s="201"/>
      <c r="C9" s="201"/>
      <c r="D9" s="576"/>
      <c r="E9" s="201"/>
      <c r="F9" s="53"/>
      <c r="G9" s="201"/>
      <c r="H9" s="201"/>
      <c r="I9" s="576"/>
      <c r="J9" s="201"/>
      <c r="K9" s="201"/>
      <c r="L9" s="113"/>
      <c r="M9" s="201"/>
      <c r="N9" s="56"/>
      <c r="O9" s="47"/>
      <c r="P9" s="201"/>
      <c r="Q9" s="201"/>
      <c r="R9" s="52"/>
      <c r="S9" s="583"/>
      <c r="T9" s="704"/>
      <c r="U9" s="583"/>
    </row>
    <row r="10" spans="1:21" ht="54.75" customHeight="1">
      <c r="A10" s="33" t="str">
        <f>Alapanyagok!A10</f>
        <v>lfd.</v>
      </c>
      <c r="B10" s="163" t="str">
        <f>Alapanyagok!B10</f>
        <v>Összetevők 2)</v>
      </c>
      <c r="C10" s="1079" t="str">
        <f>Alapanyagok!C10</f>
        <v>Melyik felhasznált alapanyagban?</v>
      </c>
      <c r="D10" s="33" t="s">
        <v>2</v>
      </c>
      <c r="E10" s="33" t="s">
        <v>177</v>
      </c>
      <c r="F10" s="81" t="str">
        <f>IF(Adatlap!L1="Magyar","Az összetevő neve","Ingredient name")</f>
        <v>Az összetevő neve</v>
      </c>
      <c r="G10" s="24" t="str">
        <f>Alapanyagok!I10</f>
        <v>A készítményen belüli aránya</v>
      </c>
      <c r="H10" s="1076" t="str">
        <f>IF(Adatlap!$L$1=Fordítások!C3,Fordítások!C35,Fordítások!B35)</f>
        <v>Csak akkor töltse ki, ha az anyag nem szerepel a DID-listán.</v>
      </c>
      <c r="I10" s="1077">
        <f>IF(Adatlap!$L$1="Deutsch",Fordítások!#REF!,Fordítások!D10)</f>
        <v>0</v>
      </c>
      <c r="J10" s="1077">
        <f>IF(Adatlap!$L$1="Deutsch",Fordítások!D10,Fordítások!E10)</f>
        <v>0</v>
      </c>
      <c r="K10" s="1078">
        <f>IF(Adatlap!$L$1="Deutsch",Fordítások!E10,Fordítások!F10)</f>
        <v>0</v>
      </c>
      <c r="L10" s="495" t="str">
        <f>IF(Adatlap!$L$1=Fordítások!C3,Fordítások!C223,Fordítások!B223)</f>
        <v>anNBO összetevőkre vonatkozó mentesség</v>
      </c>
      <c r="M10" s="163" t="str">
        <f>H11</f>
        <v>LT</v>
      </c>
      <c r="N10" s="33" t="str">
        <f>I11</f>
        <v>TT krónikus</v>
      </c>
      <c r="O10" s="1066" t="str">
        <f>IF(Adatlap!$L$1=Fordítások!C3,Fordítások!C40,Fordítások!B40)</f>
        <v>biológiai lebonthatóság</v>
      </c>
      <c r="P10" s="1067"/>
      <c r="Q10" s="1068"/>
      <c r="R10" s="1073" t="str">
        <f>IF(Adatlap!$L$1=Fordítások!C3,Fordítások!C168,Fordítások!B168)</f>
        <v>Pálmaolajat / Pálmamagolajat tartalmaz</v>
      </c>
      <c r="S10" s="583"/>
      <c r="T10" s="704"/>
      <c r="U10" s="583"/>
    </row>
    <row r="11" spans="1:23" s="563" customFormat="1" ht="44.25" customHeight="1">
      <c r="A11" s="560" t="str">
        <f>Alapanyagok!A11</f>
        <v>szám</v>
      </c>
      <c r="B11" s="561" t="str">
        <f>Alapanyagok!B11</f>
        <v>megnevezése (IUPAC szerint)</v>
      </c>
      <c r="C11" s="1080"/>
      <c r="D11" s="560" t="str">
        <f>Alapanyagok!G11</f>
        <v>szám</v>
      </c>
      <c r="E11" s="560" t="str">
        <f>D11</f>
        <v>szám</v>
      </c>
      <c r="F11" s="562" t="str">
        <f>IF(Adatlap!L1="Magyar",Fordítások!C373,Fordítások!B373)</f>
        <v>a DID-jegyzékben</v>
      </c>
      <c r="G11" s="506" t="str">
        <f>Alapanyagok!I11</f>
        <v>%
(=g/100 g termék)</v>
      </c>
      <c r="H11" s="506" t="str">
        <f>IF(Adatlap!$L$1=Fordítások!C3,Fordítások!C36,Fordítások!B36)</f>
        <v>LT</v>
      </c>
      <c r="I11" s="506" t="str">
        <f>IF(Adatlap!$L$1=Fordítások!C3,Fordítások!C37,Fordítások!B37)</f>
        <v>TT krónikus</v>
      </c>
      <c r="J11" s="506" t="str">
        <f>IF(Adatlap!$L$1=Fordítások!C3,Fordítások!C38,Fordítások!B38)</f>
        <v>Aerob</v>
      </c>
      <c r="K11" s="506" t="str">
        <f>IF(Adatlap!$L$1=Fordítások!C3,Fordítások!C39,Fordítások!B39)</f>
        <v>Anaerob</v>
      </c>
      <c r="L11" s="506" t="str">
        <f>IF(Adatlap!$L$1=Fordítások!C3,Fordítások!C58,Fordítások!B58)</f>
        <v>(kérjük, válassza ki)</v>
      </c>
      <c r="M11" s="561"/>
      <c r="N11" s="560" t="s">
        <v>13</v>
      </c>
      <c r="O11" s="579" t="str">
        <f>J11</f>
        <v>Aerob</v>
      </c>
      <c r="P11" s="580" t="str">
        <f>K11</f>
        <v>Anaerob</v>
      </c>
      <c r="Q11" s="588" t="str">
        <f>IF(Adatlap!L1="Magyar",CONCATENATE(L10," alapján"),CONCATENATE("based on ",L10))</f>
        <v>anNBO összetevőkre vonatkozó mentesség alapján</v>
      </c>
      <c r="R11" s="1074"/>
      <c r="S11" s="584"/>
      <c r="T11" s="747"/>
      <c r="U11" s="584"/>
      <c r="V11" s="585"/>
      <c r="W11" s="585"/>
    </row>
    <row r="12" spans="1:21" ht="15.5">
      <c r="A12" s="64">
        <v>1</v>
      </c>
      <c r="B12" s="28" t="str">
        <f>Összetétel!B12</f>
        <v>Víz</v>
      </c>
      <c r="C12" s="36" t="s">
        <v>7</v>
      </c>
      <c r="D12" s="36" t="s">
        <v>7</v>
      </c>
      <c r="E12" s="36" t="s">
        <v>7</v>
      </c>
      <c r="F12" s="592"/>
      <c r="G12" s="94" t="str">
        <f>IF(Alapanyagok!I12="","",Alapanyagok!I12)</f>
        <v/>
      </c>
      <c r="H12" s="57"/>
      <c r="I12" s="36"/>
      <c r="J12" s="57"/>
      <c r="K12" s="57"/>
      <c r="L12" s="172"/>
      <c r="M12" s="37" t="s">
        <v>7</v>
      </c>
      <c r="N12" s="186" t="s">
        <v>7</v>
      </c>
      <c r="O12" s="62" t="s">
        <v>7</v>
      </c>
      <c r="P12" s="62" t="s">
        <v>7</v>
      </c>
      <c r="Q12" s="62" t="s">
        <v>7</v>
      </c>
      <c r="R12" s="62"/>
      <c r="S12" s="583"/>
      <c r="T12" s="704"/>
      <c r="U12" s="583"/>
    </row>
    <row r="13" spans="1:23" s="875" customFormat="1" ht="15.75" customHeight="1">
      <c r="A13" s="866">
        <v>2</v>
      </c>
      <c r="B13" s="867" t="str">
        <f>IF(Alapanyagok!B13="","",Alapanyagok!B13)</f>
        <v/>
      </c>
      <c r="C13" s="867" t="str">
        <f>IF(Alapanyagok!C13="","",Alapanyagok!C13)</f>
        <v/>
      </c>
      <c r="D13" s="880" t="str">
        <f>IF(Alapanyagok!G13="","",Alapanyagok!G13)</f>
        <v/>
      </c>
      <c r="E13" s="881"/>
      <c r="F13" s="869" t="str">
        <f>IF(E13&gt;0,VLOOKUP(E13,'DID List'!A:L,3,FALSE),"   ")</f>
        <v xml:space="preserve">   </v>
      </c>
      <c r="G13" s="870" t="str">
        <f>IF(Alapanyagok!I13="","",Alapanyagok!I13)</f>
        <v/>
      </c>
      <c r="H13" s="590"/>
      <c r="I13" s="590"/>
      <c r="J13" s="590"/>
      <c r="K13" s="590"/>
      <c r="L13" s="590"/>
      <c r="M13" s="869" t="str">
        <f>IF($E13=0,"",IF($E13='DID List'!$A$7,H13,VLOOKUP($E13,'DID List'!$A:$L,10,)))</f>
        <v/>
      </c>
      <c r="N13" s="871" t="str">
        <f>IF($E13=0,"",IF($E13='DID List'!$A$7,I13,VLOOKUP($E13,'DID List'!$A:$L,9,)))</f>
        <v/>
      </c>
      <c r="O13" s="872" t="str">
        <f>IF($E13=0,"",IF($E13='DID List'!$A$7,J13,VLOOKUP($E13,'DID List'!$A:$L,11,)))</f>
        <v/>
      </c>
      <c r="P13" s="872" t="str">
        <f>IF($E13=0,"",IF($E13='DID List'!$A$7,K13,VLOOKUP($E13,'DID List'!$A:$L,12,)))</f>
        <v/>
      </c>
      <c r="Q13" s="872" t="str">
        <f>IF($E13=0,"",IF(AND(P13="O",(OR($L13=1,$L13=2,$L13=3))),"Y",P13))</f>
        <v/>
      </c>
      <c r="R13" s="868" t="str">
        <f>IF(B13="","",IF(OR(Alapanyagok!H13=Fordítások!$C$61,Alapanyagok!H13=Fordítások!$B$61),"Y",IF(OR(Alapanyagok!H13=Fordítások!$C$167,Alapanyagok!H13=Fordítások!$B$167),"Y","N")))</f>
        <v/>
      </c>
      <c r="S13" s="873"/>
      <c r="T13" s="738">
        <v>2401</v>
      </c>
      <c r="U13" s="873"/>
      <c r="V13" s="874"/>
      <c r="W13" s="874"/>
    </row>
    <row r="14" spans="1:23" s="875" customFormat="1" ht="15.75" customHeight="1">
      <c r="A14" s="866">
        <v>3</v>
      </c>
      <c r="B14" s="867" t="str">
        <f>IF(Alapanyagok!B14="","",Alapanyagok!B14)</f>
        <v/>
      </c>
      <c r="C14" s="867" t="str">
        <f>IF(Alapanyagok!C14="","",Alapanyagok!C14)</f>
        <v/>
      </c>
      <c r="D14" s="880" t="str">
        <f>IF(Alapanyagok!G14="","",Alapanyagok!G14)</f>
        <v/>
      </c>
      <c r="E14" s="881"/>
      <c r="F14" s="869" t="str">
        <f>IF(E14&gt;0,VLOOKUP(E14,'DID List'!A:L,3,FALSE),"   ")</f>
        <v xml:space="preserve">   </v>
      </c>
      <c r="G14" s="870" t="str">
        <f>IF(Alapanyagok!I14="","",Alapanyagok!I14)</f>
        <v/>
      </c>
      <c r="H14" s="590"/>
      <c r="I14" s="590"/>
      <c r="J14" s="590"/>
      <c r="K14" s="590"/>
      <c r="L14" s="590"/>
      <c r="M14" s="869" t="str">
        <f>IF($E14=0,"",IF($E14='DID List'!$A$7,H14,VLOOKUP($E14,'DID List'!$A:$L,10,)))</f>
        <v/>
      </c>
      <c r="N14" s="871" t="str">
        <f>IF($E14=0,"",IF($E14='DID List'!$A$7,I14,VLOOKUP($E14,'DID List'!$A:$L,9,)))</f>
        <v/>
      </c>
      <c r="O14" s="872" t="str">
        <f>IF($E14=0,"",IF($E14='DID List'!$A$7,J14,VLOOKUP($E14,'DID List'!$A:$L,11,)))</f>
        <v/>
      </c>
      <c r="P14" s="872" t="str">
        <f>IF($E14=0,"",IF($E14='DID List'!$A$7,K14,VLOOKUP($E14,'DID List'!$A:$L,12,)))</f>
        <v/>
      </c>
      <c r="Q14" s="872" t="str">
        <f aca="true" t="shared" si="0" ref="Q14:Q61">IF($E14=0,"",IF(AND(P14="O",(OR($L14=1,$L14=2,$L14=3))),"Y",P14))</f>
        <v/>
      </c>
      <c r="R14" s="868" t="str">
        <f>IF(B14="","",IF(OR(Alapanyagok!H14=Fordítások!$C$61,Alapanyagok!H14=Fordítások!$B$61),"Y",IF(OR(Alapanyagok!H14=Fordítások!$C$167,Alapanyagok!H14=Fordítások!$B$167),"Y","N")))</f>
        <v/>
      </c>
      <c r="S14" s="873"/>
      <c r="T14" s="738">
        <v>2410</v>
      </c>
      <c r="U14" s="873"/>
      <c r="V14" s="874"/>
      <c r="W14" s="874"/>
    </row>
    <row r="15" spans="1:23" s="875" customFormat="1" ht="15.75" customHeight="1">
      <c r="A15" s="866">
        <v>4</v>
      </c>
      <c r="B15" s="867" t="str">
        <f>IF(Alapanyagok!B15="","",Alapanyagok!B15)</f>
        <v/>
      </c>
      <c r="C15" s="867" t="str">
        <f>IF(Alapanyagok!C15="","",Alapanyagok!C15)</f>
        <v/>
      </c>
      <c r="D15" s="880" t="str">
        <f>IF(Alapanyagok!G15="","",Alapanyagok!G15)</f>
        <v/>
      </c>
      <c r="E15" s="881"/>
      <c r="F15" s="869" t="str">
        <f>IF(E15&gt;0,VLOOKUP(E15,'DID List'!A:L,3,FALSE),"   ")</f>
        <v xml:space="preserve">   </v>
      </c>
      <c r="G15" s="870" t="str">
        <f>IF(Alapanyagok!I15="","",Alapanyagok!I15)</f>
        <v/>
      </c>
      <c r="H15" s="590"/>
      <c r="I15" s="590"/>
      <c r="J15" s="590"/>
      <c r="K15" s="590"/>
      <c r="L15" s="590"/>
      <c r="M15" s="869" t="str">
        <f>IF($E15=0,"",IF($E15='DID List'!$A$7,H15,VLOOKUP($E15,'DID List'!$A:$L,10,)))</f>
        <v/>
      </c>
      <c r="N15" s="871" t="str">
        <f>IF($E15=0,"",IF($E15='DID List'!$A$7,I15,VLOOKUP($E15,'DID List'!$A:$L,9,)))</f>
        <v/>
      </c>
      <c r="O15" s="872" t="str">
        <f>IF($E15=0,"",IF($E15='DID List'!$A$7,J15,VLOOKUP($E15,'DID List'!$A:$L,11,)))</f>
        <v/>
      </c>
      <c r="P15" s="872" t="str">
        <f>IF($E15=0,"",IF($E15='DID List'!$A$7,K15,VLOOKUP($E15,'DID List'!$A:$L,12,)))</f>
        <v/>
      </c>
      <c r="Q15" s="872" t="str">
        <f t="shared" si="0"/>
        <v/>
      </c>
      <c r="R15" s="868" t="str">
        <f>IF(B15="","",IF(OR(Alapanyagok!H15=Fordítások!$C$61,Alapanyagok!H15=Fordítások!$B$61),"Y",IF(OR(Alapanyagok!H15=Fordítások!$C$167,Alapanyagok!H15=Fordítások!$B$167),"Y","N")))</f>
        <v/>
      </c>
      <c r="S15" s="873"/>
      <c r="T15" s="738">
        <v>2411</v>
      </c>
      <c r="U15" s="873"/>
      <c r="V15" s="874"/>
      <c r="W15" s="874"/>
    </row>
    <row r="16" spans="1:23" s="875" customFormat="1" ht="15.75" customHeight="1">
      <c r="A16" s="866">
        <v>5</v>
      </c>
      <c r="B16" s="867" t="str">
        <f>IF(Alapanyagok!B16="","",Alapanyagok!B16)</f>
        <v/>
      </c>
      <c r="C16" s="867" t="str">
        <f>IF(Alapanyagok!C16="","",Alapanyagok!C16)</f>
        <v/>
      </c>
      <c r="D16" s="880" t="str">
        <f>IF(Alapanyagok!G16="","",Alapanyagok!G16)</f>
        <v/>
      </c>
      <c r="E16" s="881"/>
      <c r="F16" s="869" t="str">
        <f>IF(E16&gt;0,VLOOKUP(E16,'DID List'!A:L,3,FALSE),"   ")</f>
        <v xml:space="preserve">   </v>
      </c>
      <c r="G16" s="870" t="str">
        <f>IF(Alapanyagok!I16="","",Alapanyagok!I16)</f>
        <v/>
      </c>
      <c r="H16" s="590"/>
      <c r="I16" s="590"/>
      <c r="J16" s="590"/>
      <c r="K16" s="590"/>
      <c r="L16" s="590"/>
      <c r="M16" s="869" t="str">
        <f>IF($E16=0,"",IF($E16='DID List'!$A$7,H16,VLOOKUP($E16,'DID List'!$A:$L,10,)))</f>
        <v/>
      </c>
      <c r="N16" s="871" t="str">
        <f>IF($E16=0,"",IF($E16='DID List'!$A$7,I16,VLOOKUP($E16,'DID List'!$A:$L,9,)))</f>
        <v/>
      </c>
      <c r="O16" s="872" t="str">
        <f>IF($E16=0,"",IF($E16='DID List'!$A$7,J16,VLOOKUP($E16,'DID List'!$A:$L,11,)))</f>
        <v/>
      </c>
      <c r="P16" s="872" t="str">
        <f>IF($E16=0,"",IF($E16='DID List'!$A$7,K16,VLOOKUP($E16,'DID List'!$A:$L,12,)))</f>
        <v/>
      </c>
      <c r="Q16" s="869" t="str">
        <f t="shared" si="0"/>
        <v/>
      </c>
      <c r="R16" s="868" t="str">
        <f>IF(B16="","",IF(OR(Alapanyagok!H16=Fordítások!$C$61,Alapanyagok!H16=Fordítások!$B$61),"Y",IF(OR(Alapanyagok!H16=Fordítások!$C$167,Alapanyagok!H16=Fordítások!$B$167),"Y","N")))</f>
        <v/>
      </c>
      <c r="S16" s="873"/>
      <c r="T16" s="738">
        <v>2504</v>
      </c>
      <c r="U16" s="873"/>
      <c r="V16" s="874"/>
      <c r="W16" s="874"/>
    </row>
    <row r="17" spans="1:23" s="875" customFormat="1" ht="15.75" customHeight="1">
      <c r="A17" s="866">
        <v>6</v>
      </c>
      <c r="B17" s="867" t="str">
        <f>IF(Alapanyagok!B17="","",Alapanyagok!B17)</f>
        <v/>
      </c>
      <c r="C17" s="867" t="str">
        <f>IF(Alapanyagok!C17="","",Alapanyagok!C17)</f>
        <v/>
      </c>
      <c r="D17" s="880" t="str">
        <f>IF(Alapanyagok!G17="","",Alapanyagok!G17)</f>
        <v/>
      </c>
      <c r="E17" s="881"/>
      <c r="F17" s="869" t="str">
        <f>IF(E17&gt;0,VLOOKUP(E17,'DID List'!A:L,3,FALSE),"   ")</f>
        <v xml:space="preserve">   </v>
      </c>
      <c r="G17" s="870" t="str">
        <f>IF(Alapanyagok!I17="","",Alapanyagok!I17)</f>
        <v/>
      </c>
      <c r="H17" s="590"/>
      <c r="I17" s="590"/>
      <c r="J17" s="590"/>
      <c r="K17" s="590"/>
      <c r="L17" s="590"/>
      <c r="M17" s="869" t="str">
        <f>IF($E17=0,"",IF($E17='DID List'!$A$7,H17,VLOOKUP($E17,'DID List'!$A:$L,10,)))</f>
        <v/>
      </c>
      <c r="N17" s="871" t="str">
        <f>IF($E17=0,"",IF($E17='DID List'!$A$7,I17,VLOOKUP($E17,'DID List'!$A:$L,9,)))</f>
        <v/>
      </c>
      <c r="O17" s="872" t="str">
        <f>IF($E17=0,"",IF($E17='DID List'!$A$7,J17,VLOOKUP($E17,'DID List'!$A:$L,11,)))</f>
        <v/>
      </c>
      <c r="P17" s="872" t="str">
        <f>IF($E17=0,"",IF($E17='DID List'!$A$7,K17,VLOOKUP($E17,'DID List'!$A:$L,12,)))</f>
        <v/>
      </c>
      <c r="Q17" s="869" t="str">
        <f t="shared" si="0"/>
        <v/>
      </c>
      <c r="R17" s="868" t="str">
        <f>IF(B17="","",IF(OR(Alapanyagok!H17=Fordítások!$C$61,Alapanyagok!H17=Fordítások!$B$61),"Y",IF(OR(Alapanyagok!H17=Fordítások!$C$167,Alapanyagok!H17=Fordítások!$B$167),"Y","N")))</f>
        <v/>
      </c>
      <c r="S17" s="873"/>
      <c r="T17" s="738">
        <v>2510</v>
      </c>
      <c r="U17" s="873"/>
      <c r="V17" s="874"/>
      <c r="W17" s="874"/>
    </row>
    <row r="18" spans="1:23" s="875" customFormat="1" ht="15.75" customHeight="1">
      <c r="A18" s="866">
        <v>7</v>
      </c>
      <c r="B18" s="867" t="str">
        <f>IF(Alapanyagok!B18="","",Alapanyagok!B18)</f>
        <v/>
      </c>
      <c r="C18" s="867" t="str">
        <f>IF(Alapanyagok!C18="","",Alapanyagok!C18)</f>
        <v/>
      </c>
      <c r="D18" s="880" t="str">
        <f>IF(Alapanyagok!G18="","",Alapanyagok!G18)</f>
        <v/>
      </c>
      <c r="E18" s="881"/>
      <c r="F18" s="869" t="str">
        <f>IF(E18&gt;0,VLOOKUP(E18,'DID List'!A:L,3,FALSE),"   ")</f>
        <v xml:space="preserve">   </v>
      </c>
      <c r="G18" s="870" t="str">
        <f>IF(Alapanyagok!I18="","",Alapanyagok!I18)</f>
        <v/>
      </c>
      <c r="H18" s="590"/>
      <c r="I18" s="590"/>
      <c r="J18" s="590"/>
      <c r="K18" s="590"/>
      <c r="L18" s="590"/>
      <c r="M18" s="869" t="str">
        <f>IF($E18=0,"",IF($E18='DID List'!$A$7,H18,VLOOKUP($E18,'DID List'!$A:$L,10,)))</f>
        <v/>
      </c>
      <c r="N18" s="871" t="str">
        <f>IF($E18=0,"",IF($E18='DID List'!$A$7,I18,VLOOKUP($E18,'DID List'!$A:$L,9,)))</f>
        <v/>
      </c>
      <c r="O18" s="872" t="str">
        <f>IF($E18=0,"",IF($E18='DID List'!$A$7,J18,VLOOKUP($E18,'DID List'!$A:$L,11,)))</f>
        <v/>
      </c>
      <c r="P18" s="872" t="str">
        <f>IF($E18=0,"",IF($E18='DID List'!$A$7,K18,VLOOKUP($E18,'DID List'!$A:$L,12,)))</f>
        <v/>
      </c>
      <c r="Q18" s="869" t="str">
        <f t="shared" si="0"/>
        <v/>
      </c>
      <c r="R18" s="868" t="str">
        <f>IF(B18="","",IF(OR(Alapanyagok!H18=Fordítások!$C$61,Alapanyagok!H18=Fordítások!$B$61),"Y",IF(OR(Alapanyagok!H18=Fordítások!$C$167,Alapanyagok!H18=Fordítások!$B$167),"Y","N")))</f>
        <v/>
      </c>
      <c r="S18" s="873"/>
      <c r="T18" s="738">
        <v>2512</v>
      </c>
      <c r="U18" s="873"/>
      <c r="V18" s="874"/>
      <c r="W18" s="874"/>
    </row>
    <row r="19" spans="1:23" s="875" customFormat="1" ht="15.75" customHeight="1">
      <c r="A19" s="866">
        <v>8</v>
      </c>
      <c r="B19" s="867" t="str">
        <f>IF(Alapanyagok!B19="","",Alapanyagok!B19)</f>
        <v/>
      </c>
      <c r="C19" s="867" t="str">
        <f>IF(Alapanyagok!C19="","",Alapanyagok!C19)</f>
        <v/>
      </c>
      <c r="D19" s="880" t="str">
        <f>IF(Alapanyagok!G19="","",Alapanyagok!G19)</f>
        <v/>
      </c>
      <c r="E19" s="881"/>
      <c r="F19" s="869" t="str">
        <f>IF(E19&gt;0,VLOOKUP(E19,'DID List'!A:L,3,FALSE),"   ")</f>
        <v xml:space="preserve">   </v>
      </c>
      <c r="G19" s="870" t="str">
        <f>IF(Alapanyagok!I19="","",Alapanyagok!I19)</f>
        <v/>
      </c>
      <c r="H19" s="590"/>
      <c r="I19" s="590"/>
      <c r="J19" s="590"/>
      <c r="K19" s="590"/>
      <c r="L19" s="590"/>
      <c r="M19" s="869" t="str">
        <f>IF($E19=0,"",IF($E19='DID List'!$A$7,H19,VLOOKUP($E19,'DID List'!$A:$L,10,)))</f>
        <v/>
      </c>
      <c r="N19" s="871" t="str">
        <f>IF($E19=0,"",IF($E19='DID List'!$A$7,I19,VLOOKUP($E19,'DID List'!$A:$L,9,)))</f>
        <v/>
      </c>
      <c r="O19" s="872" t="str">
        <f>IF($E19=0,"",IF($E19='DID List'!$A$7,J19,VLOOKUP($E19,'DID List'!$A:$L,11,)))</f>
        <v/>
      </c>
      <c r="P19" s="872" t="str">
        <f>IF($E19=0,"",IF($E19='DID List'!$A$7,K19,VLOOKUP($E19,'DID List'!$A:$L,12,)))</f>
        <v/>
      </c>
      <c r="Q19" s="869" t="str">
        <f t="shared" si="0"/>
        <v/>
      </c>
      <c r="R19" s="868" t="str">
        <f>IF(B19="","",IF(OR(Alapanyagok!H19=Fordítások!$C$61,Alapanyagok!H19=Fordítások!$B$61),"Y",IF(OR(Alapanyagok!H19=Fordítások!$C$167,Alapanyagok!H19=Fordítások!$B$167),"Y","N")))</f>
        <v/>
      </c>
      <c r="S19" s="873"/>
      <c r="T19" s="738">
        <v>2608</v>
      </c>
      <c r="U19" s="873"/>
      <c r="V19" s="874"/>
      <c r="W19" s="874"/>
    </row>
    <row r="20" spans="1:23" s="875" customFormat="1" ht="15.75" customHeight="1">
      <c r="A20" s="866">
        <v>9</v>
      </c>
      <c r="B20" s="867" t="str">
        <f>IF(Alapanyagok!B20="","",Alapanyagok!B20)</f>
        <v/>
      </c>
      <c r="C20" s="867" t="str">
        <f>IF(Alapanyagok!C20="","",Alapanyagok!C20)</f>
        <v/>
      </c>
      <c r="D20" s="880" t="str">
        <f>IF(Alapanyagok!G20="","",Alapanyagok!G20)</f>
        <v/>
      </c>
      <c r="E20" s="881"/>
      <c r="F20" s="869" t="str">
        <f>IF(E20&gt;0,VLOOKUP(E20,'DID List'!A:L,3,FALSE),"   ")</f>
        <v xml:space="preserve">   </v>
      </c>
      <c r="G20" s="870" t="str">
        <f>IF(Alapanyagok!I20="","",Alapanyagok!I20)</f>
        <v/>
      </c>
      <c r="H20" s="590"/>
      <c r="I20" s="590"/>
      <c r="J20" s="590"/>
      <c r="K20" s="590"/>
      <c r="L20" s="590"/>
      <c r="M20" s="869" t="str">
        <f>IF($E20=0,"",IF($E20='DID List'!$A$7,H20,VLOOKUP($E20,'DID List'!$A:$L,10,)))</f>
        <v/>
      </c>
      <c r="N20" s="871" t="str">
        <f>IF($E20=0,"",IF($E20='DID List'!$A$7,I20,VLOOKUP($E20,'DID List'!$A:$L,9,)))</f>
        <v/>
      </c>
      <c r="O20" s="872" t="str">
        <f>IF($E20=0,"",IF($E20='DID List'!$A$7,J20,VLOOKUP($E20,'DID List'!$A:$L,11,)))</f>
        <v/>
      </c>
      <c r="P20" s="872" t="str">
        <f>IF($E20=0,"",IF($E20='DID List'!$A$7,K20,VLOOKUP($E20,'DID List'!$A:$L,12,)))</f>
        <v/>
      </c>
      <c r="Q20" s="869" t="str">
        <f t="shared" si="0"/>
        <v/>
      </c>
      <c r="R20" s="868" t="str">
        <f>IF(B20="","",IF(OR(Alapanyagok!H20=Fordítások!$C$61,Alapanyagok!H20=Fordítások!$B$61),"Y",IF(OR(Alapanyagok!H20=Fordítások!$C$167,Alapanyagok!H20=Fordítások!$B$167),"Y","N")))</f>
        <v/>
      </c>
      <c r="S20" s="873"/>
      <c r="T20" s="738">
        <v>2565</v>
      </c>
      <c r="U20" s="873"/>
      <c r="V20" s="874"/>
      <c r="W20" s="874"/>
    </row>
    <row r="21" spans="1:23" s="875" customFormat="1" ht="15.75" customHeight="1">
      <c r="A21" s="866">
        <v>10</v>
      </c>
      <c r="B21" s="867" t="str">
        <f>IF(Alapanyagok!B21="","",Alapanyagok!B21)</f>
        <v/>
      </c>
      <c r="C21" s="867" t="str">
        <f>IF(Alapanyagok!C21="","",Alapanyagok!C21)</f>
        <v/>
      </c>
      <c r="D21" s="880" t="str">
        <f>IF(Alapanyagok!G21="","",Alapanyagok!G21)</f>
        <v/>
      </c>
      <c r="E21" s="881"/>
      <c r="F21" s="869" t="str">
        <f>IF(E21&gt;0,VLOOKUP(E21,'DID List'!A:L,3,FALSE),"   ")</f>
        <v xml:space="preserve">   </v>
      </c>
      <c r="G21" s="870" t="str">
        <f>IF(Alapanyagok!I21="","",Alapanyagok!I21)</f>
        <v/>
      </c>
      <c r="H21" s="590"/>
      <c r="I21" s="590"/>
      <c r="J21" s="590"/>
      <c r="K21" s="590"/>
      <c r="L21" s="590"/>
      <c r="M21" s="869" t="str">
        <f>IF($E21=0,"",IF($E21='DID List'!$A$7,H21,VLOOKUP($E21,'DID List'!$A:$L,10,)))</f>
        <v/>
      </c>
      <c r="N21" s="871" t="str">
        <f>IF($E21=0,"",IF($E21='DID List'!$A$7,I21,VLOOKUP($E21,'DID List'!$A:$L,9,)))</f>
        <v/>
      </c>
      <c r="O21" s="872" t="str">
        <f>IF($E21=0,"",IF($E21='DID List'!$A$7,J21,VLOOKUP($E21,'DID List'!$A:$L,11,)))</f>
        <v/>
      </c>
      <c r="P21" s="872" t="str">
        <f>IF($E21=0,"",IF($E21='DID List'!$A$7,K21,VLOOKUP($E21,'DID List'!$A:$L,12,)))</f>
        <v/>
      </c>
      <c r="Q21" s="869" t="str">
        <f t="shared" si="0"/>
        <v/>
      </c>
      <c r="R21" s="868" t="str">
        <f>IF(B21="","",IF(OR(Alapanyagok!H21=Fordítások!$C$61,Alapanyagok!H21=Fordítások!$B$61),"Y",IF(OR(Alapanyagok!H21=Fordítások!$C$167,Alapanyagok!H21=Fordítások!$B$167),"Y","N")))</f>
        <v/>
      </c>
      <c r="S21" s="873"/>
      <c r="T21" s="876"/>
      <c r="U21" s="873"/>
      <c r="V21" s="874"/>
      <c r="W21" s="874"/>
    </row>
    <row r="22" spans="1:23" s="875" customFormat="1" ht="15.75" customHeight="1">
      <c r="A22" s="866">
        <v>11</v>
      </c>
      <c r="B22" s="867" t="str">
        <f>IF(Alapanyagok!B22="","",Alapanyagok!B22)</f>
        <v/>
      </c>
      <c r="C22" s="867" t="str">
        <f>IF(Alapanyagok!C22="","",Alapanyagok!C22)</f>
        <v/>
      </c>
      <c r="D22" s="880" t="str">
        <f>IF(Alapanyagok!G22="","",Alapanyagok!G22)</f>
        <v/>
      </c>
      <c r="E22" s="881"/>
      <c r="F22" s="869" t="str">
        <f>IF(E22&gt;0,VLOOKUP(E22,'DID List'!A:L,3,FALSE),"   ")</f>
        <v xml:space="preserve">   </v>
      </c>
      <c r="G22" s="870" t="str">
        <f>IF(Alapanyagok!I22="","",Alapanyagok!I22)</f>
        <v/>
      </c>
      <c r="H22" s="590"/>
      <c r="I22" s="590"/>
      <c r="J22" s="590"/>
      <c r="K22" s="590"/>
      <c r="L22" s="590"/>
      <c r="M22" s="869" t="str">
        <f>IF($E22=0,"",IF($E22='DID List'!$A$7,H22,VLOOKUP($E22,'DID List'!$A:$L,10,)))</f>
        <v/>
      </c>
      <c r="N22" s="871" t="str">
        <f>IF($E22=0,"",IF($E22='DID List'!$A$7,I22,VLOOKUP($E22,'DID List'!$A:$L,9,)))</f>
        <v/>
      </c>
      <c r="O22" s="872" t="str">
        <f>IF($E22=0,"",IF($E22='DID List'!$A$7,J22,VLOOKUP($E22,'DID List'!$A:$L,11,)))</f>
        <v/>
      </c>
      <c r="P22" s="872" t="str">
        <f>IF($E22=0,"",IF($E22='DID List'!$A$7,K22,VLOOKUP($E22,'DID List'!$A:$L,12,)))</f>
        <v/>
      </c>
      <c r="Q22" s="869" t="str">
        <f t="shared" si="0"/>
        <v/>
      </c>
      <c r="R22" s="868" t="str">
        <f>IF(B22="","",IF(OR(Alapanyagok!H22=Fordítások!$C$61,Alapanyagok!H22=Fordítások!$B$61),"Y",IF(OR(Alapanyagok!H22=Fordítások!$C$167,Alapanyagok!H22=Fordítások!$B$167),"Y","N")))</f>
        <v/>
      </c>
      <c r="S22" s="873"/>
      <c r="T22" s="876"/>
      <c r="U22" s="873"/>
      <c r="V22" s="874"/>
      <c r="W22" s="874"/>
    </row>
    <row r="23" spans="1:23" s="875" customFormat="1" ht="15.75" customHeight="1">
      <c r="A23" s="866">
        <v>12</v>
      </c>
      <c r="B23" s="867" t="str">
        <f>IF(Alapanyagok!B23="","",Alapanyagok!B23)</f>
        <v/>
      </c>
      <c r="C23" s="867" t="str">
        <f>IF(Alapanyagok!C23="","",Alapanyagok!C23)</f>
        <v/>
      </c>
      <c r="D23" s="880" t="str">
        <f>IF(Alapanyagok!G23="","",Alapanyagok!G23)</f>
        <v/>
      </c>
      <c r="E23" s="881"/>
      <c r="F23" s="869" t="str">
        <f>IF(E23&gt;0,VLOOKUP(E23,'DID List'!A:L,3,FALSE),"   ")</f>
        <v xml:space="preserve">   </v>
      </c>
      <c r="G23" s="870" t="str">
        <f>IF(Alapanyagok!I23="","",Alapanyagok!I23)</f>
        <v/>
      </c>
      <c r="H23" s="590"/>
      <c r="I23" s="590"/>
      <c r="J23" s="590"/>
      <c r="K23" s="590"/>
      <c r="L23" s="590"/>
      <c r="M23" s="869" t="str">
        <f>IF($E23=0,"",IF($E23='DID List'!$A$7,H23,VLOOKUP($E23,'DID List'!$A:$L,10,)))</f>
        <v/>
      </c>
      <c r="N23" s="871" t="str">
        <f>IF($E23=0,"",IF($E23='DID List'!$A$7,I23,VLOOKUP($E23,'DID List'!$A:$L,9,)))</f>
        <v/>
      </c>
      <c r="O23" s="872" t="str">
        <f>IF($E23=0,"",IF($E23='DID List'!$A$7,J23,VLOOKUP($E23,'DID List'!$A:$L,11,)))</f>
        <v/>
      </c>
      <c r="P23" s="872" t="str">
        <f>IF($E23=0,"",IF($E23='DID List'!$A$7,K23,VLOOKUP($E23,'DID List'!$A:$L,12,)))</f>
        <v/>
      </c>
      <c r="Q23" s="869" t="str">
        <f t="shared" si="0"/>
        <v/>
      </c>
      <c r="R23" s="868" t="str">
        <f>IF(B23="","",IF(OR(Alapanyagok!H23=Fordítások!$C$61,Alapanyagok!H23=Fordítások!$B$61),"Y",IF(OR(Alapanyagok!H23=Fordítások!$C$167,Alapanyagok!H23=Fordítások!$B$167),"Y","N")))</f>
        <v/>
      </c>
      <c r="S23" s="873"/>
      <c r="T23" s="876"/>
      <c r="U23" s="873"/>
      <c r="V23" s="874"/>
      <c r="W23" s="874"/>
    </row>
    <row r="24" spans="1:23" s="875" customFormat="1" ht="15.75" customHeight="1">
      <c r="A24" s="866">
        <v>13</v>
      </c>
      <c r="B24" s="867" t="str">
        <f>IF(Alapanyagok!B24="","",Alapanyagok!B24)</f>
        <v/>
      </c>
      <c r="C24" s="867" t="str">
        <f>IF(Alapanyagok!C24="","",Alapanyagok!C24)</f>
        <v/>
      </c>
      <c r="D24" s="880" t="str">
        <f>IF(Alapanyagok!G24="","",Alapanyagok!G24)</f>
        <v/>
      </c>
      <c r="E24" s="881"/>
      <c r="F24" s="869" t="str">
        <f>IF(E24&gt;0,VLOOKUP(E24,'DID List'!A:L,3,FALSE),"   ")</f>
        <v xml:space="preserve">   </v>
      </c>
      <c r="G24" s="870" t="str">
        <f>IF(Alapanyagok!I24="","",Alapanyagok!I24)</f>
        <v/>
      </c>
      <c r="H24" s="590"/>
      <c r="I24" s="590"/>
      <c r="J24" s="590"/>
      <c r="K24" s="590"/>
      <c r="L24" s="590"/>
      <c r="M24" s="869" t="str">
        <f>IF($E24=0,"",IF($E24='DID List'!$A$7,H24,VLOOKUP($E24,'DID List'!$A:$L,10,)))</f>
        <v/>
      </c>
      <c r="N24" s="871" t="str">
        <f>IF($E24=0,"",IF($E24='DID List'!$A$7,I24,VLOOKUP($E24,'DID List'!$A:$L,9,)))</f>
        <v/>
      </c>
      <c r="O24" s="872" t="str">
        <f>IF($E24=0,"",IF($E24='DID List'!$A$7,J24,VLOOKUP($E24,'DID List'!$A:$L,11,)))</f>
        <v/>
      </c>
      <c r="P24" s="872" t="str">
        <f>IF($E24=0,"",IF($E24='DID List'!$A$7,K24,VLOOKUP($E24,'DID List'!$A:$L,12,)))</f>
        <v/>
      </c>
      <c r="Q24" s="869" t="str">
        <f t="shared" si="0"/>
        <v/>
      </c>
      <c r="R24" s="868" t="str">
        <f>IF(B24="","",IF(OR(Alapanyagok!H24=Fordítások!$C$61,Alapanyagok!H24=Fordítások!$B$61),"Y",IF(OR(Alapanyagok!H24=Fordítások!$C$167,Alapanyagok!H24=Fordítások!$B$167),"Y","N")))</f>
        <v/>
      </c>
      <c r="S24" s="873"/>
      <c r="T24" s="876"/>
      <c r="U24" s="873"/>
      <c r="V24" s="874"/>
      <c r="W24" s="874"/>
    </row>
    <row r="25" spans="1:23" s="875" customFormat="1" ht="15.75" customHeight="1">
      <c r="A25" s="866">
        <v>14</v>
      </c>
      <c r="B25" s="867" t="str">
        <f>IF(Alapanyagok!B25="","",Alapanyagok!B25)</f>
        <v/>
      </c>
      <c r="C25" s="867" t="str">
        <f>IF(Alapanyagok!C25="","",Alapanyagok!C25)</f>
        <v/>
      </c>
      <c r="D25" s="880" t="str">
        <f>IF(Alapanyagok!G25="","",Alapanyagok!G25)</f>
        <v/>
      </c>
      <c r="E25" s="881"/>
      <c r="F25" s="869" t="str">
        <f>IF(E25&gt;0,VLOOKUP(E25,'DID List'!A:L,3,FALSE),"   ")</f>
        <v xml:space="preserve">   </v>
      </c>
      <c r="G25" s="870" t="str">
        <f>IF(Alapanyagok!I25="","",Alapanyagok!I25)</f>
        <v/>
      </c>
      <c r="H25" s="590"/>
      <c r="I25" s="590"/>
      <c r="J25" s="590"/>
      <c r="K25" s="590"/>
      <c r="L25" s="590"/>
      <c r="M25" s="869" t="str">
        <f>IF($E25=0,"",IF($E25='DID List'!$A$7,H25,VLOOKUP($E25,'DID List'!$A:$L,10,)))</f>
        <v/>
      </c>
      <c r="N25" s="871" t="str">
        <f>IF($E25=0,"",IF($E25='DID List'!$A$7,I25,VLOOKUP($E25,'DID List'!$A:$L,9,)))</f>
        <v/>
      </c>
      <c r="O25" s="872" t="str">
        <f>IF($E25=0,"",IF($E25='DID List'!$A$7,J25,VLOOKUP($E25,'DID List'!$A:$L,11,)))</f>
        <v/>
      </c>
      <c r="P25" s="872" t="str">
        <f>IF($E25=0,"",IF($E25='DID List'!$A$7,K25,VLOOKUP($E25,'DID List'!$A:$L,12,)))</f>
        <v/>
      </c>
      <c r="Q25" s="869" t="str">
        <f t="shared" si="0"/>
        <v/>
      </c>
      <c r="R25" s="868" t="str">
        <f>IF(B25="","",IF(OR(Alapanyagok!H25=Fordítások!$C$61,Alapanyagok!H25=Fordítások!$B$61),"Y",IF(OR(Alapanyagok!H25=Fordítások!$C$167,Alapanyagok!H25=Fordítások!$B$167),"Y","N")))</f>
        <v/>
      </c>
      <c r="S25" s="873"/>
      <c r="T25" s="876"/>
      <c r="U25" s="873"/>
      <c r="V25" s="874"/>
      <c r="W25" s="874"/>
    </row>
    <row r="26" spans="1:23" s="875" customFormat="1" ht="15.75" customHeight="1">
      <c r="A26" s="866">
        <v>15</v>
      </c>
      <c r="B26" s="867" t="str">
        <f>IF(Alapanyagok!B26="","",Alapanyagok!B26)</f>
        <v/>
      </c>
      <c r="C26" s="867" t="str">
        <f>IF(Alapanyagok!C26="","",Alapanyagok!C26)</f>
        <v/>
      </c>
      <c r="D26" s="880" t="str">
        <f>IF(Alapanyagok!G26="","",Alapanyagok!G26)</f>
        <v/>
      </c>
      <c r="E26" s="881"/>
      <c r="F26" s="869" t="str">
        <f>IF(E26&gt;0,VLOOKUP(E26,'DID List'!A:L,3,FALSE),"   ")</f>
        <v xml:space="preserve">   </v>
      </c>
      <c r="G26" s="870" t="str">
        <f>IF(Alapanyagok!I26="","",Alapanyagok!I26)</f>
        <v/>
      </c>
      <c r="H26" s="590"/>
      <c r="I26" s="590"/>
      <c r="J26" s="590"/>
      <c r="K26" s="590"/>
      <c r="L26" s="590"/>
      <c r="M26" s="869" t="str">
        <f>IF($E26=0,"",IF($E26='DID List'!$A$7,H26,VLOOKUP($E26,'DID List'!$A:$L,10,)))</f>
        <v/>
      </c>
      <c r="N26" s="871" t="str">
        <f>IF($E26=0,"",IF($E26='DID List'!$A$7,I26,VLOOKUP($E26,'DID List'!$A:$L,9,)))</f>
        <v/>
      </c>
      <c r="O26" s="872" t="str">
        <f>IF($E26=0,"",IF($E26='DID List'!$A$7,J26,VLOOKUP($E26,'DID List'!$A:$L,11,)))</f>
        <v/>
      </c>
      <c r="P26" s="872" t="str">
        <f>IF($E26=0,"",IF($E26='DID List'!$A$7,K26,VLOOKUP($E26,'DID List'!$A:$L,12,)))</f>
        <v/>
      </c>
      <c r="Q26" s="869" t="str">
        <f t="shared" si="0"/>
        <v/>
      </c>
      <c r="R26" s="868" t="str">
        <f>IF(B26="","",IF(OR(Alapanyagok!H26=Fordítások!$C$61,Alapanyagok!H26=Fordítások!$B$61),"Y",IF(OR(Alapanyagok!H26=Fordítások!$C$167,Alapanyagok!H26=Fordítások!$B$167),"Y","N")))</f>
        <v/>
      </c>
      <c r="S26" s="873"/>
      <c r="T26" s="876"/>
      <c r="U26" s="873"/>
      <c r="V26" s="874"/>
      <c r="W26" s="874"/>
    </row>
    <row r="27" spans="1:23" s="875" customFormat="1" ht="15.75" customHeight="1">
      <c r="A27" s="866">
        <v>16</v>
      </c>
      <c r="B27" s="867" t="str">
        <f>IF(Alapanyagok!B27="","",Alapanyagok!B27)</f>
        <v/>
      </c>
      <c r="C27" s="867" t="str">
        <f>IF(Alapanyagok!C27="","",Alapanyagok!C27)</f>
        <v/>
      </c>
      <c r="D27" s="880" t="str">
        <f>IF(Alapanyagok!G27="","",Alapanyagok!G27)</f>
        <v/>
      </c>
      <c r="E27" s="881"/>
      <c r="F27" s="869" t="str">
        <f>IF(E27&gt;0,VLOOKUP(E27,'DID List'!A:L,3,FALSE),"   ")</f>
        <v xml:space="preserve">   </v>
      </c>
      <c r="G27" s="870" t="str">
        <f>IF(Alapanyagok!I27="","",Alapanyagok!I27)</f>
        <v/>
      </c>
      <c r="H27" s="590"/>
      <c r="I27" s="590"/>
      <c r="J27" s="590"/>
      <c r="K27" s="590"/>
      <c r="L27" s="590"/>
      <c r="M27" s="869" t="str">
        <f>IF($E27=0,"",IF($E27='DID List'!$A$7,H27,VLOOKUP($E27,'DID List'!$A:$L,10,)))</f>
        <v/>
      </c>
      <c r="N27" s="871" t="str">
        <f>IF($E27=0,"",IF($E27='DID List'!$A$7,I27,VLOOKUP($E27,'DID List'!$A:$L,9,)))</f>
        <v/>
      </c>
      <c r="O27" s="872" t="str">
        <f>IF($E27=0,"",IF($E27='DID List'!$A$7,J27,VLOOKUP($E27,'DID List'!$A:$L,11,)))</f>
        <v/>
      </c>
      <c r="P27" s="872" t="str">
        <f>IF($E27=0,"",IF($E27='DID List'!$A$7,K27,VLOOKUP($E27,'DID List'!$A:$L,12,)))</f>
        <v/>
      </c>
      <c r="Q27" s="869" t="str">
        <f t="shared" si="0"/>
        <v/>
      </c>
      <c r="R27" s="868" t="str">
        <f>IF(B27="","",IF(OR(Alapanyagok!H27=Fordítások!$C$61,Alapanyagok!H27=Fordítások!$B$61),"Y",IF(OR(Alapanyagok!H27=Fordítások!$C$167,Alapanyagok!H27=Fordítások!$B$167),"Y","N")))</f>
        <v/>
      </c>
      <c r="S27" s="873"/>
      <c r="T27" s="876"/>
      <c r="U27" s="873"/>
      <c r="V27" s="874"/>
      <c r="W27" s="874"/>
    </row>
    <row r="28" spans="1:23" s="875" customFormat="1" ht="15.75" customHeight="1">
      <c r="A28" s="866">
        <v>17</v>
      </c>
      <c r="B28" s="867" t="str">
        <f>IF(Alapanyagok!B28="","",Alapanyagok!B28)</f>
        <v/>
      </c>
      <c r="C28" s="867" t="str">
        <f>IF(Alapanyagok!C28="","",Alapanyagok!C28)</f>
        <v/>
      </c>
      <c r="D28" s="880" t="str">
        <f>IF(Alapanyagok!G28="","",Alapanyagok!G28)</f>
        <v/>
      </c>
      <c r="E28" s="881"/>
      <c r="F28" s="869" t="str">
        <f>IF(E28&gt;0,VLOOKUP(E28,'DID List'!A:L,3,FALSE),"   ")</f>
        <v xml:space="preserve">   </v>
      </c>
      <c r="G28" s="870" t="str">
        <f>IF(Alapanyagok!I28="","",Alapanyagok!I28)</f>
        <v/>
      </c>
      <c r="H28" s="590"/>
      <c r="I28" s="590"/>
      <c r="J28" s="590"/>
      <c r="K28" s="590"/>
      <c r="L28" s="590"/>
      <c r="M28" s="869" t="str">
        <f>IF($E28=0,"",IF($E28='DID List'!$A$7,H28,VLOOKUP($E28,'DID List'!$A:$L,10,)))</f>
        <v/>
      </c>
      <c r="N28" s="871" t="str">
        <f>IF($E28=0,"",IF($E28='DID List'!$A$7,I28,VLOOKUP($E28,'DID List'!$A:$L,9,)))</f>
        <v/>
      </c>
      <c r="O28" s="872" t="str">
        <f>IF($E28=0,"",IF($E28='DID List'!$A$7,J28,VLOOKUP($E28,'DID List'!$A:$L,11,)))</f>
        <v/>
      </c>
      <c r="P28" s="872" t="str">
        <f>IF($E28=0,"",IF($E28='DID List'!$A$7,K28,VLOOKUP($E28,'DID List'!$A:$L,12,)))</f>
        <v/>
      </c>
      <c r="Q28" s="869" t="str">
        <f t="shared" si="0"/>
        <v/>
      </c>
      <c r="R28" s="868" t="str">
        <f>IF(B28="","",IF(OR(Alapanyagok!H28=Fordítások!$C$61,Alapanyagok!H28=Fordítások!$B$61),"Y",IF(OR(Alapanyagok!H28=Fordítások!$C$167,Alapanyagok!H28=Fordítások!$B$167),"Y","N")))</f>
        <v/>
      </c>
      <c r="S28" s="873"/>
      <c r="T28" s="876"/>
      <c r="U28" s="873"/>
      <c r="V28" s="874"/>
      <c r="W28" s="874"/>
    </row>
    <row r="29" spans="1:23" s="875" customFormat="1" ht="15.75" customHeight="1">
      <c r="A29" s="866">
        <v>18</v>
      </c>
      <c r="B29" s="867" t="str">
        <f>IF(Alapanyagok!B29="","",Alapanyagok!B29)</f>
        <v/>
      </c>
      <c r="C29" s="867" t="str">
        <f>IF(Alapanyagok!C29="","",Alapanyagok!C29)</f>
        <v/>
      </c>
      <c r="D29" s="880" t="str">
        <f>IF(Alapanyagok!G29="","",Alapanyagok!G29)</f>
        <v/>
      </c>
      <c r="E29" s="881"/>
      <c r="F29" s="869" t="str">
        <f>IF(E29&gt;0,VLOOKUP(E29,'DID List'!A:L,3,FALSE),"   ")</f>
        <v xml:space="preserve">   </v>
      </c>
      <c r="G29" s="870" t="str">
        <f>IF(Alapanyagok!I29="","",Alapanyagok!I29)</f>
        <v/>
      </c>
      <c r="H29" s="590"/>
      <c r="I29" s="590"/>
      <c r="J29" s="590"/>
      <c r="K29" s="590"/>
      <c r="L29" s="590"/>
      <c r="M29" s="869" t="str">
        <f>IF($E29=0,"",IF($E29='DID List'!$A$7,H29,VLOOKUP($E29,'DID List'!$A:$L,10,)))</f>
        <v/>
      </c>
      <c r="N29" s="871" t="str">
        <f>IF($E29=0,"",IF($E29='DID List'!$A$7,I29,VLOOKUP($E29,'DID List'!$A:$L,9,)))</f>
        <v/>
      </c>
      <c r="O29" s="872" t="str">
        <f>IF($E29=0,"",IF($E29='DID List'!$A$7,J29,VLOOKUP($E29,'DID List'!$A:$L,11,)))</f>
        <v/>
      </c>
      <c r="P29" s="872" t="str">
        <f>IF($E29=0,"",IF($E29='DID List'!$A$7,K29,VLOOKUP($E29,'DID List'!$A:$L,12,)))</f>
        <v/>
      </c>
      <c r="Q29" s="869" t="str">
        <f t="shared" si="0"/>
        <v/>
      </c>
      <c r="R29" s="868" t="str">
        <f>IF(B29="","",IF(OR(Alapanyagok!H29=Fordítások!$C$61,Alapanyagok!H29=Fordítások!$B$61),"Y",IF(OR(Alapanyagok!H29=Fordítások!$C$167,Alapanyagok!H29=Fordítások!$B$167),"Y","N")))</f>
        <v/>
      </c>
      <c r="S29" s="873"/>
      <c r="T29" s="876"/>
      <c r="U29" s="873"/>
      <c r="V29" s="874"/>
      <c r="W29" s="874"/>
    </row>
    <row r="30" spans="1:23" s="875" customFormat="1" ht="15.75" customHeight="1">
      <c r="A30" s="866">
        <v>19</v>
      </c>
      <c r="B30" s="867" t="str">
        <f>IF(Alapanyagok!B30="","",Alapanyagok!B30)</f>
        <v/>
      </c>
      <c r="C30" s="867" t="str">
        <f>IF(Alapanyagok!C30="","",Alapanyagok!C30)</f>
        <v/>
      </c>
      <c r="D30" s="880" t="str">
        <f>IF(Alapanyagok!G30="","",Alapanyagok!G30)</f>
        <v/>
      </c>
      <c r="E30" s="881"/>
      <c r="F30" s="869" t="str">
        <f>IF(E30&gt;0,VLOOKUP(E30,'DID List'!A:L,3,FALSE),"   ")</f>
        <v xml:space="preserve">   </v>
      </c>
      <c r="G30" s="870" t="str">
        <f>IF(Alapanyagok!I30="","",Alapanyagok!I30)</f>
        <v/>
      </c>
      <c r="H30" s="590"/>
      <c r="I30" s="590"/>
      <c r="J30" s="590"/>
      <c r="K30" s="590"/>
      <c r="L30" s="590"/>
      <c r="M30" s="869" t="str">
        <f>IF($E30=0,"",IF($E30='DID List'!$A$7,H30,VLOOKUP($E30,'DID List'!$A:$L,10,)))</f>
        <v/>
      </c>
      <c r="N30" s="871" t="str">
        <f>IF($E30=0,"",IF($E30='DID List'!$A$7,I30,VLOOKUP($E30,'DID List'!$A:$L,9,)))</f>
        <v/>
      </c>
      <c r="O30" s="872" t="str">
        <f>IF($E30=0,"",IF($E30='DID List'!$A$7,J30,VLOOKUP($E30,'DID List'!$A:$L,11,)))</f>
        <v/>
      </c>
      <c r="P30" s="872" t="str">
        <f>IF($E30=0,"",IF($E30='DID List'!$A$7,K30,VLOOKUP($E30,'DID List'!$A:$L,12,)))</f>
        <v/>
      </c>
      <c r="Q30" s="869" t="str">
        <f t="shared" si="0"/>
        <v/>
      </c>
      <c r="R30" s="868" t="str">
        <f>IF(B30="","",IF(OR(Alapanyagok!H30=Fordítások!$C$61,Alapanyagok!H30=Fordítások!$B$61),"Y",IF(OR(Alapanyagok!H30=Fordítások!$C$167,Alapanyagok!H30=Fordítások!$B$167),"Y","N")))</f>
        <v/>
      </c>
      <c r="S30" s="873"/>
      <c r="T30" s="876"/>
      <c r="U30" s="873"/>
      <c r="V30" s="874"/>
      <c r="W30" s="874"/>
    </row>
    <row r="31" spans="1:23" s="875" customFormat="1" ht="15.75" customHeight="1">
      <c r="A31" s="866">
        <v>20</v>
      </c>
      <c r="B31" s="867" t="str">
        <f>IF(Alapanyagok!B31="","",Alapanyagok!B31)</f>
        <v/>
      </c>
      <c r="C31" s="867" t="str">
        <f>IF(Alapanyagok!C31="","",Alapanyagok!C31)</f>
        <v/>
      </c>
      <c r="D31" s="880" t="str">
        <f>IF(Alapanyagok!G31="","",Alapanyagok!G31)</f>
        <v/>
      </c>
      <c r="E31" s="881"/>
      <c r="F31" s="869" t="str">
        <f>IF(E31&gt;0,VLOOKUP(E31,'DID List'!A:L,3,FALSE),"   ")</f>
        <v xml:space="preserve">   </v>
      </c>
      <c r="G31" s="870" t="str">
        <f>IF(Alapanyagok!I31="","",Alapanyagok!I31)</f>
        <v/>
      </c>
      <c r="H31" s="590"/>
      <c r="I31" s="590"/>
      <c r="J31" s="590"/>
      <c r="K31" s="590"/>
      <c r="L31" s="590"/>
      <c r="M31" s="869" t="str">
        <f>IF($E31=0,"",IF($E31='DID List'!$A$7,H31,VLOOKUP($E31,'DID List'!$A:$L,10,)))</f>
        <v/>
      </c>
      <c r="N31" s="871" t="str">
        <f>IF($E31=0,"",IF($E31='DID List'!$A$7,I31,VLOOKUP($E31,'DID List'!$A:$L,9,)))</f>
        <v/>
      </c>
      <c r="O31" s="872" t="str">
        <f>IF($E31=0,"",IF($E31='DID List'!$A$7,J31,VLOOKUP($E31,'DID List'!$A:$L,11,)))</f>
        <v/>
      </c>
      <c r="P31" s="872" t="str">
        <f>IF($E31=0,"",IF($E31='DID List'!$A$7,K31,VLOOKUP($E31,'DID List'!$A:$L,12,)))</f>
        <v/>
      </c>
      <c r="Q31" s="869" t="str">
        <f t="shared" si="0"/>
        <v/>
      </c>
      <c r="R31" s="868" t="str">
        <f>IF(B31="","",IF(OR(Alapanyagok!H31=Fordítások!$C$61,Alapanyagok!H31=Fordítások!$B$61),"Y",IF(OR(Alapanyagok!H31=Fordítások!$C$167,Alapanyagok!H31=Fordítások!$B$167),"Y","N")))</f>
        <v/>
      </c>
      <c r="S31" s="873"/>
      <c r="T31" s="876"/>
      <c r="U31" s="873"/>
      <c r="V31" s="874"/>
      <c r="W31" s="874"/>
    </row>
    <row r="32" spans="1:23" s="875" customFormat="1" ht="15.75" customHeight="1">
      <c r="A32" s="866">
        <v>21</v>
      </c>
      <c r="B32" s="867" t="str">
        <f>IF(Alapanyagok!B32="","",Alapanyagok!B32)</f>
        <v/>
      </c>
      <c r="C32" s="867" t="str">
        <f>IF(Alapanyagok!C32="","",Alapanyagok!C32)</f>
        <v/>
      </c>
      <c r="D32" s="880" t="str">
        <f>IF(Alapanyagok!G32="","",Alapanyagok!G32)</f>
        <v/>
      </c>
      <c r="E32" s="881"/>
      <c r="F32" s="869" t="str">
        <f>IF(E32&gt;0,VLOOKUP(E32,'DID List'!A:L,3,FALSE),"   ")</f>
        <v xml:space="preserve">   </v>
      </c>
      <c r="G32" s="870" t="str">
        <f>IF(Alapanyagok!I32="","",Alapanyagok!I32)</f>
        <v/>
      </c>
      <c r="H32" s="590"/>
      <c r="I32" s="590"/>
      <c r="J32" s="590"/>
      <c r="K32" s="590"/>
      <c r="L32" s="590"/>
      <c r="M32" s="869" t="str">
        <f>IF($E32=0,"",IF($E32='DID List'!$A$7,H32,VLOOKUP($E32,'DID List'!$A:$L,10,)))</f>
        <v/>
      </c>
      <c r="N32" s="871" t="str">
        <f>IF($E32=0,"",IF($E32='DID List'!$A$7,I32,VLOOKUP($E32,'DID List'!$A:$L,9,)))</f>
        <v/>
      </c>
      <c r="O32" s="872" t="str">
        <f>IF($E32=0,"",IF($E32='DID List'!$A$7,J32,VLOOKUP($E32,'DID List'!$A:$L,11,)))</f>
        <v/>
      </c>
      <c r="P32" s="872" t="str">
        <f>IF($E32=0,"",IF($E32='DID List'!$A$7,K32,VLOOKUP($E32,'DID List'!$A:$L,12,)))</f>
        <v/>
      </c>
      <c r="Q32" s="869" t="str">
        <f t="shared" si="0"/>
        <v/>
      </c>
      <c r="R32" s="868" t="str">
        <f>IF(B32="","",IF(OR(Alapanyagok!H32=Fordítások!$C$61,Alapanyagok!H32=Fordítások!$B$61),"Y",IF(OR(Alapanyagok!H32=Fordítások!$C$167,Alapanyagok!H32=Fordítások!$B$167),"Y","N")))</f>
        <v/>
      </c>
      <c r="S32" s="873"/>
      <c r="T32" s="876"/>
      <c r="U32" s="873"/>
      <c r="V32" s="874"/>
      <c r="W32" s="874"/>
    </row>
    <row r="33" spans="1:23" s="875" customFormat="1" ht="15.75" customHeight="1">
      <c r="A33" s="866">
        <v>22</v>
      </c>
      <c r="B33" s="867" t="str">
        <f>IF(Alapanyagok!B33="","",Alapanyagok!B33)</f>
        <v/>
      </c>
      <c r="C33" s="867" t="str">
        <f>IF(Alapanyagok!C33="","",Alapanyagok!C33)</f>
        <v/>
      </c>
      <c r="D33" s="880" t="str">
        <f>IF(Alapanyagok!G33="","",Alapanyagok!G33)</f>
        <v/>
      </c>
      <c r="E33" s="881"/>
      <c r="F33" s="869" t="str">
        <f>IF(E33&gt;0,VLOOKUP(E33,'DID List'!A:L,3,FALSE),"   ")</f>
        <v xml:space="preserve">   </v>
      </c>
      <c r="G33" s="870" t="str">
        <f>IF(Alapanyagok!I33="","",Alapanyagok!I33)</f>
        <v/>
      </c>
      <c r="H33" s="590"/>
      <c r="I33" s="590"/>
      <c r="J33" s="590"/>
      <c r="K33" s="590"/>
      <c r="L33" s="590"/>
      <c r="M33" s="869" t="str">
        <f>IF($E33=0,"",IF($E33='DID List'!$A$7,H33,VLOOKUP($E33,'DID List'!$A:$L,10,)))</f>
        <v/>
      </c>
      <c r="N33" s="871" t="str">
        <f>IF($E33=0,"",IF($E33='DID List'!$A$7,I33,VLOOKUP($E33,'DID List'!$A:$L,9,)))</f>
        <v/>
      </c>
      <c r="O33" s="872" t="str">
        <f>IF($E33=0,"",IF($E33='DID List'!$A$7,J33,VLOOKUP($E33,'DID List'!$A:$L,11,)))</f>
        <v/>
      </c>
      <c r="P33" s="872" t="str">
        <f>IF($E33=0,"",IF($E33='DID List'!$A$7,K33,VLOOKUP($E33,'DID List'!$A:$L,12,)))</f>
        <v/>
      </c>
      <c r="Q33" s="869" t="str">
        <f t="shared" si="0"/>
        <v/>
      </c>
      <c r="R33" s="868" t="str">
        <f>IF(B33="","",IF(OR(Alapanyagok!H33=Fordítások!$C$61,Alapanyagok!H33=Fordítások!$B$61),"Y",IF(OR(Alapanyagok!H33=Fordítások!$C$167,Alapanyagok!H33=Fordítások!$B$167),"Y","N")))</f>
        <v/>
      </c>
      <c r="S33" s="873"/>
      <c r="T33" s="876"/>
      <c r="U33" s="873"/>
      <c r="V33" s="874"/>
      <c r="W33" s="874"/>
    </row>
    <row r="34" spans="1:23" s="875" customFormat="1" ht="15.75" customHeight="1">
      <c r="A34" s="866">
        <v>23</v>
      </c>
      <c r="B34" s="867" t="str">
        <f>IF(Alapanyagok!B34="","",Alapanyagok!B34)</f>
        <v/>
      </c>
      <c r="C34" s="867" t="str">
        <f>IF(Alapanyagok!C34="","",Alapanyagok!C34)</f>
        <v/>
      </c>
      <c r="D34" s="880" t="str">
        <f>IF(Alapanyagok!G34="","",Alapanyagok!G34)</f>
        <v/>
      </c>
      <c r="E34" s="881"/>
      <c r="F34" s="869" t="str">
        <f>IF(E34&gt;0,VLOOKUP(E34,'DID List'!A:L,3,FALSE),"   ")</f>
        <v xml:space="preserve">   </v>
      </c>
      <c r="G34" s="870" t="str">
        <f>IF(Alapanyagok!I34="","",Alapanyagok!I34)</f>
        <v/>
      </c>
      <c r="H34" s="590"/>
      <c r="I34" s="590"/>
      <c r="J34" s="590"/>
      <c r="K34" s="590"/>
      <c r="L34" s="590"/>
      <c r="M34" s="869" t="str">
        <f>IF($E34=0,"",IF($E34='DID List'!$A$7,H34,VLOOKUP($E34,'DID List'!$A:$L,10,)))</f>
        <v/>
      </c>
      <c r="N34" s="871" t="str">
        <f>IF($E34=0,"",IF($E34='DID List'!$A$7,I34,VLOOKUP($E34,'DID List'!$A:$L,9,)))</f>
        <v/>
      </c>
      <c r="O34" s="872" t="str">
        <f>IF($E34=0,"",IF($E34='DID List'!$A$7,J34,VLOOKUP($E34,'DID List'!$A:$L,11,)))</f>
        <v/>
      </c>
      <c r="P34" s="872" t="str">
        <f>IF($E34=0,"",IF($E34='DID List'!$A$7,K34,VLOOKUP($E34,'DID List'!$A:$L,12,)))</f>
        <v/>
      </c>
      <c r="Q34" s="869" t="str">
        <f t="shared" si="0"/>
        <v/>
      </c>
      <c r="R34" s="868" t="str">
        <f>IF(B34="","",IF(OR(Alapanyagok!H34=Fordítások!$C$61,Alapanyagok!H34=Fordítások!$B$61),"Y",IF(OR(Alapanyagok!H34=Fordítások!$C$167,Alapanyagok!H34=Fordítások!$B$167),"Y","N")))</f>
        <v/>
      </c>
      <c r="S34" s="873"/>
      <c r="T34" s="876"/>
      <c r="U34" s="873"/>
      <c r="V34" s="874"/>
      <c r="W34" s="874"/>
    </row>
    <row r="35" spans="1:23" s="875" customFormat="1" ht="15.75" customHeight="1">
      <c r="A35" s="866">
        <v>24</v>
      </c>
      <c r="B35" s="867" t="str">
        <f>IF(Alapanyagok!B35="","",Alapanyagok!B35)</f>
        <v/>
      </c>
      <c r="C35" s="867" t="str">
        <f>IF(Alapanyagok!C35="","",Alapanyagok!C35)</f>
        <v/>
      </c>
      <c r="D35" s="880" t="str">
        <f>IF(Alapanyagok!G35="","",Alapanyagok!G35)</f>
        <v/>
      </c>
      <c r="E35" s="881"/>
      <c r="F35" s="869" t="str">
        <f>IF(E35&gt;0,VLOOKUP(E35,'DID List'!A:L,3,FALSE),"   ")</f>
        <v xml:space="preserve">   </v>
      </c>
      <c r="G35" s="870" t="str">
        <f>IF(Alapanyagok!I35="","",Alapanyagok!I35)</f>
        <v/>
      </c>
      <c r="H35" s="590"/>
      <c r="I35" s="590"/>
      <c r="J35" s="590"/>
      <c r="K35" s="590"/>
      <c r="L35" s="590"/>
      <c r="M35" s="869" t="str">
        <f>IF($E35=0,"",IF($E35='DID List'!$A$7,H35,VLOOKUP($E35,'DID List'!$A:$L,10,)))</f>
        <v/>
      </c>
      <c r="N35" s="871" t="str">
        <f>IF($E35=0,"",IF($E35='DID List'!$A$7,I35,VLOOKUP($E35,'DID List'!$A:$L,9,)))</f>
        <v/>
      </c>
      <c r="O35" s="872" t="str">
        <f>IF($E35=0,"",IF($E35='DID List'!$A$7,J35,VLOOKUP($E35,'DID List'!$A:$L,11,)))</f>
        <v/>
      </c>
      <c r="P35" s="872" t="str">
        <f>IF($E35=0,"",IF($E35='DID List'!$A$7,K35,VLOOKUP($E35,'DID List'!$A:$L,12,)))</f>
        <v/>
      </c>
      <c r="Q35" s="869" t="str">
        <f t="shared" si="0"/>
        <v/>
      </c>
      <c r="R35" s="868" t="str">
        <f>IF(B35="","",IF(OR(Alapanyagok!H35=Fordítások!$C$61,Alapanyagok!H35=Fordítások!$B$61),"Y",IF(OR(Alapanyagok!H35=Fordítások!$C$167,Alapanyagok!H35=Fordítások!$B$167),"Y","N")))</f>
        <v/>
      </c>
      <c r="S35" s="873"/>
      <c r="T35" s="876"/>
      <c r="U35" s="873"/>
      <c r="V35" s="874"/>
      <c r="W35" s="874"/>
    </row>
    <row r="36" spans="1:23" s="875" customFormat="1" ht="15.75" customHeight="1">
      <c r="A36" s="866">
        <v>25</v>
      </c>
      <c r="B36" s="867" t="str">
        <f>IF(Alapanyagok!B36="","",Alapanyagok!B36)</f>
        <v/>
      </c>
      <c r="C36" s="867" t="str">
        <f>IF(Alapanyagok!C36="","",Alapanyagok!C36)</f>
        <v/>
      </c>
      <c r="D36" s="880" t="str">
        <f>IF(Alapanyagok!G36="","",Alapanyagok!G36)</f>
        <v/>
      </c>
      <c r="E36" s="881"/>
      <c r="F36" s="869" t="str">
        <f>IF(E36&gt;0,VLOOKUP(E36,'DID List'!A:L,3,FALSE),"   ")</f>
        <v xml:space="preserve">   </v>
      </c>
      <c r="G36" s="870" t="str">
        <f>IF(Alapanyagok!I36="","",Alapanyagok!I36)</f>
        <v/>
      </c>
      <c r="H36" s="590"/>
      <c r="I36" s="590"/>
      <c r="J36" s="590"/>
      <c r="K36" s="590"/>
      <c r="L36" s="590"/>
      <c r="M36" s="869" t="str">
        <f>IF($E36=0,"",IF($E36='DID List'!$A$7,H36,VLOOKUP($E36,'DID List'!$A:$L,10,)))</f>
        <v/>
      </c>
      <c r="N36" s="871" t="str">
        <f>IF($E36=0,"",IF($E36='DID List'!$A$7,I36,VLOOKUP($E36,'DID List'!$A:$L,9,)))</f>
        <v/>
      </c>
      <c r="O36" s="872" t="str">
        <f>IF($E36=0,"",IF($E36='DID List'!$A$7,J36,VLOOKUP($E36,'DID List'!$A:$L,11,)))</f>
        <v/>
      </c>
      <c r="P36" s="872" t="str">
        <f>IF($E36=0,"",IF($E36='DID List'!$A$7,K36,VLOOKUP($E36,'DID List'!$A:$L,12,)))</f>
        <v/>
      </c>
      <c r="Q36" s="869" t="str">
        <f t="shared" si="0"/>
        <v/>
      </c>
      <c r="R36" s="868" t="str">
        <f>IF(B36="","",IF(OR(Alapanyagok!H36=Fordítások!$C$61,Alapanyagok!H36=Fordítások!$B$61),"Y",IF(OR(Alapanyagok!H36=Fordítások!$C$167,Alapanyagok!H36=Fordítások!$B$167),"Y","N")))</f>
        <v/>
      </c>
      <c r="S36" s="873"/>
      <c r="T36" s="876"/>
      <c r="U36" s="873"/>
      <c r="V36" s="874"/>
      <c r="W36" s="874"/>
    </row>
    <row r="37" spans="1:23" s="875" customFormat="1" ht="15.75" customHeight="1">
      <c r="A37" s="866">
        <v>26</v>
      </c>
      <c r="B37" s="867" t="str">
        <f>IF(Alapanyagok!B37="","",Alapanyagok!B37)</f>
        <v/>
      </c>
      <c r="C37" s="867" t="str">
        <f>IF(Alapanyagok!C37="","",Alapanyagok!C37)</f>
        <v/>
      </c>
      <c r="D37" s="880" t="str">
        <f>IF(Alapanyagok!G37="","",Alapanyagok!G37)</f>
        <v/>
      </c>
      <c r="E37" s="881"/>
      <c r="F37" s="869" t="str">
        <f>IF(E37&gt;0,VLOOKUP(E37,'DID List'!A:L,3,FALSE),"   ")</f>
        <v xml:space="preserve">   </v>
      </c>
      <c r="G37" s="870" t="str">
        <f>IF(Alapanyagok!I37="","",Alapanyagok!I37)</f>
        <v/>
      </c>
      <c r="H37" s="590"/>
      <c r="I37" s="590"/>
      <c r="J37" s="590"/>
      <c r="K37" s="590"/>
      <c r="L37" s="590"/>
      <c r="M37" s="869" t="str">
        <f>IF($E37=0,"",IF($E37='DID List'!$A$7,H37,VLOOKUP($E37,'DID List'!$A:$L,10,)))</f>
        <v/>
      </c>
      <c r="N37" s="871" t="str">
        <f>IF($E37=0,"",IF($E37='DID List'!$A$7,I37,VLOOKUP($E37,'DID List'!$A:$L,9,)))</f>
        <v/>
      </c>
      <c r="O37" s="872" t="str">
        <f>IF($E37=0,"",IF($E37='DID List'!$A$7,J37,VLOOKUP($E37,'DID List'!$A:$L,11,)))</f>
        <v/>
      </c>
      <c r="P37" s="872" t="str">
        <f>IF($E37=0,"",IF($E37='DID List'!$A$7,K37,VLOOKUP($E37,'DID List'!$A:$L,12,)))</f>
        <v/>
      </c>
      <c r="Q37" s="869" t="str">
        <f t="shared" si="0"/>
        <v/>
      </c>
      <c r="R37" s="868" t="str">
        <f>IF(B37="","",IF(OR(Alapanyagok!H37=Fordítások!$C$61,Alapanyagok!H37=Fordítások!$B$61),"Y",IF(OR(Alapanyagok!H37=Fordítások!$C$167,Alapanyagok!H37=Fordítások!$B$167),"Y","N")))</f>
        <v/>
      </c>
      <c r="S37" s="873"/>
      <c r="T37" s="876"/>
      <c r="U37" s="873"/>
      <c r="V37" s="874"/>
      <c r="W37" s="874"/>
    </row>
    <row r="38" spans="1:23" s="875" customFormat="1" ht="15.75" customHeight="1">
      <c r="A38" s="866">
        <v>27</v>
      </c>
      <c r="B38" s="867" t="str">
        <f>IF(Alapanyagok!B38="","",Alapanyagok!B38)</f>
        <v/>
      </c>
      <c r="C38" s="867" t="str">
        <f>IF(Alapanyagok!C38="","",Alapanyagok!C38)</f>
        <v/>
      </c>
      <c r="D38" s="880" t="str">
        <f>IF(Alapanyagok!G38="","",Alapanyagok!G38)</f>
        <v/>
      </c>
      <c r="E38" s="881"/>
      <c r="F38" s="869" t="str">
        <f>IF(E38&gt;0,VLOOKUP(E38,'DID List'!A:L,3,FALSE),"   ")</f>
        <v xml:space="preserve">   </v>
      </c>
      <c r="G38" s="870" t="str">
        <f>IF(Alapanyagok!I38="","",Alapanyagok!I38)</f>
        <v/>
      </c>
      <c r="H38" s="590"/>
      <c r="I38" s="590"/>
      <c r="J38" s="590"/>
      <c r="K38" s="590"/>
      <c r="L38" s="590"/>
      <c r="M38" s="869" t="str">
        <f>IF($E38=0,"",IF($E38='DID List'!$A$7,H38,VLOOKUP($E38,'DID List'!$A:$L,10,)))</f>
        <v/>
      </c>
      <c r="N38" s="871" t="str">
        <f>IF($E38=0,"",IF($E38='DID List'!$A$7,I38,VLOOKUP($E38,'DID List'!$A:$L,9,)))</f>
        <v/>
      </c>
      <c r="O38" s="872" t="str">
        <f>IF($E38=0,"",IF($E38='DID List'!$A$7,J38,VLOOKUP($E38,'DID List'!$A:$L,11,)))</f>
        <v/>
      </c>
      <c r="P38" s="872" t="str">
        <f>IF($E38=0,"",IF($E38='DID List'!$A$7,K38,VLOOKUP($E38,'DID List'!$A:$L,12,)))</f>
        <v/>
      </c>
      <c r="Q38" s="869" t="str">
        <f t="shared" si="0"/>
        <v/>
      </c>
      <c r="R38" s="868" t="str">
        <f>IF(B38="","",IF(OR(Alapanyagok!H38=Fordítások!$C$61,Alapanyagok!H38=Fordítások!$B$61),"Y",IF(OR(Alapanyagok!H38=Fordítások!$C$167,Alapanyagok!H38=Fordítások!$B$167),"Y","N")))</f>
        <v/>
      </c>
      <c r="S38" s="873"/>
      <c r="T38" s="876"/>
      <c r="U38" s="873"/>
      <c r="V38" s="874"/>
      <c r="W38" s="874"/>
    </row>
    <row r="39" spans="1:23" s="875" customFormat="1" ht="15.75" customHeight="1">
      <c r="A39" s="866">
        <v>28</v>
      </c>
      <c r="B39" s="867" t="str">
        <f>IF(Alapanyagok!B39="","",Alapanyagok!B39)</f>
        <v/>
      </c>
      <c r="C39" s="867" t="str">
        <f>IF(Alapanyagok!C39="","",Alapanyagok!C39)</f>
        <v/>
      </c>
      <c r="D39" s="880" t="str">
        <f>IF(Alapanyagok!G39="","",Alapanyagok!G39)</f>
        <v/>
      </c>
      <c r="E39" s="881"/>
      <c r="F39" s="869" t="str">
        <f>IF(E39&gt;0,VLOOKUP(E39,'DID List'!A:L,3,FALSE),"   ")</f>
        <v xml:space="preserve">   </v>
      </c>
      <c r="G39" s="870" t="str">
        <f>IF(Alapanyagok!I39="","",Alapanyagok!I39)</f>
        <v/>
      </c>
      <c r="H39" s="590"/>
      <c r="I39" s="590"/>
      <c r="J39" s="590"/>
      <c r="K39" s="590"/>
      <c r="L39" s="590"/>
      <c r="M39" s="869" t="str">
        <f>IF($E39=0,"",IF($E39='DID List'!$A$7,H39,VLOOKUP($E39,'DID List'!$A:$L,10,)))</f>
        <v/>
      </c>
      <c r="N39" s="871" t="str">
        <f>IF($E39=0,"",IF($E39='DID List'!$A$7,I39,VLOOKUP($E39,'DID List'!$A:$L,9,)))</f>
        <v/>
      </c>
      <c r="O39" s="872" t="str">
        <f>IF($E39=0,"",IF($E39='DID List'!$A$7,J39,VLOOKUP($E39,'DID List'!$A:$L,11,)))</f>
        <v/>
      </c>
      <c r="P39" s="872" t="str">
        <f>IF($E39=0,"",IF($E39='DID List'!$A$7,K39,VLOOKUP($E39,'DID List'!$A:$L,12,)))</f>
        <v/>
      </c>
      <c r="Q39" s="869" t="str">
        <f t="shared" si="0"/>
        <v/>
      </c>
      <c r="R39" s="868" t="str">
        <f>IF(B39="","",IF(OR(Alapanyagok!H39=Fordítások!$C$61,Alapanyagok!H39=Fordítások!$B$61),"Y",IF(OR(Alapanyagok!H39=Fordítások!$C$167,Alapanyagok!H39=Fordítások!$B$167),"Y","N")))</f>
        <v/>
      </c>
      <c r="S39" s="873"/>
      <c r="T39" s="876"/>
      <c r="U39" s="873"/>
      <c r="V39" s="874"/>
      <c r="W39" s="874"/>
    </row>
    <row r="40" spans="1:23" s="875" customFormat="1" ht="15.75" customHeight="1">
      <c r="A40" s="866">
        <v>29</v>
      </c>
      <c r="B40" s="867" t="str">
        <f>IF(Alapanyagok!B40="","",Alapanyagok!B40)</f>
        <v/>
      </c>
      <c r="C40" s="867" t="str">
        <f>IF(Alapanyagok!C40="","",Alapanyagok!C40)</f>
        <v/>
      </c>
      <c r="D40" s="880" t="str">
        <f>IF(Alapanyagok!G40="","",Alapanyagok!G40)</f>
        <v/>
      </c>
      <c r="E40" s="881"/>
      <c r="F40" s="869" t="str">
        <f>IF(E40&gt;0,VLOOKUP(E40,'DID List'!A:L,3,FALSE),"   ")</f>
        <v xml:space="preserve">   </v>
      </c>
      <c r="G40" s="870" t="str">
        <f>IF(Alapanyagok!I40="","",Alapanyagok!I40)</f>
        <v/>
      </c>
      <c r="H40" s="590"/>
      <c r="I40" s="590"/>
      <c r="J40" s="590"/>
      <c r="K40" s="590"/>
      <c r="L40" s="590"/>
      <c r="M40" s="869" t="str">
        <f>IF($E40=0,"",IF($E40='DID List'!$A$7,H40,VLOOKUP($E40,'DID List'!$A:$L,10,)))</f>
        <v/>
      </c>
      <c r="N40" s="871" t="str">
        <f>IF($E40=0,"",IF($E40='DID List'!$A$7,I40,VLOOKUP($E40,'DID List'!$A:$L,9,)))</f>
        <v/>
      </c>
      <c r="O40" s="872" t="str">
        <f>IF($E40=0,"",IF($E40='DID List'!$A$7,J40,VLOOKUP($E40,'DID List'!$A:$L,11,)))</f>
        <v/>
      </c>
      <c r="P40" s="872" t="str">
        <f>IF($E40=0,"",IF($E40='DID List'!$A$7,K40,VLOOKUP($E40,'DID List'!$A:$L,12,)))</f>
        <v/>
      </c>
      <c r="Q40" s="869" t="str">
        <f t="shared" si="0"/>
        <v/>
      </c>
      <c r="R40" s="868" t="str">
        <f>IF(B40="","",IF(OR(Alapanyagok!H40=Fordítások!$C$61,Alapanyagok!H40=Fordítások!$B$61),"Y",IF(OR(Alapanyagok!H40=Fordítások!$C$167,Alapanyagok!H40=Fordítások!$B$167),"Y","N")))</f>
        <v/>
      </c>
      <c r="S40" s="873"/>
      <c r="T40" s="876"/>
      <c r="U40" s="873"/>
      <c r="V40" s="874"/>
      <c r="W40" s="874"/>
    </row>
    <row r="41" spans="1:23" s="875" customFormat="1" ht="15.75" customHeight="1">
      <c r="A41" s="866">
        <v>30</v>
      </c>
      <c r="B41" s="867" t="str">
        <f>IF(Alapanyagok!B41="","",Alapanyagok!B41)</f>
        <v/>
      </c>
      <c r="C41" s="867" t="str">
        <f>IF(Alapanyagok!C41="","",Alapanyagok!C41)</f>
        <v/>
      </c>
      <c r="D41" s="880" t="str">
        <f>IF(Alapanyagok!G41="","",Alapanyagok!G41)</f>
        <v/>
      </c>
      <c r="E41" s="881"/>
      <c r="F41" s="869" t="str">
        <f>IF(E41&gt;0,VLOOKUP(E41,'DID List'!A:L,3,FALSE),"   ")</f>
        <v xml:space="preserve">   </v>
      </c>
      <c r="G41" s="870" t="str">
        <f>IF(Alapanyagok!I41="","",Alapanyagok!I41)</f>
        <v/>
      </c>
      <c r="H41" s="590"/>
      <c r="I41" s="590"/>
      <c r="J41" s="590"/>
      <c r="K41" s="590"/>
      <c r="L41" s="590"/>
      <c r="M41" s="869" t="str">
        <f>IF($E41=0,"",IF($E41='DID List'!$A$7,H41,VLOOKUP($E41,'DID List'!$A:$L,10,)))</f>
        <v/>
      </c>
      <c r="N41" s="871" t="str">
        <f>IF($E41=0,"",IF($E41='DID List'!$A$7,I41,VLOOKUP($E41,'DID List'!$A:$L,9,)))</f>
        <v/>
      </c>
      <c r="O41" s="872" t="str">
        <f>IF($E41=0,"",IF($E41='DID List'!$A$7,J41,VLOOKUP($E41,'DID List'!$A:$L,11,)))</f>
        <v/>
      </c>
      <c r="P41" s="872" t="str">
        <f>IF($E41=0,"",IF($E41='DID List'!$A$7,K41,VLOOKUP($E41,'DID List'!$A:$L,12,)))</f>
        <v/>
      </c>
      <c r="Q41" s="869" t="str">
        <f t="shared" si="0"/>
        <v/>
      </c>
      <c r="R41" s="868" t="str">
        <f>IF(B41="","",IF(OR(Alapanyagok!H41=Fordítások!$C$61,Alapanyagok!H41=Fordítások!$B$61),"Y",IF(OR(Alapanyagok!H41=Fordítások!$C$167,Alapanyagok!H41=Fordítások!$B$167),"Y","N")))</f>
        <v/>
      </c>
      <c r="S41" s="873"/>
      <c r="T41" s="876"/>
      <c r="U41" s="873"/>
      <c r="V41" s="874"/>
      <c r="W41" s="874"/>
    </row>
    <row r="42" spans="1:23" s="875" customFormat="1" ht="15.75" customHeight="1">
      <c r="A42" s="866">
        <v>31</v>
      </c>
      <c r="B42" s="867" t="str">
        <f>IF(Alapanyagok!B42="","",Alapanyagok!B42)</f>
        <v/>
      </c>
      <c r="C42" s="867" t="str">
        <f>IF(Alapanyagok!C42="","",Alapanyagok!C42)</f>
        <v/>
      </c>
      <c r="D42" s="880" t="str">
        <f>IF(Alapanyagok!G42="","",Alapanyagok!G42)</f>
        <v/>
      </c>
      <c r="E42" s="881"/>
      <c r="F42" s="869" t="str">
        <f>IF(E42&gt;0,VLOOKUP(E42,'DID List'!A:L,3,FALSE),"   ")</f>
        <v xml:space="preserve">   </v>
      </c>
      <c r="G42" s="870" t="str">
        <f>IF(Alapanyagok!I42="","",Alapanyagok!I42)</f>
        <v/>
      </c>
      <c r="H42" s="590"/>
      <c r="I42" s="590"/>
      <c r="J42" s="590"/>
      <c r="K42" s="590"/>
      <c r="L42" s="590"/>
      <c r="M42" s="869" t="str">
        <f>IF($E42=0,"",IF($E42='DID List'!$A$7,H42,VLOOKUP($E42,'DID List'!$A:$L,10,)))</f>
        <v/>
      </c>
      <c r="N42" s="871" t="str">
        <f>IF($E42=0,"",IF($E42='DID List'!$A$7,I42,VLOOKUP($E42,'DID List'!$A:$L,9,)))</f>
        <v/>
      </c>
      <c r="O42" s="872" t="str">
        <f>IF($E42=0,"",IF($E42='DID List'!$A$7,J42,VLOOKUP($E42,'DID List'!$A:$L,11,)))</f>
        <v/>
      </c>
      <c r="P42" s="872" t="str">
        <f>IF($E42=0,"",IF($E42='DID List'!$A$7,K42,VLOOKUP($E42,'DID List'!$A:$L,12,)))</f>
        <v/>
      </c>
      <c r="Q42" s="869" t="str">
        <f t="shared" si="0"/>
        <v/>
      </c>
      <c r="R42" s="868" t="str">
        <f>IF(B42="","",IF(OR(Alapanyagok!H42=Fordítások!$C$61,Alapanyagok!H42=Fordítások!$B$61),"Y",IF(OR(Alapanyagok!H42=Fordítások!$C$167,Alapanyagok!H42=Fordítások!$B$167),"Y","N")))</f>
        <v/>
      </c>
      <c r="S42" s="873"/>
      <c r="T42" s="876"/>
      <c r="U42" s="873"/>
      <c r="V42" s="874"/>
      <c r="W42" s="874"/>
    </row>
    <row r="43" spans="1:23" s="875" customFormat="1" ht="15.75" customHeight="1">
      <c r="A43" s="866">
        <v>32</v>
      </c>
      <c r="B43" s="867" t="str">
        <f>IF(Alapanyagok!B43="","",Alapanyagok!B43)</f>
        <v/>
      </c>
      <c r="C43" s="867" t="str">
        <f>IF(Alapanyagok!C43="","",Alapanyagok!C43)</f>
        <v/>
      </c>
      <c r="D43" s="880" t="str">
        <f>IF(Alapanyagok!G43="","",Alapanyagok!G43)</f>
        <v/>
      </c>
      <c r="E43" s="881"/>
      <c r="F43" s="869" t="str">
        <f>IF(E43&gt;0,VLOOKUP(E43,'DID List'!A:L,3,FALSE),"   ")</f>
        <v xml:space="preserve">   </v>
      </c>
      <c r="G43" s="870" t="str">
        <f>IF(Alapanyagok!I43="","",Alapanyagok!I43)</f>
        <v/>
      </c>
      <c r="H43" s="590"/>
      <c r="I43" s="590"/>
      <c r="J43" s="590"/>
      <c r="K43" s="590"/>
      <c r="L43" s="590"/>
      <c r="M43" s="869" t="str">
        <f>IF($E43=0,"",IF($E43='DID List'!$A$7,H43,VLOOKUP($E43,'DID List'!$A:$L,10,)))</f>
        <v/>
      </c>
      <c r="N43" s="871" t="str">
        <f>IF($E43=0,"",IF($E43='DID List'!$A$7,I43,VLOOKUP($E43,'DID List'!$A:$L,9,)))</f>
        <v/>
      </c>
      <c r="O43" s="872" t="str">
        <f>IF($E43=0,"",IF($E43='DID List'!$A$7,J43,VLOOKUP($E43,'DID List'!$A:$L,11,)))</f>
        <v/>
      </c>
      <c r="P43" s="872" t="str">
        <f>IF($E43=0,"",IF($E43='DID List'!$A$7,K43,VLOOKUP($E43,'DID List'!$A:$L,12,)))</f>
        <v/>
      </c>
      <c r="Q43" s="869" t="str">
        <f t="shared" si="0"/>
        <v/>
      </c>
      <c r="R43" s="868" t="str">
        <f>IF(B43="","",IF(OR(Alapanyagok!H43=Fordítások!$C$61,Alapanyagok!H43=Fordítások!$B$61),"Y",IF(OR(Alapanyagok!H43=Fordítások!$C$167,Alapanyagok!H43=Fordítások!$B$167),"Y","N")))</f>
        <v/>
      </c>
      <c r="S43" s="873"/>
      <c r="T43" s="876"/>
      <c r="U43" s="873"/>
      <c r="V43" s="874"/>
      <c r="W43" s="874"/>
    </row>
    <row r="44" spans="1:23" s="875" customFormat="1" ht="15.75" customHeight="1">
      <c r="A44" s="866">
        <v>33</v>
      </c>
      <c r="B44" s="867" t="str">
        <f>IF(Alapanyagok!B44="","",Alapanyagok!B44)</f>
        <v/>
      </c>
      <c r="C44" s="867" t="str">
        <f>IF(Alapanyagok!C44="","",Alapanyagok!C44)</f>
        <v/>
      </c>
      <c r="D44" s="880" t="str">
        <f>IF(Alapanyagok!G44="","",Alapanyagok!G44)</f>
        <v/>
      </c>
      <c r="E44" s="881"/>
      <c r="F44" s="869" t="str">
        <f>IF(E44&gt;0,VLOOKUP(E44,'DID List'!A:L,3,FALSE),"   ")</f>
        <v xml:space="preserve">   </v>
      </c>
      <c r="G44" s="870" t="str">
        <f>IF(Alapanyagok!I44="","",Alapanyagok!I44)</f>
        <v/>
      </c>
      <c r="H44" s="590"/>
      <c r="I44" s="590"/>
      <c r="J44" s="590"/>
      <c r="K44" s="590"/>
      <c r="L44" s="590"/>
      <c r="M44" s="869" t="str">
        <f>IF($E44=0,"",IF($E44='DID List'!$A$7,H44,VLOOKUP($E44,'DID List'!$A:$L,10,)))</f>
        <v/>
      </c>
      <c r="N44" s="871" t="str">
        <f>IF($E44=0,"",IF($E44='DID List'!$A$7,I44,VLOOKUP($E44,'DID List'!$A:$L,9,)))</f>
        <v/>
      </c>
      <c r="O44" s="872" t="str">
        <f>IF($E44=0,"",IF($E44='DID List'!$A$7,J44,VLOOKUP($E44,'DID List'!$A:$L,11,)))</f>
        <v/>
      </c>
      <c r="P44" s="872" t="str">
        <f>IF($E44=0,"",IF($E44='DID List'!$A$7,K44,VLOOKUP($E44,'DID List'!$A:$L,12,)))</f>
        <v/>
      </c>
      <c r="Q44" s="869" t="str">
        <f t="shared" si="0"/>
        <v/>
      </c>
      <c r="R44" s="868" t="str">
        <f>IF(B44="","",IF(OR(Alapanyagok!H44=Fordítások!$C$61,Alapanyagok!H44=Fordítások!$B$61),"Y",IF(OR(Alapanyagok!H44=Fordítások!$C$167,Alapanyagok!H44=Fordítások!$B$167),"Y","N")))</f>
        <v/>
      </c>
      <c r="S44" s="873"/>
      <c r="T44" s="876"/>
      <c r="U44" s="873"/>
      <c r="V44" s="874"/>
      <c r="W44" s="874"/>
    </row>
    <row r="45" spans="1:23" s="875" customFormat="1" ht="15.75" customHeight="1">
      <c r="A45" s="866">
        <v>34</v>
      </c>
      <c r="B45" s="867" t="str">
        <f>IF(Alapanyagok!B45="","",Alapanyagok!B45)</f>
        <v/>
      </c>
      <c r="C45" s="867" t="str">
        <f>IF(Alapanyagok!C45="","",Alapanyagok!C45)</f>
        <v/>
      </c>
      <c r="D45" s="880" t="str">
        <f>IF(Alapanyagok!G45="","",Alapanyagok!G45)</f>
        <v/>
      </c>
      <c r="E45" s="881"/>
      <c r="F45" s="869" t="str">
        <f>IF(E45&gt;0,VLOOKUP(E45,'DID List'!A:L,3,FALSE),"   ")</f>
        <v xml:space="preserve">   </v>
      </c>
      <c r="G45" s="870" t="str">
        <f>IF(Alapanyagok!I45="","",Alapanyagok!I45)</f>
        <v/>
      </c>
      <c r="H45" s="590"/>
      <c r="I45" s="590"/>
      <c r="J45" s="590"/>
      <c r="K45" s="590"/>
      <c r="L45" s="590"/>
      <c r="M45" s="869" t="str">
        <f>IF($E45=0,"",IF($E45='DID List'!$A$7,H45,VLOOKUP($E45,'DID List'!$A:$L,10,)))</f>
        <v/>
      </c>
      <c r="N45" s="871" t="str">
        <f>IF($E45=0,"",IF($E45='DID List'!$A$7,I45,VLOOKUP($E45,'DID List'!$A:$L,9,)))</f>
        <v/>
      </c>
      <c r="O45" s="872" t="str">
        <f>IF($E45=0,"",IF($E45='DID List'!$A$7,J45,VLOOKUP($E45,'DID List'!$A:$L,11,)))</f>
        <v/>
      </c>
      <c r="P45" s="872" t="str">
        <f>IF($E45=0,"",IF($E45='DID List'!$A$7,K45,VLOOKUP($E45,'DID List'!$A:$L,12,)))</f>
        <v/>
      </c>
      <c r="Q45" s="869" t="str">
        <f t="shared" si="0"/>
        <v/>
      </c>
      <c r="R45" s="868" t="str">
        <f>IF(B45="","",IF(OR(Alapanyagok!H45=Fordítások!$C$61,Alapanyagok!H45=Fordítások!$B$61),"Y",IF(OR(Alapanyagok!H45=Fordítások!$C$167,Alapanyagok!H45=Fordítások!$B$167),"Y","N")))</f>
        <v/>
      </c>
      <c r="S45" s="873"/>
      <c r="T45" s="876"/>
      <c r="U45" s="873"/>
      <c r="V45" s="874"/>
      <c r="W45" s="874"/>
    </row>
    <row r="46" spans="1:23" s="875" customFormat="1" ht="15.75" customHeight="1">
      <c r="A46" s="866">
        <v>35</v>
      </c>
      <c r="B46" s="867" t="str">
        <f>IF(Alapanyagok!B46="","",Alapanyagok!B46)</f>
        <v/>
      </c>
      <c r="C46" s="867" t="str">
        <f>IF(Alapanyagok!C46="","",Alapanyagok!C46)</f>
        <v/>
      </c>
      <c r="D46" s="880" t="str">
        <f>IF(Alapanyagok!G46="","",Alapanyagok!G46)</f>
        <v/>
      </c>
      <c r="E46" s="881"/>
      <c r="F46" s="869" t="str">
        <f>IF(E46&gt;0,VLOOKUP(E46,'DID List'!A:L,3,FALSE),"   ")</f>
        <v xml:space="preserve">   </v>
      </c>
      <c r="G46" s="870" t="str">
        <f>IF(Alapanyagok!I46="","",Alapanyagok!I46)</f>
        <v/>
      </c>
      <c r="H46" s="590"/>
      <c r="I46" s="590"/>
      <c r="J46" s="590"/>
      <c r="K46" s="590"/>
      <c r="L46" s="590"/>
      <c r="M46" s="869" t="str">
        <f>IF($E46=0,"",IF($E46='DID List'!$A$7,H46,VLOOKUP($E46,'DID List'!$A:$L,10,)))</f>
        <v/>
      </c>
      <c r="N46" s="871" t="str">
        <f>IF($E46=0,"",IF($E46='DID List'!$A$7,I46,VLOOKUP($E46,'DID List'!$A:$L,9,)))</f>
        <v/>
      </c>
      <c r="O46" s="872" t="str">
        <f>IF($E46=0,"",IF($E46='DID List'!$A$7,J46,VLOOKUP($E46,'DID List'!$A:$L,11,)))</f>
        <v/>
      </c>
      <c r="P46" s="872" t="str">
        <f>IF($E46=0,"",IF($E46='DID List'!$A$7,K46,VLOOKUP($E46,'DID List'!$A:$L,12,)))</f>
        <v/>
      </c>
      <c r="Q46" s="869" t="str">
        <f t="shared" si="0"/>
        <v/>
      </c>
      <c r="R46" s="868" t="str">
        <f>IF(B46="","",IF(OR(Alapanyagok!H46=Fordítások!$C$61,Alapanyagok!H46=Fordítások!$B$61),"Y",IF(OR(Alapanyagok!H46=Fordítások!$C$167,Alapanyagok!H46=Fordítások!$B$167),"Y","N")))</f>
        <v/>
      </c>
      <c r="S46" s="873"/>
      <c r="T46" s="876"/>
      <c r="U46" s="873"/>
      <c r="V46" s="874"/>
      <c r="W46" s="874"/>
    </row>
    <row r="47" spans="1:23" s="875" customFormat="1" ht="15.75" customHeight="1">
      <c r="A47" s="866">
        <v>36</v>
      </c>
      <c r="B47" s="867" t="str">
        <f>IF(Alapanyagok!B47="","",Alapanyagok!B47)</f>
        <v/>
      </c>
      <c r="C47" s="867" t="str">
        <f>IF(Alapanyagok!C47="","",Alapanyagok!C47)</f>
        <v/>
      </c>
      <c r="D47" s="880" t="str">
        <f>IF(Alapanyagok!G47="","",Alapanyagok!G47)</f>
        <v/>
      </c>
      <c r="E47" s="881"/>
      <c r="F47" s="869" t="str">
        <f>IF(E47&gt;0,VLOOKUP(E47,'DID List'!A:L,3,FALSE),"   ")</f>
        <v xml:space="preserve">   </v>
      </c>
      <c r="G47" s="870" t="str">
        <f>IF(Alapanyagok!I47="","",Alapanyagok!I47)</f>
        <v/>
      </c>
      <c r="H47" s="590"/>
      <c r="I47" s="590"/>
      <c r="J47" s="590"/>
      <c r="K47" s="590"/>
      <c r="L47" s="590"/>
      <c r="M47" s="869" t="str">
        <f>IF($E47=0,"",IF($E47='DID List'!$A$7,H47,VLOOKUP($E47,'DID List'!$A:$L,10,)))</f>
        <v/>
      </c>
      <c r="N47" s="871" t="str">
        <f>IF($E47=0,"",IF($E47='DID List'!$A$7,I47,VLOOKUP($E47,'DID List'!$A:$L,9,)))</f>
        <v/>
      </c>
      <c r="O47" s="872" t="str">
        <f>IF($E47=0,"",IF($E47='DID List'!$A$7,J47,VLOOKUP($E47,'DID List'!$A:$L,11,)))</f>
        <v/>
      </c>
      <c r="P47" s="872" t="str">
        <f>IF($E47=0,"",IF($E47='DID List'!$A$7,K47,VLOOKUP($E47,'DID List'!$A:$L,12,)))</f>
        <v/>
      </c>
      <c r="Q47" s="869" t="str">
        <f t="shared" si="0"/>
        <v/>
      </c>
      <c r="R47" s="868" t="str">
        <f>IF(B47="","",IF(OR(Alapanyagok!H47=Fordítások!$C$61,Alapanyagok!H47=Fordítások!$B$61),"Y",IF(OR(Alapanyagok!H47=Fordítások!$C$167,Alapanyagok!H47=Fordítások!$B$167),"Y","N")))</f>
        <v/>
      </c>
      <c r="S47" s="873"/>
      <c r="T47" s="876"/>
      <c r="U47" s="873"/>
      <c r="V47" s="874"/>
      <c r="W47" s="874"/>
    </row>
    <row r="48" spans="1:23" s="875" customFormat="1" ht="15.75" customHeight="1">
      <c r="A48" s="866">
        <v>37</v>
      </c>
      <c r="B48" s="867" t="str">
        <f>IF(Alapanyagok!B48="","",Alapanyagok!B48)</f>
        <v/>
      </c>
      <c r="C48" s="867" t="str">
        <f>IF(Alapanyagok!C48="","",Alapanyagok!C48)</f>
        <v/>
      </c>
      <c r="D48" s="880" t="str">
        <f>IF(Alapanyagok!G48="","",Alapanyagok!G48)</f>
        <v/>
      </c>
      <c r="E48" s="881"/>
      <c r="F48" s="869" t="str">
        <f>IF(E48&gt;0,VLOOKUP(E48,'DID List'!A:L,3,FALSE),"   ")</f>
        <v xml:space="preserve">   </v>
      </c>
      <c r="G48" s="870" t="str">
        <f>IF(Alapanyagok!I48="","",Alapanyagok!I48)</f>
        <v/>
      </c>
      <c r="H48" s="590"/>
      <c r="I48" s="590"/>
      <c r="J48" s="590"/>
      <c r="K48" s="590"/>
      <c r="L48" s="590"/>
      <c r="M48" s="869" t="str">
        <f>IF($E48=0,"",IF($E48='DID List'!$A$7,H48,VLOOKUP($E48,'DID List'!$A:$L,10,)))</f>
        <v/>
      </c>
      <c r="N48" s="871" t="str">
        <f>IF($E48=0,"",IF($E48='DID List'!$A$7,I48,VLOOKUP($E48,'DID List'!$A:$L,9,)))</f>
        <v/>
      </c>
      <c r="O48" s="872" t="str">
        <f>IF($E48=0,"",IF($E48='DID List'!$A$7,J48,VLOOKUP($E48,'DID List'!$A:$L,11,)))</f>
        <v/>
      </c>
      <c r="P48" s="872" t="str">
        <f>IF($E48=0,"",IF($E48='DID List'!$A$7,K48,VLOOKUP($E48,'DID List'!$A:$L,12,)))</f>
        <v/>
      </c>
      <c r="Q48" s="869" t="str">
        <f t="shared" si="0"/>
        <v/>
      </c>
      <c r="R48" s="868" t="str">
        <f>IF(B48="","",IF(OR(Alapanyagok!H48=Fordítások!$C$61,Alapanyagok!H48=Fordítások!$B$61),"Y",IF(OR(Alapanyagok!H48=Fordítások!$C$167,Alapanyagok!H48=Fordítások!$B$167),"Y","N")))</f>
        <v/>
      </c>
      <c r="S48" s="873"/>
      <c r="T48" s="876"/>
      <c r="U48" s="873"/>
      <c r="V48" s="874"/>
      <c r="W48" s="874"/>
    </row>
    <row r="49" spans="1:23" s="875" customFormat="1" ht="15.75" customHeight="1">
      <c r="A49" s="866">
        <v>38</v>
      </c>
      <c r="B49" s="867" t="str">
        <f>IF(Alapanyagok!B49="","",Alapanyagok!B49)</f>
        <v/>
      </c>
      <c r="C49" s="867" t="str">
        <f>IF(Alapanyagok!C49="","",Alapanyagok!C49)</f>
        <v/>
      </c>
      <c r="D49" s="880" t="str">
        <f>IF(Alapanyagok!G49="","",Alapanyagok!G49)</f>
        <v/>
      </c>
      <c r="E49" s="881"/>
      <c r="F49" s="869" t="str">
        <f>IF(E49&gt;0,VLOOKUP(E49,'DID List'!A:L,3,FALSE),"   ")</f>
        <v xml:space="preserve">   </v>
      </c>
      <c r="G49" s="870" t="str">
        <f>IF(Alapanyagok!I49="","",Alapanyagok!I49)</f>
        <v/>
      </c>
      <c r="H49" s="590"/>
      <c r="I49" s="590"/>
      <c r="J49" s="590"/>
      <c r="K49" s="590"/>
      <c r="L49" s="590"/>
      <c r="M49" s="869" t="str">
        <f>IF($E49=0,"",IF($E49='DID List'!$A$7,H49,VLOOKUP($E49,'DID List'!$A:$L,10,)))</f>
        <v/>
      </c>
      <c r="N49" s="871" t="str">
        <f>IF($E49=0,"",IF($E49='DID List'!$A$7,I49,VLOOKUP($E49,'DID List'!$A:$L,9,)))</f>
        <v/>
      </c>
      <c r="O49" s="872" t="str">
        <f>IF($E49=0,"",IF($E49='DID List'!$A$7,J49,VLOOKUP($E49,'DID List'!$A:$L,11,)))</f>
        <v/>
      </c>
      <c r="P49" s="872" t="str">
        <f>IF($E49=0,"",IF($E49='DID List'!$A$7,K49,VLOOKUP($E49,'DID List'!$A:$L,12,)))</f>
        <v/>
      </c>
      <c r="Q49" s="869" t="str">
        <f t="shared" si="0"/>
        <v/>
      </c>
      <c r="R49" s="868" t="str">
        <f>IF(B49="","",IF(OR(Alapanyagok!H49=Fordítások!$C$61,Alapanyagok!H49=Fordítások!$B$61),"Y",IF(OR(Alapanyagok!H49=Fordítások!$C$167,Alapanyagok!H49=Fordítások!$B$167),"Y","N")))</f>
        <v/>
      </c>
      <c r="S49" s="873"/>
      <c r="T49" s="876"/>
      <c r="U49" s="873"/>
      <c r="V49" s="874"/>
      <c r="W49" s="874"/>
    </row>
    <row r="50" spans="1:23" s="875" customFormat="1" ht="15.75" customHeight="1">
      <c r="A50" s="866">
        <v>39</v>
      </c>
      <c r="B50" s="867" t="str">
        <f>IF(Alapanyagok!B50="","",Alapanyagok!B50)</f>
        <v/>
      </c>
      <c r="C50" s="867" t="str">
        <f>IF(Alapanyagok!C50="","",Alapanyagok!C50)</f>
        <v/>
      </c>
      <c r="D50" s="880" t="str">
        <f>IF(Alapanyagok!G50="","",Alapanyagok!G50)</f>
        <v/>
      </c>
      <c r="E50" s="881"/>
      <c r="F50" s="869" t="str">
        <f>IF(E50&gt;0,VLOOKUP(E50,'DID List'!A:L,3,FALSE),"   ")</f>
        <v xml:space="preserve">   </v>
      </c>
      <c r="G50" s="870" t="str">
        <f>IF(Alapanyagok!I50="","",Alapanyagok!I50)</f>
        <v/>
      </c>
      <c r="H50" s="590"/>
      <c r="I50" s="590"/>
      <c r="J50" s="590"/>
      <c r="K50" s="590"/>
      <c r="L50" s="590"/>
      <c r="M50" s="869" t="str">
        <f>IF($E50=0,"",IF($E50='DID List'!$A$7,H50,VLOOKUP($E50,'DID List'!$A:$L,10,)))</f>
        <v/>
      </c>
      <c r="N50" s="871" t="str">
        <f>IF($E50=0,"",IF($E50='DID List'!$A$7,I50,VLOOKUP($E50,'DID List'!$A:$L,9,)))</f>
        <v/>
      </c>
      <c r="O50" s="872" t="str">
        <f>IF($E50=0,"",IF($E50='DID List'!$A$7,J50,VLOOKUP($E50,'DID List'!$A:$L,11,)))</f>
        <v/>
      </c>
      <c r="P50" s="872" t="str">
        <f>IF($E50=0,"",IF($E50='DID List'!$A$7,K50,VLOOKUP($E50,'DID List'!$A:$L,12,)))</f>
        <v/>
      </c>
      <c r="Q50" s="869" t="str">
        <f t="shared" si="0"/>
        <v/>
      </c>
      <c r="R50" s="868" t="str">
        <f>IF(B50="","",IF(OR(Alapanyagok!H50=Fordítások!$C$61,Alapanyagok!H50=Fordítások!$B$61),"Y",IF(OR(Alapanyagok!H50=Fordítások!$C$167,Alapanyagok!H50=Fordítások!$B$167),"Y","N")))</f>
        <v/>
      </c>
      <c r="S50" s="873"/>
      <c r="T50" s="876"/>
      <c r="U50" s="873"/>
      <c r="V50" s="874"/>
      <c r="W50" s="874"/>
    </row>
    <row r="51" spans="1:23" s="875" customFormat="1" ht="15.75" customHeight="1">
      <c r="A51" s="866">
        <v>40</v>
      </c>
      <c r="B51" s="867" t="str">
        <f>IF(Alapanyagok!B51="","",Alapanyagok!B51)</f>
        <v/>
      </c>
      <c r="C51" s="867" t="str">
        <f>IF(Alapanyagok!C51="","",Alapanyagok!C51)</f>
        <v/>
      </c>
      <c r="D51" s="880" t="str">
        <f>IF(Alapanyagok!G51="","",Alapanyagok!G51)</f>
        <v/>
      </c>
      <c r="E51" s="881"/>
      <c r="F51" s="869" t="str">
        <f>IF(E51&gt;0,VLOOKUP(E51,'DID List'!A:L,3,FALSE),"   ")</f>
        <v xml:space="preserve">   </v>
      </c>
      <c r="G51" s="870" t="str">
        <f>IF(Alapanyagok!I51="","",Alapanyagok!I51)</f>
        <v/>
      </c>
      <c r="H51" s="590"/>
      <c r="I51" s="590"/>
      <c r="J51" s="590"/>
      <c r="K51" s="590"/>
      <c r="L51" s="590"/>
      <c r="M51" s="869" t="str">
        <f>IF($E51=0,"",IF($E51='DID List'!$A$7,H51,VLOOKUP($E51,'DID List'!$A:$L,10,)))</f>
        <v/>
      </c>
      <c r="N51" s="871" t="str">
        <f>IF($E51=0,"",IF($E51='DID List'!$A$7,I51,VLOOKUP($E51,'DID List'!$A:$L,9,)))</f>
        <v/>
      </c>
      <c r="O51" s="872" t="str">
        <f>IF($E51=0,"",IF($E51='DID List'!$A$7,J51,VLOOKUP($E51,'DID List'!$A:$L,11,)))</f>
        <v/>
      </c>
      <c r="P51" s="872" t="str">
        <f>IF($E51=0,"",IF($E51='DID List'!$A$7,K51,VLOOKUP($E51,'DID List'!$A:$L,12,)))</f>
        <v/>
      </c>
      <c r="Q51" s="869" t="str">
        <f t="shared" si="0"/>
        <v/>
      </c>
      <c r="R51" s="868" t="str">
        <f>IF(B51="","",IF(OR(Alapanyagok!H51=Fordítások!$C$61,Alapanyagok!H51=Fordítások!$B$61),"Y",IF(OR(Alapanyagok!H51=Fordítások!$C$167,Alapanyagok!H51=Fordítások!$B$167),"Y","N")))</f>
        <v/>
      </c>
      <c r="S51" s="873"/>
      <c r="T51" s="876"/>
      <c r="U51" s="873"/>
      <c r="V51" s="874"/>
      <c r="W51" s="874"/>
    </row>
    <row r="52" spans="1:23" s="875" customFormat="1" ht="15.75" customHeight="1">
      <c r="A52" s="866">
        <v>41</v>
      </c>
      <c r="B52" s="867" t="str">
        <f>IF(Alapanyagok!B52="","",Alapanyagok!B52)</f>
        <v/>
      </c>
      <c r="C52" s="867" t="str">
        <f>IF(Alapanyagok!C52="","",Alapanyagok!C52)</f>
        <v/>
      </c>
      <c r="D52" s="880" t="str">
        <f>IF(Alapanyagok!G52="","",Alapanyagok!G52)</f>
        <v/>
      </c>
      <c r="E52" s="881"/>
      <c r="F52" s="869" t="str">
        <f>IF(E52&gt;0,VLOOKUP(E52,'DID List'!A:L,3,FALSE),"   ")</f>
        <v xml:space="preserve">   </v>
      </c>
      <c r="G52" s="870" t="str">
        <f>IF(Alapanyagok!I52="","",Alapanyagok!I52)</f>
        <v/>
      </c>
      <c r="H52" s="590"/>
      <c r="I52" s="590"/>
      <c r="J52" s="590"/>
      <c r="K52" s="590"/>
      <c r="L52" s="590"/>
      <c r="M52" s="869" t="str">
        <f>IF($E52=0,"",IF($E52='DID List'!$A$7,H52,VLOOKUP($E52,'DID List'!$A:$L,10,)))</f>
        <v/>
      </c>
      <c r="N52" s="871" t="str">
        <f>IF($E52=0,"",IF($E52='DID List'!$A$7,I52,VLOOKUP($E52,'DID List'!$A:$L,9,)))</f>
        <v/>
      </c>
      <c r="O52" s="872" t="str">
        <f>IF($E52=0,"",IF($E52='DID List'!$A$7,J52,VLOOKUP($E52,'DID List'!$A:$L,11,)))</f>
        <v/>
      </c>
      <c r="P52" s="872" t="str">
        <f>IF($E52=0,"",IF($E52='DID List'!$A$7,K52,VLOOKUP($E52,'DID List'!$A:$L,12,)))</f>
        <v/>
      </c>
      <c r="Q52" s="869" t="str">
        <f t="shared" si="0"/>
        <v/>
      </c>
      <c r="R52" s="868" t="str">
        <f>IF(B52="","",IF(OR(Alapanyagok!H52=Fordítások!$C$61,Alapanyagok!H52=Fordítások!$B$61),"Y",IF(OR(Alapanyagok!H52=Fordítások!$C$167,Alapanyagok!H52=Fordítások!$B$167),"Y","N")))</f>
        <v/>
      </c>
      <c r="S52" s="873"/>
      <c r="T52" s="876"/>
      <c r="U52" s="873"/>
      <c r="V52" s="874"/>
      <c r="W52" s="874"/>
    </row>
    <row r="53" spans="1:23" s="875" customFormat="1" ht="15.75" customHeight="1">
      <c r="A53" s="866">
        <v>42</v>
      </c>
      <c r="B53" s="867" t="str">
        <f>IF(Alapanyagok!B53="","",Alapanyagok!B53)</f>
        <v/>
      </c>
      <c r="C53" s="867" t="str">
        <f>IF(Alapanyagok!C53="","",Alapanyagok!C53)</f>
        <v/>
      </c>
      <c r="D53" s="880" t="str">
        <f>IF(Alapanyagok!G53="","",Alapanyagok!G53)</f>
        <v/>
      </c>
      <c r="E53" s="881"/>
      <c r="F53" s="869" t="str">
        <f>IF(E53&gt;0,VLOOKUP(E53,'DID List'!A:L,3,FALSE),"   ")</f>
        <v xml:space="preserve">   </v>
      </c>
      <c r="G53" s="870" t="str">
        <f>IF(Alapanyagok!I53="","",Alapanyagok!I53)</f>
        <v/>
      </c>
      <c r="H53" s="590"/>
      <c r="I53" s="590"/>
      <c r="J53" s="590"/>
      <c r="K53" s="590"/>
      <c r="L53" s="590"/>
      <c r="M53" s="869" t="str">
        <f>IF($E53=0,"",IF($E53='DID List'!$A$7,H53,VLOOKUP($E53,'DID List'!$A:$L,10,)))</f>
        <v/>
      </c>
      <c r="N53" s="871" t="str">
        <f>IF($E53=0,"",IF($E53='DID List'!$A$7,I53,VLOOKUP($E53,'DID List'!$A:$L,9,)))</f>
        <v/>
      </c>
      <c r="O53" s="872" t="str">
        <f>IF($E53=0,"",IF($E53='DID List'!$A$7,J53,VLOOKUP($E53,'DID List'!$A:$L,11,)))</f>
        <v/>
      </c>
      <c r="P53" s="872" t="str">
        <f>IF($E53=0,"",IF($E53='DID List'!$A$7,K53,VLOOKUP($E53,'DID List'!$A:$L,12,)))</f>
        <v/>
      </c>
      <c r="Q53" s="869" t="str">
        <f t="shared" si="0"/>
        <v/>
      </c>
      <c r="R53" s="868" t="str">
        <f>IF(B53="","",IF(OR(Alapanyagok!H53=Fordítások!$C$61,Alapanyagok!H53=Fordítások!$B$61),"Y",IF(OR(Alapanyagok!H53=Fordítások!$C$167,Alapanyagok!H53=Fordítások!$B$167),"Y","N")))</f>
        <v/>
      </c>
      <c r="S53" s="873"/>
      <c r="T53" s="876"/>
      <c r="U53" s="873"/>
      <c r="V53" s="874"/>
      <c r="W53" s="874"/>
    </row>
    <row r="54" spans="1:23" s="875" customFormat="1" ht="15.75" customHeight="1">
      <c r="A54" s="866">
        <v>43</v>
      </c>
      <c r="B54" s="867" t="str">
        <f>IF(Alapanyagok!B54="","",Alapanyagok!B54)</f>
        <v/>
      </c>
      <c r="C54" s="867" t="str">
        <f>IF(Alapanyagok!C54="","",Alapanyagok!C54)</f>
        <v/>
      </c>
      <c r="D54" s="880" t="str">
        <f>IF(Alapanyagok!G54="","",Alapanyagok!G54)</f>
        <v/>
      </c>
      <c r="E54" s="881"/>
      <c r="F54" s="869" t="str">
        <f>IF(E54&gt;0,VLOOKUP(E54,'DID List'!A:L,3,FALSE),"   ")</f>
        <v xml:space="preserve">   </v>
      </c>
      <c r="G54" s="870" t="str">
        <f>IF(Alapanyagok!I54="","",Alapanyagok!I54)</f>
        <v/>
      </c>
      <c r="H54" s="590"/>
      <c r="I54" s="590"/>
      <c r="J54" s="590"/>
      <c r="K54" s="590"/>
      <c r="L54" s="590"/>
      <c r="M54" s="869" t="str">
        <f>IF($E54=0,"",IF($E54='DID List'!$A$7,H54,VLOOKUP($E54,'DID List'!$A:$L,10,)))</f>
        <v/>
      </c>
      <c r="N54" s="871" t="str">
        <f>IF($E54=0,"",IF($E54='DID List'!$A$7,I54,VLOOKUP($E54,'DID List'!$A:$L,9,)))</f>
        <v/>
      </c>
      <c r="O54" s="872" t="str">
        <f>IF($E54=0,"",IF($E54='DID List'!$A$7,J54,VLOOKUP($E54,'DID List'!$A:$L,11,)))</f>
        <v/>
      </c>
      <c r="P54" s="872" t="str">
        <f>IF($E54=0,"",IF($E54='DID List'!$A$7,K54,VLOOKUP($E54,'DID List'!$A:$L,12,)))</f>
        <v/>
      </c>
      <c r="Q54" s="869" t="str">
        <f t="shared" si="0"/>
        <v/>
      </c>
      <c r="R54" s="868" t="str">
        <f>IF(B54="","",IF(OR(Alapanyagok!H54=Fordítások!$C$61,Alapanyagok!H54=Fordítások!$B$61),"Y",IF(OR(Alapanyagok!H54=Fordítások!$C$167,Alapanyagok!H54=Fordítások!$B$167),"Y","N")))</f>
        <v/>
      </c>
      <c r="S54" s="873"/>
      <c r="T54" s="876"/>
      <c r="U54" s="873"/>
      <c r="V54" s="874"/>
      <c r="W54" s="874"/>
    </row>
    <row r="55" spans="1:23" s="875" customFormat="1" ht="15.75" customHeight="1">
      <c r="A55" s="866">
        <v>44</v>
      </c>
      <c r="B55" s="867" t="str">
        <f>IF(Alapanyagok!B55="","",Alapanyagok!B55)</f>
        <v/>
      </c>
      <c r="C55" s="867" t="str">
        <f>IF(Alapanyagok!C55="","",Alapanyagok!C55)</f>
        <v/>
      </c>
      <c r="D55" s="880" t="str">
        <f>IF(Alapanyagok!G55="","",Alapanyagok!G55)</f>
        <v/>
      </c>
      <c r="E55" s="881"/>
      <c r="F55" s="869" t="str">
        <f>IF(E55&gt;0,VLOOKUP(E55,'DID List'!A:L,3,FALSE),"   ")</f>
        <v xml:space="preserve">   </v>
      </c>
      <c r="G55" s="870" t="str">
        <f>IF(Alapanyagok!I55="","",Alapanyagok!I55)</f>
        <v/>
      </c>
      <c r="H55" s="590"/>
      <c r="I55" s="590"/>
      <c r="J55" s="590"/>
      <c r="K55" s="590"/>
      <c r="L55" s="590"/>
      <c r="M55" s="869" t="str">
        <f>IF($E55=0,"",IF($E55='DID List'!$A$7,H55,VLOOKUP($E55,'DID List'!$A:$L,10,)))</f>
        <v/>
      </c>
      <c r="N55" s="871" t="str">
        <f>IF($E55=0,"",IF($E55='DID List'!$A$7,I55,VLOOKUP($E55,'DID List'!$A:$L,9,)))</f>
        <v/>
      </c>
      <c r="O55" s="872" t="str">
        <f>IF($E55=0,"",IF($E55='DID List'!$A$7,J55,VLOOKUP($E55,'DID List'!$A:$L,11,)))</f>
        <v/>
      </c>
      <c r="P55" s="872" t="str">
        <f>IF($E55=0,"",IF($E55='DID List'!$A$7,K55,VLOOKUP($E55,'DID List'!$A:$L,12,)))</f>
        <v/>
      </c>
      <c r="Q55" s="869" t="str">
        <f t="shared" si="0"/>
        <v/>
      </c>
      <c r="R55" s="868" t="str">
        <f>IF(B55="","",IF(OR(Alapanyagok!H55=Fordítások!$C$61,Alapanyagok!H55=Fordítások!$B$61),"Y",IF(OR(Alapanyagok!H55=Fordítások!$C$167,Alapanyagok!H55=Fordítások!$B$167),"Y","N")))</f>
        <v/>
      </c>
      <c r="S55" s="873"/>
      <c r="T55" s="876"/>
      <c r="U55" s="873"/>
      <c r="V55" s="874"/>
      <c r="W55" s="874"/>
    </row>
    <row r="56" spans="1:23" s="875" customFormat="1" ht="15.75" customHeight="1">
      <c r="A56" s="866">
        <v>45</v>
      </c>
      <c r="B56" s="867" t="str">
        <f>IF(Alapanyagok!B56="","",Alapanyagok!B56)</f>
        <v/>
      </c>
      <c r="C56" s="867" t="str">
        <f>IF(Alapanyagok!C56="","",Alapanyagok!C56)</f>
        <v/>
      </c>
      <c r="D56" s="880" t="str">
        <f>IF(Alapanyagok!G56="","",Alapanyagok!G56)</f>
        <v/>
      </c>
      <c r="E56" s="881"/>
      <c r="F56" s="869" t="str">
        <f>IF(E56&gt;0,VLOOKUP(E56,'DID List'!A:L,3,FALSE),"   ")</f>
        <v xml:space="preserve">   </v>
      </c>
      <c r="G56" s="870" t="str">
        <f>IF(Alapanyagok!I56="","",Alapanyagok!I56)</f>
        <v/>
      </c>
      <c r="H56" s="590"/>
      <c r="I56" s="590"/>
      <c r="J56" s="590"/>
      <c r="K56" s="590"/>
      <c r="L56" s="590"/>
      <c r="M56" s="869" t="str">
        <f>IF($E56=0,"",IF($E56='DID List'!$A$7,H56,VLOOKUP($E56,'DID List'!$A:$L,10,)))</f>
        <v/>
      </c>
      <c r="N56" s="871" t="str">
        <f>IF($E56=0,"",IF($E56='DID List'!$A$7,I56,VLOOKUP($E56,'DID List'!$A:$L,9,)))</f>
        <v/>
      </c>
      <c r="O56" s="872" t="str">
        <f>IF($E56=0,"",IF($E56='DID List'!$A$7,J56,VLOOKUP($E56,'DID List'!$A:$L,11,)))</f>
        <v/>
      </c>
      <c r="P56" s="872" t="str">
        <f>IF($E56=0,"",IF($E56='DID List'!$A$7,K56,VLOOKUP($E56,'DID List'!$A:$L,12,)))</f>
        <v/>
      </c>
      <c r="Q56" s="869" t="str">
        <f t="shared" si="0"/>
        <v/>
      </c>
      <c r="R56" s="868" t="str">
        <f>IF(B56="","",IF(OR(Alapanyagok!H56=Fordítások!$C$61,Alapanyagok!H56=Fordítások!$B$61),"Y",IF(OR(Alapanyagok!H56=Fordítások!$C$167,Alapanyagok!H56=Fordítások!$B$167),"Y","N")))</f>
        <v/>
      </c>
      <c r="S56" s="873"/>
      <c r="T56" s="876"/>
      <c r="U56" s="873"/>
      <c r="V56" s="874"/>
      <c r="W56" s="874"/>
    </row>
    <row r="57" spans="1:23" s="875" customFormat="1" ht="15.75" customHeight="1">
      <c r="A57" s="866">
        <v>46</v>
      </c>
      <c r="B57" s="867" t="str">
        <f>IF(Alapanyagok!B57="","",Alapanyagok!B57)</f>
        <v/>
      </c>
      <c r="C57" s="867" t="str">
        <f>IF(Alapanyagok!C57="","",Alapanyagok!C57)</f>
        <v/>
      </c>
      <c r="D57" s="880" t="str">
        <f>IF(Alapanyagok!G57="","",Alapanyagok!G57)</f>
        <v/>
      </c>
      <c r="E57" s="881"/>
      <c r="F57" s="869" t="str">
        <f>IF(E57&gt;0,VLOOKUP(E57,'DID List'!A:L,3,FALSE),"   ")</f>
        <v xml:space="preserve">   </v>
      </c>
      <c r="G57" s="870" t="str">
        <f>IF(Alapanyagok!I57="","",Alapanyagok!I57)</f>
        <v/>
      </c>
      <c r="H57" s="590"/>
      <c r="I57" s="590"/>
      <c r="J57" s="590"/>
      <c r="K57" s="590"/>
      <c r="L57" s="590"/>
      <c r="M57" s="869" t="str">
        <f>IF($E57=0,"",IF($E57='DID List'!$A$7,H57,VLOOKUP($E57,'DID List'!$A:$L,10,)))</f>
        <v/>
      </c>
      <c r="N57" s="871" t="str">
        <f>IF($E57=0,"",IF($E57='DID List'!$A$7,I57,VLOOKUP($E57,'DID List'!$A:$L,9,)))</f>
        <v/>
      </c>
      <c r="O57" s="872" t="str">
        <f>IF($E57=0,"",IF($E57='DID List'!$A$7,J57,VLOOKUP($E57,'DID List'!$A:$L,11,)))</f>
        <v/>
      </c>
      <c r="P57" s="872" t="str">
        <f>IF($E57=0,"",IF($E57='DID List'!$A$7,K57,VLOOKUP($E57,'DID List'!$A:$L,12,)))</f>
        <v/>
      </c>
      <c r="Q57" s="869" t="str">
        <f t="shared" si="0"/>
        <v/>
      </c>
      <c r="R57" s="868" t="str">
        <f>IF(B57="","",IF(OR(Alapanyagok!H57=Fordítások!$C$61,Alapanyagok!H57=Fordítások!$B$61),"Y",IF(OR(Alapanyagok!H57=Fordítások!$C$167,Alapanyagok!H57=Fordítások!$B$167),"Y","N")))</f>
        <v/>
      </c>
      <c r="S57" s="873"/>
      <c r="T57" s="876"/>
      <c r="U57" s="873"/>
      <c r="V57" s="874"/>
      <c r="W57" s="874"/>
    </row>
    <row r="58" spans="1:23" s="875" customFormat="1" ht="15.75" customHeight="1">
      <c r="A58" s="866">
        <v>47</v>
      </c>
      <c r="B58" s="867" t="str">
        <f>IF(Alapanyagok!B58="","",Alapanyagok!B58)</f>
        <v/>
      </c>
      <c r="C58" s="867" t="str">
        <f>IF(Alapanyagok!C58="","",Alapanyagok!C58)</f>
        <v/>
      </c>
      <c r="D58" s="880" t="str">
        <f>IF(Alapanyagok!G58="","",Alapanyagok!G58)</f>
        <v/>
      </c>
      <c r="E58" s="881"/>
      <c r="F58" s="869" t="str">
        <f>IF(E58&gt;0,VLOOKUP(E58,'DID List'!A:L,3,FALSE),"   ")</f>
        <v xml:space="preserve">   </v>
      </c>
      <c r="G58" s="870" t="str">
        <f>IF(Alapanyagok!I58="","",Alapanyagok!I58)</f>
        <v/>
      </c>
      <c r="H58" s="590"/>
      <c r="I58" s="590"/>
      <c r="J58" s="590"/>
      <c r="K58" s="590"/>
      <c r="L58" s="590"/>
      <c r="M58" s="869" t="str">
        <f>IF($E58=0,"",IF($E58='DID List'!$A$7,H58,VLOOKUP($E58,'DID List'!$A:$L,10,)))</f>
        <v/>
      </c>
      <c r="N58" s="871" t="str">
        <f>IF($E58=0,"",IF($E58='DID List'!$A$7,I58,VLOOKUP($E58,'DID List'!$A:$L,9,)))</f>
        <v/>
      </c>
      <c r="O58" s="872" t="str">
        <f>IF($E58=0,"",IF($E58='DID List'!$A$7,J58,VLOOKUP($E58,'DID List'!$A:$L,11,)))</f>
        <v/>
      </c>
      <c r="P58" s="872" t="str">
        <f>IF($E58=0,"",IF($E58='DID List'!$A$7,K58,VLOOKUP($E58,'DID List'!$A:$L,12,)))</f>
        <v/>
      </c>
      <c r="Q58" s="869" t="str">
        <f t="shared" si="0"/>
        <v/>
      </c>
      <c r="R58" s="868" t="str">
        <f>IF(B58="","",IF(OR(Alapanyagok!H58=Fordítások!$C$61,Alapanyagok!H58=Fordítások!$B$61),"Y",IF(OR(Alapanyagok!H58=Fordítások!$C$167,Alapanyagok!H58=Fordítások!$B$167),"Y","N")))</f>
        <v/>
      </c>
      <c r="S58" s="873"/>
      <c r="T58" s="876"/>
      <c r="U58" s="873"/>
      <c r="V58" s="874"/>
      <c r="W58" s="874"/>
    </row>
    <row r="59" spans="1:23" s="875" customFormat="1" ht="15.75" customHeight="1">
      <c r="A59" s="866">
        <v>48</v>
      </c>
      <c r="B59" s="867" t="str">
        <f>IF(Alapanyagok!B59="","",Alapanyagok!B59)</f>
        <v/>
      </c>
      <c r="C59" s="867" t="str">
        <f>IF(Alapanyagok!C59="","",Alapanyagok!C59)</f>
        <v/>
      </c>
      <c r="D59" s="880" t="str">
        <f>IF(Alapanyagok!G59="","",Alapanyagok!G59)</f>
        <v/>
      </c>
      <c r="E59" s="881"/>
      <c r="F59" s="869" t="str">
        <f>IF(E59&gt;0,VLOOKUP(E59,'DID List'!A:L,3,FALSE),"   ")</f>
        <v xml:space="preserve">   </v>
      </c>
      <c r="G59" s="870" t="str">
        <f>IF(Alapanyagok!I59="","",Alapanyagok!I59)</f>
        <v/>
      </c>
      <c r="H59" s="590"/>
      <c r="I59" s="590"/>
      <c r="J59" s="590"/>
      <c r="K59" s="590"/>
      <c r="L59" s="590"/>
      <c r="M59" s="869" t="str">
        <f>IF($E59=0,"",IF($E59='DID List'!$A$7,H59,VLOOKUP($E59,'DID List'!$A:$L,10,)))</f>
        <v/>
      </c>
      <c r="N59" s="871" t="str">
        <f>IF($E59=0,"",IF($E59='DID List'!$A$7,I59,VLOOKUP($E59,'DID List'!$A:$L,9,)))</f>
        <v/>
      </c>
      <c r="O59" s="872" t="str">
        <f>IF($E59=0,"",IF($E59='DID List'!$A$7,J59,VLOOKUP($E59,'DID List'!$A:$L,11,)))</f>
        <v/>
      </c>
      <c r="P59" s="872" t="str">
        <f>IF($E59=0,"",IF($E59='DID List'!$A$7,K59,VLOOKUP($E59,'DID List'!$A:$L,12,)))</f>
        <v/>
      </c>
      <c r="Q59" s="869" t="str">
        <f t="shared" si="0"/>
        <v/>
      </c>
      <c r="R59" s="868" t="str">
        <f>IF(B59="","",IF(OR(Alapanyagok!H59=Fordítások!$C$61,Alapanyagok!H59=Fordítások!$B$61),"Y",IF(OR(Alapanyagok!H59=Fordítások!$C$167,Alapanyagok!H59=Fordítások!$B$167),"Y","N")))</f>
        <v/>
      </c>
      <c r="S59" s="873"/>
      <c r="T59" s="876"/>
      <c r="U59" s="873"/>
      <c r="V59" s="874"/>
      <c r="W59" s="874"/>
    </row>
    <row r="60" spans="1:23" s="875" customFormat="1" ht="15.75" customHeight="1">
      <c r="A60" s="866">
        <v>49</v>
      </c>
      <c r="B60" s="867" t="str">
        <f>IF(Alapanyagok!B60="","",Alapanyagok!B60)</f>
        <v/>
      </c>
      <c r="C60" s="867" t="str">
        <f>IF(Alapanyagok!C60="","",Alapanyagok!C60)</f>
        <v/>
      </c>
      <c r="D60" s="880" t="str">
        <f>IF(Alapanyagok!G60="","",Alapanyagok!G60)</f>
        <v/>
      </c>
      <c r="E60" s="881"/>
      <c r="F60" s="869" t="str">
        <f>IF(E60&gt;0,VLOOKUP(E60,'DID List'!A:L,3,FALSE),"   ")</f>
        <v xml:space="preserve">   </v>
      </c>
      <c r="G60" s="870" t="str">
        <f>IF(Alapanyagok!I60="","",Alapanyagok!I60)</f>
        <v/>
      </c>
      <c r="H60" s="590"/>
      <c r="I60" s="590"/>
      <c r="J60" s="590"/>
      <c r="K60" s="590"/>
      <c r="L60" s="590"/>
      <c r="M60" s="869" t="str">
        <f>IF($E60=0,"",IF($E60='DID List'!$A$7,H60,VLOOKUP($E60,'DID List'!$A:$L,10,)))</f>
        <v/>
      </c>
      <c r="N60" s="871" t="str">
        <f>IF($E60=0,"",IF($E60='DID List'!$A$7,I60,VLOOKUP($E60,'DID List'!$A:$L,9,)))</f>
        <v/>
      </c>
      <c r="O60" s="872" t="str">
        <f>IF($E60=0,"",IF($E60='DID List'!$A$7,J60,VLOOKUP($E60,'DID List'!$A:$L,11,)))</f>
        <v/>
      </c>
      <c r="P60" s="872" t="str">
        <f>IF($E60=0,"",IF($E60='DID List'!$A$7,K60,VLOOKUP($E60,'DID List'!$A:$L,12,)))</f>
        <v/>
      </c>
      <c r="Q60" s="869" t="str">
        <f t="shared" si="0"/>
        <v/>
      </c>
      <c r="R60" s="868" t="str">
        <f>IF(B60="","",IF(OR(Alapanyagok!H60=Fordítások!$C$61,Alapanyagok!H60=Fordítások!$B$61),"Y",IF(OR(Alapanyagok!H60=Fordítások!$C$167,Alapanyagok!H60=Fordítások!$B$167),"Y","N")))</f>
        <v/>
      </c>
      <c r="S60" s="873"/>
      <c r="T60" s="876"/>
      <c r="U60" s="873"/>
      <c r="V60" s="874"/>
      <c r="W60" s="874"/>
    </row>
    <row r="61" spans="1:23" s="875" customFormat="1" ht="15.75" customHeight="1">
      <c r="A61" s="866">
        <v>50</v>
      </c>
      <c r="B61" s="867" t="str">
        <f>IF(Alapanyagok!B61="","",Alapanyagok!B61)</f>
        <v/>
      </c>
      <c r="C61" s="867" t="str">
        <f>IF(Alapanyagok!C61="","",Alapanyagok!C61)</f>
        <v/>
      </c>
      <c r="D61" s="880" t="str">
        <f>IF(Alapanyagok!G61="","",Alapanyagok!G61)</f>
        <v/>
      </c>
      <c r="E61" s="881"/>
      <c r="F61" s="869" t="str">
        <f>IF(E61&gt;0,VLOOKUP(E61,'DID List'!A:L,3,FALSE),"   ")</f>
        <v xml:space="preserve">   </v>
      </c>
      <c r="G61" s="870" t="str">
        <f>IF(Alapanyagok!I61="","",Alapanyagok!I61)</f>
        <v/>
      </c>
      <c r="H61" s="590"/>
      <c r="I61" s="590"/>
      <c r="J61" s="590"/>
      <c r="K61" s="590"/>
      <c r="L61" s="590"/>
      <c r="M61" s="869" t="str">
        <f>IF($E61=0,"",IF($E61='DID List'!$A$7,H61,VLOOKUP($E61,'DID List'!$A:$L,10,)))</f>
        <v/>
      </c>
      <c r="N61" s="871" t="str">
        <f>IF($E61=0,"",IF($E61='DID List'!$A$7,I61,VLOOKUP($E61,'DID List'!$A:$L,9,)))</f>
        <v/>
      </c>
      <c r="O61" s="872" t="str">
        <f>IF($E61=0,"",IF($E61='DID List'!$A$7,J61,VLOOKUP($E61,'DID List'!$A:$L,11,)))</f>
        <v/>
      </c>
      <c r="P61" s="872" t="str">
        <f>IF($E61=0,"",IF($E61='DID List'!$A$7,K61,VLOOKUP($E61,'DID List'!$A:$L,12,)))</f>
        <v/>
      </c>
      <c r="Q61" s="869" t="str">
        <f t="shared" si="0"/>
        <v/>
      </c>
      <c r="R61" s="868" t="str">
        <f>IF(B61="","",IF(OR(Alapanyagok!H61=Fordítások!$C$61,Alapanyagok!H61=Fordítások!$B$61),"Y",IF(OR(Alapanyagok!H61=Fordítások!$C$167,Alapanyagok!H61=Fordítások!$B$167),"Y","N")))</f>
        <v/>
      </c>
      <c r="S61" s="873"/>
      <c r="T61" s="876"/>
      <c r="U61" s="873"/>
      <c r="V61" s="874"/>
      <c r="W61" s="874"/>
    </row>
    <row r="62" spans="1:21" ht="15.5">
      <c r="A62" s="38"/>
      <c r="B62" s="39" t="str">
        <f>Összetétel!B62</f>
        <v>Összesen:</v>
      </c>
      <c r="C62" s="39"/>
      <c r="D62" s="43"/>
      <c r="E62" s="40"/>
      <c r="F62" s="593"/>
      <c r="G62" s="41">
        <f>SUM(G12:G61)</f>
        <v>0</v>
      </c>
      <c r="H62" s="58"/>
      <c r="I62" s="591"/>
      <c r="J62" s="58"/>
      <c r="K62" s="58"/>
      <c r="L62" s="113"/>
      <c r="M62" s="43"/>
      <c r="N62" s="43"/>
      <c r="O62" s="43"/>
      <c r="P62" s="43"/>
      <c r="Q62" s="43"/>
      <c r="R62" s="52"/>
      <c r="S62" s="583"/>
      <c r="T62" s="704"/>
      <c r="U62" s="583"/>
    </row>
    <row r="63" spans="1:21" ht="15.5">
      <c r="A63" s="21"/>
      <c r="B63" s="44"/>
      <c r="C63" s="21"/>
      <c r="D63" s="47"/>
      <c r="E63" s="44"/>
      <c r="F63" s="53"/>
      <c r="G63" s="20" t="str">
        <f>Összetétel!E63</f>
        <v>(100-t adjon ki!)</v>
      </c>
      <c r="H63" s="44"/>
      <c r="I63" s="47"/>
      <c r="J63" s="44"/>
      <c r="K63" s="44"/>
      <c r="L63" s="173"/>
      <c r="M63" s="47"/>
      <c r="N63" s="47"/>
      <c r="O63" s="47"/>
      <c r="P63" s="52"/>
      <c r="Q63" s="52"/>
      <c r="R63" s="59"/>
      <c r="S63" s="583"/>
      <c r="T63" s="704"/>
      <c r="U63" s="583"/>
    </row>
    <row r="64" spans="1:21" ht="15.5">
      <c r="A64" s="21"/>
      <c r="B64" s="44"/>
      <c r="C64" s="21"/>
      <c r="D64" s="47"/>
      <c r="E64" s="44"/>
      <c r="F64" s="53"/>
      <c r="G64" s="45"/>
      <c r="H64" s="44"/>
      <c r="I64" s="47"/>
      <c r="J64" s="44"/>
      <c r="K64" s="44"/>
      <c r="L64" s="173"/>
      <c r="M64" s="47"/>
      <c r="N64" s="47"/>
      <c r="O64" s="47"/>
      <c r="P64" s="52"/>
      <c r="Q64" s="52"/>
      <c r="R64" s="59"/>
      <c r="S64" s="583"/>
      <c r="T64" s="704"/>
      <c r="U64" s="583"/>
    </row>
    <row r="65" spans="1:21" ht="30" customHeight="1">
      <c r="A65" s="21"/>
      <c r="B65" s="1075" t="str">
        <f>IF(Adatlap!$L$1=Fordítások!C3,Fordítások!C105,Fordítások!B105)</f>
        <v>1): A DID-szám kiválasztása esetén az M és N oszlopok (LT, TT), illetve az O és P oszlopok (biológiai lebonthatóság) automatikusan kitöltődnek. Ha az anyag nem szerepel a DID-listában, válassza a "nem szerepel" választ, és töltse ki a H_K oszlopokban az LT/TT -re és a biológiai lebonthatóságra vonatkozó értékeket.</v>
      </c>
      <c r="C65" s="1075" t="str">
        <f>IF(Adatlap!$L$1=Fordítások!B33,Fordítások!B135,Fordítások!A135)</f>
        <v>(bitte auswählen)</v>
      </c>
      <c r="D65" s="1075" t="e">
        <f>IF(Adatlap!$L$1=Fordítások!A33,Fordítások!A135,Fordítások!#REF!)</f>
        <v>#REF!</v>
      </c>
      <c r="E65" s="1075" t="e">
        <f>IF(Adatlap!$L$1=Fordítások!#REF!,Fordítások!#REF!,Fordítások!D135)</f>
        <v>#REF!</v>
      </c>
      <c r="F65" s="1075">
        <f>IF(Adatlap!$L$1=Fordítások!D33,Fordítások!D135,Fordítások!E135)</f>
        <v>0</v>
      </c>
      <c r="G65" s="1075">
        <f>IF(Adatlap!$L$1=Fordítások!E33,Fordítások!E135,Fordítások!F135)</f>
        <v>0</v>
      </c>
      <c r="H65" s="1075">
        <f>IF(Adatlap!$L$1=Fordítások!F33,Fordítások!F135,Fordítások!G135)</f>
        <v>0</v>
      </c>
      <c r="I65" s="1075">
        <f>IF(Adatlap!$L$1=Fordítások!G33,Fordítások!G135,Fordítások!H135)</f>
        <v>0</v>
      </c>
      <c r="J65" s="1075">
        <f>IF(Adatlap!$L$1=Fordítások!H33,Fordítások!H135,Fordítások!I135)</f>
        <v>0</v>
      </c>
      <c r="K65" s="1075">
        <f>IF(Adatlap!$L$1=Fordítások!I33,Fordítások!I135,Fordítások!J135)</f>
        <v>0</v>
      </c>
      <c r="L65" s="1075"/>
      <c r="M65" s="1075">
        <f>IF(Adatlap!$L$1=Fordítások!J33,Fordítások!J135,Fordítások!K135)</f>
        <v>0</v>
      </c>
      <c r="N65" s="1075">
        <f>IF(Adatlap!$L$1=Fordítások!K33,Fordítások!K135,Fordítások!L135)</f>
        <v>0</v>
      </c>
      <c r="O65" s="1075">
        <f>IF(Adatlap!$L$1=Fordítások!L33,Fordítások!L135,Fordítások!M135)</f>
        <v>0</v>
      </c>
      <c r="P65" s="1075">
        <f>IF(Adatlap!$L$1=Fordítások!M33,Fordítások!M135,Fordítások!N135)</f>
        <v>0</v>
      </c>
      <c r="Q65" s="204"/>
      <c r="R65" s="59"/>
      <c r="S65" s="583"/>
      <c r="T65" s="704"/>
      <c r="U65" s="583"/>
    </row>
    <row r="66" spans="1:21" ht="15.5">
      <c r="A66" s="21"/>
      <c r="B66" s="48" t="str">
        <f>IF(Adatlap!$L$1=Fordítások!C3,Fordítások!C33,Fordítások!B33)</f>
        <v>2) Minden hozzáadott anyag automatikusan megjelenik.</v>
      </c>
      <c r="C66" s="49"/>
      <c r="D66" s="50"/>
      <c r="E66" s="48"/>
      <c r="F66" s="594"/>
      <c r="G66" s="48"/>
      <c r="H66" s="48"/>
      <c r="I66" s="50"/>
      <c r="J66" s="48"/>
      <c r="K66" s="48"/>
      <c r="L66" s="174"/>
      <c r="M66" s="50"/>
      <c r="N66" s="50"/>
      <c r="O66" s="50"/>
      <c r="P66" s="59"/>
      <c r="Q66" s="59"/>
      <c r="R66" s="204"/>
      <c r="S66" s="583"/>
      <c r="T66" s="704"/>
      <c r="U66" s="583"/>
    </row>
    <row r="67" spans="1:21" ht="11.25" customHeight="1">
      <c r="A67" s="21"/>
      <c r="B67" s="44"/>
      <c r="C67" s="21"/>
      <c r="D67" s="47"/>
      <c r="E67" s="44"/>
      <c r="F67" s="53"/>
      <c r="G67" s="52"/>
      <c r="H67" s="44"/>
      <c r="I67" s="47"/>
      <c r="J67" s="44"/>
      <c r="K67" s="44"/>
      <c r="L67" s="113"/>
      <c r="M67" s="47"/>
      <c r="N67" s="47"/>
      <c r="O67" s="47"/>
      <c r="P67" s="52"/>
      <c r="Q67" s="52"/>
      <c r="R67" s="52"/>
      <c r="S67" s="583"/>
      <c r="T67" s="704"/>
      <c r="U67" s="583"/>
    </row>
    <row r="68" spans="1:21" ht="46.5" customHeight="1">
      <c r="A68" s="14"/>
      <c r="B68" s="1062" t="str">
        <f>Összetétel!B67:H67</f>
        <v>A pályázó megjegyzései</v>
      </c>
      <c r="C68" s="1062"/>
      <c r="D68" s="1062"/>
      <c r="E68" s="1062"/>
      <c r="F68" s="1062"/>
      <c r="G68" s="1062"/>
      <c r="H68" s="1062"/>
      <c r="I68" s="1062"/>
      <c r="J68" s="1062"/>
      <c r="K68" s="1062"/>
      <c r="L68" s="1062"/>
      <c r="M68" s="1062"/>
      <c r="N68" s="1062"/>
      <c r="O68" s="1062"/>
      <c r="P68" s="1062"/>
      <c r="Q68" s="1062"/>
      <c r="R68" s="52"/>
      <c r="S68" s="583"/>
      <c r="T68" s="704"/>
      <c r="U68" s="583"/>
    </row>
    <row r="69" spans="1:21" ht="15.5">
      <c r="A69" s="21"/>
      <c r="B69" s="44"/>
      <c r="C69" s="21"/>
      <c r="D69" s="47"/>
      <c r="E69" s="44"/>
      <c r="F69" s="53"/>
      <c r="G69" s="52"/>
      <c r="H69" s="44"/>
      <c r="I69" s="47"/>
      <c r="J69" s="44"/>
      <c r="K69" s="44"/>
      <c r="L69" s="113"/>
      <c r="M69" s="47"/>
      <c r="N69" s="47"/>
      <c r="O69" s="47"/>
      <c r="P69" s="52"/>
      <c r="Q69" s="52"/>
      <c r="R69" s="52"/>
      <c r="S69" s="583"/>
      <c r="T69" s="704"/>
      <c r="U69" s="583"/>
    </row>
    <row r="70" spans="1:21" ht="15.5">
      <c r="A70" s="51"/>
      <c r="B70" s="7"/>
      <c r="C70" s="51"/>
      <c r="D70" s="53"/>
      <c r="E70" s="75" t="s">
        <v>225</v>
      </c>
      <c r="F70" s="53"/>
      <c r="G70" s="52"/>
      <c r="H70" s="52"/>
      <c r="I70" s="53"/>
      <c r="J70" s="52"/>
      <c r="K70" s="52"/>
      <c r="L70" s="113"/>
      <c r="M70" s="53"/>
      <c r="N70" s="53"/>
      <c r="O70" s="53"/>
      <c r="P70" s="52"/>
      <c r="Q70" s="52"/>
      <c r="R70" s="52"/>
      <c r="S70" s="583"/>
      <c r="T70" s="704"/>
      <c r="U70" s="583"/>
    </row>
    <row r="71" spans="1:21" ht="12.75">
      <c r="A71" s="51"/>
      <c r="B71" s="53"/>
      <c r="C71" s="53"/>
      <c r="D71" s="53"/>
      <c r="E71" s="65" t="s">
        <v>190</v>
      </c>
      <c r="F71" s="761" t="str">
        <f>IF(Adatlap!$L$1=Fordítások!C3,Fordítások!C80,Fordítások!B80)</f>
        <v>Biológiailag könnyen lebomló az OECD iránymutatás szerint</v>
      </c>
      <c r="G71" s="53"/>
      <c r="H71" s="53"/>
      <c r="I71" s="53"/>
      <c r="J71" s="53"/>
      <c r="K71" s="53"/>
      <c r="L71" s="169"/>
      <c r="M71" s="53"/>
      <c r="N71" s="53"/>
      <c r="O71" s="53"/>
      <c r="P71" s="53"/>
      <c r="Q71" s="53"/>
      <c r="R71" s="53"/>
      <c r="S71" s="586"/>
      <c r="T71" s="748"/>
      <c r="U71" s="586"/>
    </row>
    <row r="72" spans="1:21" ht="12.75">
      <c r="A72" s="51"/>
      <c r="B72" s="53"/>
      <c r="C72" s="53"/>
      <c r="D72" s="53"/>
      <c r="E72" s="65" t="s">
        <v>191</v>
      </c>
      <c r="F72" s="761" t="str">
        <f>IF(Adatlap!$L$1=Fordítások!C3,Fordítások!C81,Fordítások!B81)</f>
        <v>Biológiailag potenciális lebomló az OECD iránymutatás szerint</v>
      </c>
      <c r="G72" s="53"/>
      <c r="H72" s="53"/>
      <c r="I72" s="53"/>
      <c r="J72" s="53"/>
      <c r="K72" s="53"/>
      <c r="L72" s="169"/>
      <c r="M72" s="53"/>
      <c r="N72" s="53"/>
      <c r="O72" s="53"/>
      <c r="P72" s="53"/>
      <c r="Q72" s="53"/>
      <c r="R72" s="53"/>
      <c r="S72" s="586"/>
      <c r="T72" s="748"/>
      <c r="U72" s="586"/>
    </row>
    <row r="73" spans="1:21" ht="12.75">
      <c r="A73" s="51"/>
      <c r="B73" s="53"/>
      <c r="C73" s="53"/>
      <c r="D73" s="53"/>
      <c r="E73" s="65" t="s">
        <v>192</v>
      </c>
      <c r="F73" s="761" t="str">
        <f>IF(Adatlap!$L$1=Fordítások!C3,Fordítások!C82,Fordítások!B82)</f>
        <v>Biológiai úton nehezen lebontható. Az összetevő a vizsgálat során nem bizonyult biológiailag potenciálisan lebomlónak.</v>
      </c>
      <c r="G73" s="53"/>
      <c r="H73" s="53"/>
      <c r="I73" s="53"/>
      <c r="J73" s="53"/>
      <c r="K73" s="53"/>
      <c r="L73" s="169"/>
      <c r="M73" s="53"/>
      <c r="N73" s="53"/>
      <c r="O73" s="53"/>
      <c r="P73" s="53"/>
      <c r="Q73" s="53"/>
      <c r="R73" s="53"/>
      <c r="S73" s="586"/>
      <c r="T73" s="748"/>
      <c r="U73" s="586"/>
    </row>
    <row r="74" spans="1:21" ht="12.75">
      <c r="A74" s="51"/>
      <c r="B74" s="53"/>
      <c r="C74" s="53"/>
      <c r="D74" s="53"/>
      <c r="E74" s="65" t="s">
        <v>193</v>
      </c>
      <c r="F74" s="761" t="str">
        <f>IF(Adatlap!$L$1=Fordítások!C3,Fordítások!C83,Fordítások!B83)</f>
        <v>Az összetevőt nem vizsgálták</v>
      </c>
      <c r="G74" s="53"/>
      <c r="H74" s="53"/>
      <c r="I74" s="53"/>
      <c r="J74" s="53"/>
      <c r="K74" s="53"/>
      <c r="L74" s="169"/>
      <c r="M74" s="53"/>
      <c r="N74" s="53"/>
      <c r="O74" s="53"/>
      <c r="P74" s="53"/>
      <c r="Q74" s="53"/>
      <c r="R74" s="53"/>
      <c r="S74" s="586"/>
      <c r="T74" s="748"/>
      <c r="U74" s="586"/>
    </row>
    <row r="75" spans="1:21" ht="12.75">
      <c r="A75" s="51"/>
      <c r="B75" s="53"/>
      <c r="C75" s="53"/>
      <c r="D75" s="53"/>
      <c r="E75" s="65" t="s">
        <v>194</v>
      </c>
      <c r="F75" s="761" t="str">
        <f>IF(Adatlap!$L$1=Fordítások!C3,Fordítások!C84,Fordítások!B84)</f>
        <v xml:space="preserve">Nem alkalmazható / Nem értelmezhető </v>
      </c>
      <c r="G75" s="53"/>
      <c r="H75" s="53"/>
      <c r="I75" s="53"/>
      <c r="J75" s="53"/>
      <c r="K75" s="53"/>
      <c r="L75" s="169"/>
      <c r="M75" s="53"/>
      <c r="N75" s="53"/>
      <c r="O75" s="53"/>
      <c r="P75" s="53"/>
      <c r="Q75" s="53"/>
      <c r="R75" s="53"/>
      <c r="S75" s="586"/>
      <c r="T75" s="748"/>
      <c r="U75" s="586"/>
    </row>
    <row r="76" spans="1:21" ht="12.75">
      <c r="A76" s="77"/>
      <c r="B76" s="53"/>
      <c r="C76" s="53"/>
      <c r="D76" s="53"/>
      <c r="E76" s="65"/>
      <c r="F76" s="595"/>
      <c r="G76" s="53"/>
      <c r="H76" s="53"/>
      <c r="I76" s="53"/>
      <c r="J76" s="53"/>
      <c r="K76" s="53"/>
      <c r="L76" s="169"/>
      <c r="M76" s="53"/>
      <c r="N76" s="53"/>
      <c r="O76" s="53"/>
      <c r="P76" s="53"/>
      <c r="Q76" s="53"/>
      <c r="R76" s="53"/>
      <c r="S76" s="586"/>
      <c r="T76" s="748"/>
      <c r="U76" s="586"/>
    </row>
    <row r="77" spans="1:21" ht="12.75">
      <c r="A77" s="77"/>
      <c r="B77" s="53"/>
      <c r="C77" s="53"/>
      <c r="D77" s="53"/>
      <c r="E77" s="76" t="s">
        <v>226</v>
      </c>
      <c r="F77" s="595"/>
      <c r="G77" s="53"/>
      <c r="H77" s="53"/>
      <c r="I77" s="53"/>
      <c r="J77" s="53"/>
      <c r="K77" s="53"/>
      <c r="L77" s="169"/>
      <c r="M77" s="53"/>
      <c r="N77" s="53"/>
      <c r="O77" s="53"/>
      <c r="P77" s="53"/>
      <c r="Q77" s="53"/>
      <c r="R77" s="53"/>
      <c r="S77" s="586"/>
      <c r="T77" s="748"/>
      <c r="U77" s="586"/>
    </row>
    <row r="78" spans="1:21" ht="12.75">
      <c r="A78" s="77"/>
      <c r="B78" s="53"/>
      <c r="C78" s="53"/>
      <c r="D78" s="53"/>
      <c r="E78" s="66" t="s">
        <v>196</v>
      </c>
      <c r="F78" s="761" t="str">
        <f>IF(Adatlap!$L$1=Fordítások!C3,Fordítások!C85,Fordítások!B85)</f>
        <v>Anaerob körülmények között biológiailag lebontható</v>
      </c>
      <c r="G78" s="53"/>
      <c r="H78" s="53"/>
      <c r="I78" s="53"/>
      <c r="J78" s="53"/>
      <c r="K78" s="53"/>
      <c r="L78" s="169"/>
      <c r="M78" s="53"/>
      <c r="N78" s="53"/>
      <c r="O78" s="53"/>
      <c r="P78" s="53"/>
      <c r="Q78" s="53"/>
      <c r="R78" s="53"/>
      <c r="S78" s="586"/>
      <c r="T78" s="748"/>
      <c r="U78" s="586"/>
    </row>
    <row r="79" spans="1:21" ht="12.75">
      <c r="A79" s="77"/>
      <c r="B79" s="53"/>
      <c r="C79" s="53"/>
      <c r="D79" s="53"/>
      <c r="E79" s="66" t="s">
        <v>197</v>
      </c>
      <c r="F79" s="761" t="str">
        <f>IF(Adatlap!$L$1=Fordítások!C3,Fordítások!C86,Fordítások!B86)</f>
        <v>Anaerob körülmények között nem lebontható</v>
      </c>
      <c r="G79" s="53"/>
      <c r="H79" s="53"/>
      <c r="I79" s="53"/>
      <c r="J79" s="53"/>
      <c r="K79" s="53"/>
      <c r="L79" s="169"/>
      <c r="M79" s="53"/>
      <c r="N79" s="53"/>
      <c r="O79" s="53"/>
      <c r="P79" s="53"/>
      <c r="Q79" s="53"/>
      <c r="R79" s="53"/>
      <c r="S79" s="586"/>
      <c r="T79" s="748"/>
      <c r="U79" s="586"/>
    </row>
    <row r="80" spans="1:21" ht="12.75">
      <c r="A80" s="77"/>
      <c r="B80" s="53"/>
      <c r="C80" s="53"/>
      <c r="D80" s="53"/>
      <c r="E80" s="66" t="s">
        <v>198</v>
      </c>
      <c r="F80" s="761" t="str">
        <f>IF(Adatlap!$L$1=Fordítások!C3,Fordítások!C87,Fordítások!B87)</f>
        <v>Az összetevőt nem vizsgálták</v>
      </c>
      <c r="G80" s="53"/>
      <c r="H80" s="53"/>
      <c r="I80" s="53"/>
      <c r="J80" s="53"/>
      <c r="K80" s="53"/>
      <c r="L80" s="169"/>
      <c r="M80" s="53"/>
      <c r="N80" s="53"/>
      <c r="O80" s="53"/>
      <c r="P80" s="53"/>
      <c r="Q80" s="53"/>
      <c r="R80" s="53"/>
      <c r="S80" s="586"/>
      <c r="T80" s="748"/>
      <c r="U80" s="586"/>
    </row>
    <row r="81" spans="1:21" ht="12.75">
      <c r="A81" s="77"/>
      <c r="B81" s="53"/>
      <c r="C81" s="53"/>
      <c r="D81" s="53"/>
      <c r="E81" s="66" t="s">
        <v>199</v>
      </c>
      <c r="F81" s="761" t="str">
        <f>IF(Adatlap!$L$1=Fordítások!C3,Fordítások!C88,Fordítások!B88)</f>
        <v>Nem értelmezhető/ Nem alkalmazható</v>
      </c>
      <c r="G81" s="53"/>
      <c r="H81" s="53"/>
      <c r="I81" s="53"/>
      <c r="J81" s="53"/>
      <c r="K81" s="53"/>
      <c r="L81" s="169"/>
      <c r="M81" s="53"/>
      <c r="N81" s="53"/>
      <c r="O81" s="53"/>
      <c r="P81" s="53"/>
      <c r="Q81" s="53"/>
      <c r="R81" s="53"/>
      <c r="S81" s="586"/>
      <c r="T81" s="748"/>
      <c r="U81" s="586"/>
    </row>
    <row r="82" spans="1:21" ht="12.75">
      <c r="A82" s="77"/>
      <c r="B82" s="53"/>
      <c r="C82" s="53"/>
      <c r="D82" s="53"/>
      <c r="E82" s="53"/>
      <c r="F82" s="53"/>
      <c r="G82" s="53"/>
      <c r="H82" s="53"/>
      <c r="I82" s="53"/>
      <c r="J82" s="53"/>
      <c r="K82" s="53"/>
      <c r="L82" s="169"/>
      <c r="M82" s="53"/>
      <c r="N82" s="53"/>
      <c r="O82" s="53"/>
      <c r="P82" s="53"/>
      <c r="Q82" s="53"/>
      <c r="R82" s="53"/>
      <c r="S82" s="586"/>
      <c r="T82" s="748"/>
      <c r="U82" s="586"/>
    </row>
    <row r="83" spans="1:21" ht="12.75">
      <c r="A83" s="77"/>
      <c r="B83" s="53"/>
      <c r="C83" s="53"/>
      <c r="D83" s="53"/>
      <c r="E83" s="53"/>
      <c r="F83" s="53"/>
      <c r="G83" s="53"/>
      <c r="H83" s="53"/>
      <c r="I83" s="53"/>
      <c r="J83" s="53"/>
      <c r="K83" s="53"/>
      <c r="L83" s="169"/>
      <c r="M83" s="53"/>
      <c r="N83" s="53"/>
      <c r="O83" s="53"/>
      <c r="P83" s="53"/>
      <c r="Q83" s="53"/>
      <c r="R83" s="53"/>
      <c r="S83" s="586"/>
      <c r="T83" s="748"/>
      <c r="U83" s="586"/>
    </row>
    <row r="84" spans="1:21" ht="12.75">
      <c r="A84" s="77"/>
      <c r="B84" s="53"/>
      <c r="C84" s="53"/>
      <c r="D84" s="53"/>
      <c r="E84" s="53"/>
      <c r="F84" s="53"/>
      <c r="G84" s="53"/>
      <c r="H84" s="53"/>
      <c r="I84" s="53"/>
      <c r="J84" s="53"/>
      <c r="K84" s="53"/>
      <c r="L84" s="169"/>
      <c r="M84" s="53"/>
      <c r="N84" s="53"/>
      <c r="O84" s="53"/>
      <c r="P84" s="53"/>
      <c r="Q84" s="53"/>
      <c r="R84" s="53"/>
      <c r="S84" s="586"/>
      <c r="T84" s="748"/>
      <c r="U84" s="586"/>
    </row>
    <row r="86" spans="1:23" s="523" customFormat="1" ht="12.75">
      <c r="A86" s="535"/>
      <c r="C86" s="535"/>
      <c r="D86" s="712"/>
      <c r="F86" s="712"/>
      <c r="I86" s="712"/>
      <c r="L86" s="745"/>
      <c r="M86" s="712"/>
      <c r="N86" s="712"/>
      <c r="O86" s="712"/>
      <c r="S86" s="529"/>
      <c r="T86" s="749"/>
      <c r="U86" s="529"/>
      <c r="V86" s="529"/>
      <c r="W86" s="529"/>
    </row>
    <row r="87" spans="1:23" s="523" customFormat="1" ht="12.75">
      <c r="A87" s="535"/>
      <c r="C87" s="535"/>
      <c r="D87" s="712"/>
      <c r="F87" s="712"/>
      <c r="I87" s="712"/>
      <c r="L87" s="745"/>
      <c r="M87" s="712"/>
      <c r="N87" s="712"/>
      <c r="O87" s="712"/>
      <c r="S87" s="529"/>
      <c r="T87" s="749"/>
      <c r="U87" s="529"/>
      <c r="V87" s="529"/>
      <c r="W87" s="529"/>
    </row>
    <row r="88" spans="1:23" s="523" customFormat="1" ht="12.75">
      <c r="A88" s="535"/>
      <c r="C88" s="535"/>
      <c r="D88" s="712"/>
      <c r="F88" s="712"/>
      <c r="I88" s="712"/>
      <c r="L88" s="745"/>
      <c r="M88" s="712"/>
      <c r="N88" s="712"/>
      <c r="O88" s="712"/>
      <c r="S88" s="529"/>
      <c r="T88" s="749"/>
      <c r="U88" s="529"/>
      <c r="V88" s="529"/>
      <c r="W88" s="529"/>
    </row>
    <row r="89" spans="1:23" s="523" customFormat="1" ht="12.75">
      <c r="A89" s="535"/>
      <c r="C89" s="535"/>
      <c r="D89" s="712"/>
      <c r="F89" s="712"/>
      <c r="I89" s="712"/>
      <c r="L89" s="745"/>
      <c r="M89" s="712"/>
      <c r="N89" s="712"/>
      <c r="O89" s="712"/>
      <c r="S89" s="529"/>
      <c r="T89" s="749"/>
      <c r="U89" s="529"/>
      <c r="V89" s="529"/>
      <c r="W89" s="529"/>
    </row>
    <row r="90" spans="1:23" s="523" customFormat="1" ht="12.75">
      <c r="A90" s="535"/>
      <c r="C90" s="535"/>
      <c r="D90" s="712"/>
      <c r="F90" s="712"/>
      <c r="I90" s="712"/>
      <c r="L90" s="745"/>
      <c r="M90" s="712"/>
      <c r="N90" s="712"/>
      <c r="O90" s="712"/>
      <c r="S90" s="529"/>
      <c r="T90" s="749"/>
      <c r="U90" s="529"/>
      <c r="V90" s="529"/>
      <c r="W90" s="529"/>
    </row>
    <row r="91" spans="1:23" s="523" customFormat="1" ht="12.75">
      <c r="A91" s="535"/>
      <c r="C91" s="535"/>
      <c r="D91" s="712"/>
      <c r="F91" s="712"/>
      <c r="I91" s="712"/>
      <c r="L91" s="745"/>
      <c r="M91" s="712"/>
      <c r="N91" s="712"/>
      <c r="O91" s="712"/>
      <c r="S91" s="529"/>
      <c r="T91" s="749"/>
      <c r="U91" s="529"/>
      <c r="V91" s="529"/>
      <c r="W91" s="529"/>
    </row>
    <row r="92" spans="1:23" s="523" customFormat="1" ht="12.75">
      <c r="A92" s="535"/>
      <c r="C92" s="535"/>
      <c r="D92" s="712"/>
      <c r="F92" s="712"/>
      <c r="I92" s="712"/>
      <c r="L92" s="745"/>
      <c r="M92" s="712"/>
      <c r="N92" s="712"/>
      <c r="O92" s="712"/>
      <c r="S92" s="529"/>
      <c r="T92" s="749"/>
      <c r="U92" s="529"/>
      <c r="V92" s="529"/>
      <c r="W92" s="529"/>
    </row>
    <row r="93" spans="1:23" s="523" customFormat="1" ht="12.75">
      <c r="A93" s="535"/>
      <c r="C93" s="535"/>
      <c r="D93" s="712"/>
      <c r="F93" s="712"/>
      <c r="I93" s="712"/>
      <c r="L93" s="745"/>
      <c r="M93" s="712"/>
      <c r="N93" s="712"/>
      <c r="O93" s="712"/>
      <c r="S93" s="529"/>
      <c r="T93" s="749"/>
      <c r="U93" s="529"/>
      <c r="V93" s="529"/>
      <c r="W93" s="529"/>
    </row>
    <row r="94" spans="1:23" s="523" customFormat="1" ht="12.75">
      <c r="A94" s="535"/>
      <c r="C94" s="535"/>
      <c r="D94" s="712"/>
      <c r="F94" s="712"/>
      <c r="I94" s="712"/>
      <c r="L94" s="745"/>
      <c r="M94" s="712"/>
      <c r="N94" s="712"/>
      <c r="O94" s="712"/>
      <c r="S94" s="529"/>
      <c r="T94" s="749"/>
      <c r="U94" s="529"/>
      <c r="V94" s="529"/>
      <c r="W94" s="529"/>
    </row>
    <row r="95" spans="1:23" s="523" customFormat="1" ht="12.75">
      <c r="A95" s="535"/>
      <c r="C95" s="535"/>
      <c r="D95" s="712"/>
      <c r="F95" s="712"/>
      <c r="I95" s="712"/>
      <c r="L95" s="745"/>
      <c r="M95" s="712"/>
      <c r="N95" s="712"/>
      <c r="O95" s="712"/>
      <c r="S95" s="529"/>
      <c r="T95" s="749"/>
      <c r="U95" s="529"/>
      <c r="V95" s="529"/>
      <c r="W95" s="529"/>
    </row>
    <row r="96" spans="1:23" s="523" customFormat="1" ht="12.75">
      <c r="A96" s="535"/>
      <c r="C96" s="535"/>
      <c r="D96" s="712"/>
      <c r="F96" s="712"/>
      <c r="I96" s="712"/>
      <c r="L96" s="745"/>
      <c r="M96" s="712"/>
      <c r="N96" s="712"/>
      <c r="O96" s="712"/>
      <c r="S96" s="529"/>
      <c r="T96" s="749"/>
      <c r="U96" s="529"/>
      <c r="V96" s="529"/>
      <c r="W96" s="529"/>
    </row>
  </sheetData>
  <sheetProtection algorithmName="SHA-512" hashValue="+ndP2UiPYvA9pf87SLr7h76q37c9XHQEFKXPUJI6v1kowV9+xRLGyhnZW5lv9MD6ZCerTeTt74bYTabIFtB9GQ==" saltValue="hnfUoVRqc/BAsYCPZ2Tadw==" spinCount="100000" sheet="1" objects="1" scenarios="1" selectLockedCells="1"/>
  <autoFilter ref="B10:B63"/>
  <mergeCells count="22">
    <mergeCell ref="G1:I1"/>
    <mergeCell ref="R10:R11"/>
    <mergeCell ref="B65:P65"/>
    <mergeCell ref="H10:K10"/>
    <mergeCell ref="A6:B6"/>
    <mergeCell ref="A7:B7"/>
    <mergeCell ref="C10:C11"/>
    <mergeCell ref="J1:R1"/>
    <mergeCell ref="G5:H5"/>
    <mergeCell ref="B68:Q68"/>
    <mergeCell ref="I4:J4"/>
    <mergeCell ref="I5:J5"/>
    <mergeCell ref="A3:B3"/>
    <mergeCell ref="A4:B4"/>
    <mergeCell ref="A5:B5"/>
    <mergeCell ref="O10:Q10"/>
    <mergeCell ref="C3:E3"/>
    <mergeCell ref="C4:E4"/>
    <mergeCell ref="C5:E5"/>
    <mergeCell ref="C6:E6"/>
    <mergeCell ref="C7:E7"/>
    <mergeCell ref="G4:H4"/>
  </mergeCells>
  <conditionalFormatting sqref="E13:E61">
    <cfRule type="expression" priority="10" dxfId="76">
      <formula>B13=""</formula>
    </cfRule>
  </conditionalFormatting>
  <conditionalFormatting sqref="L13:L61">
    <cfRule type="expression" priority="8" dxfId="260">
      <formula>P13="O"</formula>
    </cfRule>
  </conditionalFormatting>
  <conditionalFormatting sqref="E13:E61">
    <cfRule type="expression" priority="7" dxfId="265">
      <formula>SUMPRODUCT(ISNUMBER(FIND($T$13:$T$20,E13))*1)&gt;0</formula>
    </cfRule>
  </conditionalFormatting>
  <conditionalFormatting sqref="G13">
    <cfRule type="expression" priority="1" dxfId="265">
      <formula>AND(G13&gt;0.005, E13=2411)</formula>
    </cfRule>
    <cfRule type="expression" priority="2" dxfId="265">
      <formula>AND(G13&gt;0.0015, E13=2410)</formula>
    </cfRule>
    <cfRule type="expression" priority="3" dxfId="265">
      <formula>AND(G13&gt;0.005, E13=2401)</formula>
    </cfRule>
  </conditionalFormatting>
  <conditionalFormatting sqref="H13:K61">
    <cfRule type="expression" priority="53" dxfId="260" stopIfTrue="1">
      <formula>$E13='DID List'!$A$7</formula>
    </cfRule>
  </conditionalFormatting>
  <dataValidations count="8" xWindow="560" yWindow="459">
    <dataValidation type="list" showInputMessage="1" showErrorMessage="1" promptTitle="DID szám/Number" prompt="Írja be vagy válassza ki. Ha az anyag nem szerepel a DID-listán, válassza a 'nem szerepel' választ! / _x000a_Please fill-in or select. If substance not included in the DID-List select &quot;not included&quot;. In this case estimate values for column H to K and fill-in." errorTitle="DID Nummer" error="not a number from the DID-List" sqref="E13:E61">
      <formula1>DID</formula1>
    </dataValidation>
    <dataValidation type="list" allowBlank="1" showInputMessage="1" showErrorMessage="1" sqref="H13:H61">
      <formula1>AW</formula1>
    </dataValidation>
    <dataValidation type="list" allowBlank="1" showInputMessage="1" showErrorMessage="1" prompt="A választási lehetőségek magyarázatát a 70-75. sorban nézheti meg. / For the explanation of possible options see rows 70-75." sqref="J14:J61">
      <formula1>aNBO</formula1>
    </dataValidation>
    <dataValidation type="list" allowBlank="1" showInputMessage="1" showErrorMessage="1" prompt="A választási lehetőségek magyarázatát a 78-81. sorban nézheti meg. / For the explanation of possible options see rows 78-81." sqref="K14:K61">
      <formula1>anNBO</formula1>
    </dataValidation>
    <dataValidation type="list" allowBlank="1" showInputMessage="1" showErrorMessage="1" error="Bitte auswählen!" sqref="L13:L61">
      <formula1>Ausnahme_anNBO</formula1>
    </dataValidation>
    <dataValidation allowBlank="1" showInputMessage="1" showErrorMessage="1" error="Bitte auswählen!" sqref="R13:R61"/>
    <dataValidation type="list" allowBlank="1" showInputMessage="1" showErrorMessage="1" prompt="A választási lehetőségek magyarázatát a 70-75. sorban nézheti meg. / For the explanation of possible options see rows 70-75." sqref="J13">
      <formula1>aNBO</formula1>
    </dataValidation>
    <dataValidation type="list" allowBlank="1" showInputMessage="1" showErrorMessage="1" prompt="A választási lehetőségek magyarázatát a 78-81. sorban nézheti meg. / For the explanation of possible options see rows 78-81." sqref="K13">
      <formula1>anNBO</formula1>
    </dataValidation>
  </dataValidations>
  <printOptions horizontalCentered="1"/>
  <pageMargins left="0.5905511811023623" right="0.5905511811023623" top="0.984251968503937" bottom="0.984251968503937" header="0.5118110236220472" footer="0.5118110236220472"/>
  <pageSetup fitToHeight="0" fitToWidth="1" horizontalDpi="600" verticalDpi="600" orientation="landscape" paperSize="9" scale="60" r:id="rId3"/>
  <ignoredErrors>
    <ignoredError sqref="J4 G13:G31 F32:G60 F61:G6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39940" r:id="rId4" name="Button 4">
              <controlPr defaultSize="0" print="0" autoFill="0" autoPict="0" macro="[0]!Alapanyagok_DID_törlés" altText="Gomb 2">
                <anchor moveWithCells="1" sizeWithCells="1">
                  <from>
                    <xdr:col>5</xdr:col>
                    <xdr:colOff>1098550</xdr:colOff>
                    <xdr:row>87</xdr:row>
                    <xdr:rowOff>69850</xdr:rowOff>
                  </from>
                  <to>
                    <xdr:col>7</xdr:col>
                    <xdr:colOff>127000</xdr:colOff>
                    <xdr:row>89</xdr:row>
                    <xdr:rowOff>76200</xdr:rowOff>
                  </to>
                </anchor>
              </controlPr>
            </control>
          </mc:Choice>
        </mc:AlternateContent>
        <mc:AlternateContent>
          <mc:Choice Requires="x14">
            <control xmlns:r="http://schemas.openxmlformats.org/officeDocument/2006/relationships" shapeId="39941" r:id="rId5" name="Button 5">
              <controlPr defaultSize="0" print="0" autoFill="0" autoPict="0" macro="[0]!Alapanyagok_DID_további">
                <anchor moveWithCells="1" sizeWithCells="1">
                  <from>
                    <xdr:col>7</xdr:col>
                    <xdr:colOff>546100</xdr:colOff>
                    <xdr:row>87</xdr:row>
                    <xdr:rowOff>57150</xdr:rowOff>
                  </from>
                  <to>
                    <xdr:col>10</xdr:col>
                    <xdr:colOff>317500</xdr:colOff>
                    <xdr:row>89</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3" stopIfTrue="1">
            <xm:f>$E13='DID List'!$A$7</xm:f>
            <x14:dxf>
              <fill>
                <patternFill>
                  <bgColor theme="9" tint="0.3999499976634979"/>
                </patternFill>
              </fill>
            </x14:dxf>
          </x14:cfRule>
          <xm:sqref>H13:K61</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92D050"/>
    <pageSetUpPr fitToPage="1"/>
  </sheetPr>
  <dimension ref="A1:AW158"/>
  <sheetViews>
    <sheetView workbookViewId="0" topLeftCell="A1">
      <selection activeCell="B67" sqref="B67:K67"/>
    </sheetView>
  </sheetViews>
  <sheetFormatPr defaultColWidth="11.421875" defaultRowHeight="12.75"/>
  <cols>
    <col min="1" max="1" width="3.7109375" style="77" customWidth="1"/>
    <col min="2" max="2" width="35.28125" style="7" customWidth="1"/>
    <col min="3" max="3" width="17.28125" style="77" customWidth="1"/>
    <col min="4" max="4" width="11.7109375" style="7" customWidth="1"/>
    <col min="5" max="5" width="13.421875" style="7" bestFit="1" customWidth="1"/>
    <col min="6" max="6" width="12.28125" style="32" customWidth="1"/>
    <col min="7" max="7" width="12.8515625" style="32" customWidth="1"/>
    <col min="8" max="8" width="18.140625" style="32" customWidth="1"/>
    <col min="9" max="9" width="18.140625" style="7" customWidth="1"/>
    <col min="10" max="16" width="11.421875" style="7" customWidth="1"/>
    <col min="17" max="49" width="11.421875" style="523" customWidth="1"/>
  </cols>
  <sheetData>
    <row r="1" spans="1:49" s="6" customFormat="1" ht="15.5">
      <c r="A1" s="14"/>
      <c r="B1" s="83"/>
      <c r="C1" s="15"/>
      <c r="D1" s="1036" t="str">
        <f>Termék!A1</f>
        <v>A BIZOTTSÁG HATÁROZATA</v>
      </c>
      <c r="E1" s="1072"/>
      <c r="F1" s="1037"/>
      <c r="G1" s="1084" t="str">
        <f>Termék!C1</f>
        <v>2017/1214/EU a kézi mosogatószerek uniós ökocímke kritériumairól</v>
      </c>
      <c r="H1" s="1085"/>
      <c r="I1" s="1085"/>
      <c r="J1" s="1085"/>
      <c r="K1" s="1085"/>
      <c r="L1" s="16"/>
      <c r="M1" s="16"/>
      <c r="N1" s="16"/>
      <c r="O1" s="16"/>
      <c r="P1" s="16"/>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row>
    <row r="2" spans="1:49" s="6" customFormat="1" ht="15.5">
      <c r="A2" s="21"/>
      <c r="B2" s="44"/>
      <c r="C2" s="44"/>
      <c r="D2" s="21"/>
      <c r="E2" s="17"/>
      <c r="F2" s="47"/>
      <c r="G2" s="56"/>
      <c r="H2" s="241"/>
      <c r="I2" s="19"/>
      <c r="J2" s="16"/>
      <c r="K2" s="16"/>
      <c r="L2" s="16"/>
      <c r="M2" s="16"/>
      <c r="N2" s="16"/>
      <c r="O2" s="16"/>
      <c r="P2" s="16"/>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row>
    <row r="3" spans="1:49" s="6" customFormat="1" ht="15.5">
      <c r="A3" s="21"/>
      <c r="B3" s="44"/>
      <c r="C3" s="44"/>
      <c r="D3" s="21"/>
      <c r="E3" s="17"/>
      <c r="F3" s="47"/>
      <c r="G3" s="84"/>
      <c r="H3" s="190" t="str">
        <f>Termék!A3</f>
        <v>Dátum:</v>
      </c>
      <c r="I3" s="741" t="str">
        <f>IF(Termék!B3="","",Termék!B3)</f>
        <v/>
      </c>
      <c r="J3" s="16"/>
      <c r="K3" s="16"/>
      <c r="L3" s="16"/>
      <c r="M3" s="16"/>
      <c r="N3" s="16"/>
      <c r="O3" s="16"/>
      <c r="P3" s="16"/>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row>
    <row r="4" spans="1:49" s="6" customFormat="1" ht="15.5">
      <c r="A4" s="1017" t="str">
        <f>Termék!A6</f>
        <v>Szerződés száma:</v>
      </c>
      <c r="B4" s="1018"/>
      <c r="C4" s="1083">
        <f>Termék!C6</f>
        <v>0</v>
      </c>
      <c r="D4" s="1083"/>
      <c r="E4" s="1083"/>
      <c r="F4" s="1083"/>
      <c r="G4" s="84"/>
      <c r="H4" s="200" t="str">
        <f>Termék!A4</f>
        <v>Verziószám:</v>
      </c>
      <c r="I4" s="742" t="str">
        <f>IF(Termék!B4="","",Termék!B4)</f>
        <v/>
      </c>
      <c r="J4" s="16"/>
      <c r="K4" s="16"/>
      <c r="L4" s="16"/>
      <c r="M4" s="16"/>
      <c r="N4" s="16"/>
      <c r="O4" s="16"/>
      <c r="P4" s="16"/>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row>
    <row r="5" spans="1:49" s="6" customFormat="1" ht="15.5">
      <c r="A5" s="1017" t="str">
        <f>Termék!A7</f>
        <v>Védjegyhasználó</v>
      </c>
      <c r="B5" s="1018"/>
      <c r="C5" s="1083" t="str">
        <f>Termék!C7</f>
        <v/>
      </c>
      <c r="D5" s="1083"/>
      <c r="E5" s="1083"/>
      <c r="F5" s="1083"/>
      <c r="G5" s="56"/>
      <c r="H5" s="19"/>
      <c r="I5" s="19"/>
      <c r="J5" s="16"/>
      <c r="K5" s="16"/>
      <c r="L5" s="16"/>
      <c r="M5" s="16"/>
      <c r="N5" s="16"/>
      <c r="O5" s="16"/>
      <c r="P5" s="16"/>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row>
    <row r="6" spans="1:49" s="6" customFormat="1" ht="15.5">
      <c r="A6" s="1017" t="str">
        <f>Termék!A8</f>
        <v>Forgalmazó / Termék neve (Ország):</v>
      </c>
      <c r="B6" s="1018"/>
      <c r="C6" s="1083">
        <f>Termék!C8</f>
        <v>0</v>
      </c>
      <c r="D6" s="1083"/>
      <c r="E6" s="1083"/>
      <c r="F6" s="1083"/>
      <c r="G6" s="54"/>
      <c r="H6" s="19"/>
      <c r="I6" s="19"/>
      <c r="J6" s="16"/>
      <c r="K6" s="16"/>
      <c r="L6" s="16"/>
      <c r="M6" s="16"/>
      <c r="N6" s="16"/>
      <c r="O6" s="16"/>
      <c r="P6" s="16"/>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row>
    <row r="7" spans="1:49" s="6" customFormat="1" ht="15.5">
      <c r="A7" s="1017" t="str">
        <f>Termék!A24</f>
        <v>A termék fajtája:</v>
      </c>
      <c r="B7" s="1018"/>
      <c r="C7" s="1083">
        <f>Termék!C24</f>
        <v>0</v>
      </c>
      <c r="D7" s="1083"/>
      <c r="E7" s="1083"/>
      <c r="F7" s="1083"/>
      <c r="G7" s="54"/>
      <c r="H7" s="19"/>
      <c r="I7" s="19"/>
      <c r="J7" s="16"/>
      <c r="K7" s="16"/>
      <c r="L7" s="16"/>
      <c r="M7" s="16"/>
      <c r="N7" s="16"/>
      <c r="O7" s="16"/>
      <c r="P7" s="16"/>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row>
    <row r="8" spans="1:49" s="6" customFormat="1" ht="15.5">
      <c r="A8" s="1017" t="str">
        <f>Termék!A26</f>
        <v>A termék halmazállapota:</v>
      </c>
      <c r="B8" s="1018"/>
      <c r="C8" s="1083">
        <f>Termék!C26</f>
        <v>0</v>
      </c>
      <c r="D8" s="1083"/>
      <c r="E8" s="1083"/>
      <c r="F8" s="1083"/>
      <c r="G8" s="274"/>
      <c r="H8" s="274"/>
      <c r="I8" s="274"/>
      <c r="J8" s="274"/>
      <c r="K8" s="274"/>
      <c r="L8" s="274"/>
      <c r="M8" s="274"/>
      <c r="N8" s="16"/>
      <c r="O8" s="16"/>
      <c r="P8" s="16"/>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row>
    <row r="9" spans="1:16" ht="15" customHeight="1">
      <c r="A9" s="269"/>
      <c r="B9" s="201"/>
      <c r="C9" s="201"/>
      <c r="D9" s="201"/>
      <c r="E9" s="201"/>
      <c r="F9" s="201"/>
      <c r="G9" s="201"/>
      <c r="H9" s="201"/>
      <c r="I9" s="201"/>
      <c r="J9" s="201"/>
      <c r="K9" s="201"/>
      <c r="L9" s="201"/>
      <c r="M9" s="201"/>
      <c r="N9" s="201"/>
      <c r="O9" s="16"/>
      <c r="P9" s="16"/>
    </row>
    <row r="10" spans="1:49" s="6" customFormat="1" ht="71.25" customHeight="1">
      <c r="A10" s="33" t="str">
        <f>Alapanyagok!A10</f>
        <v>lfd.</v>
      </c>
      <c r="B10" s="33" t="str">
        <f>Alapanyagok!B10</f>
        <v>Összetevők 2)</v>
      </c>
      <c r="C10" s="24" t="str">
        <f>Alapanyagok_DID!G10</f>
        <v>A készítményen belüli aránya</v>
      </c>
      <c r="D10" s="80" t="str">
        <f>IF(Adatlap!$L$1=Fordítások!C3,Fordítások!C51,Fordítások!B51)</f>
        <v>adag</v>
      </c>
      <c r="E10" s="80" t="str">
        <f>IF(Adatlap!$L$1=Fordítások!C3,Fordítások!C91,Fordítások!B91)</f>
        <v>KHT krónikus</v>
      </c>
      <c r="F10" s="80" t="str">
        <f>IF(Adatlap!$L$1=Fordítások!C3,Fordítások!C97,Fordítások!B97)</f>
        <v>Biológiailag nem lebomló felületaktív anyag</v>
      </c>
      <c r="G10" s="80" t="str">
        <f>IF(Adatlap!$L$1=Fordítások!C3,Fordítások!C98,Fordítások!B98)</f>
        <v xml:space="preserve">Anaerob körülmények között nem lebomló felületaktív anyag (H400/H412) </v>
      </c>
      <c r="H10" s="80" t="str">
        <f>IF(Adatlap!$L$1=Fordítások!C3,Fordítások!C43,Fordítások!B43)</f>
        <v>Biológiai úton nehezen lebontható szervesanyag</v>
      </c>
      <c r="I10" s="80" t="str">
        <f>IF(Adatlap!$L$1=Fordítások!C3,Fordítások!C44,Fordítások!B44)</f>
        <v>Anaerob módon biológiailag nem lebontható  szervesanyag</v>
      </c>
      <c r="J10" s="161" t="s">
        <v>814</v>
      </c>
      <c r="K10" s="161" t="str">
        <f>Alapanyagok!V10</f>
        <v>Elemi foszfor</v>
      </c>
      <c r="L10" s="16"/>
      <c r="M10" s="16"/>
      <c r="N10" s="16"/>
      <c r="O10" s="16"/>
      <c r="P10" s="16"/>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row>
    <row r="11" spans="1:49" s="6" customFormat="1" ht="30.75" customHeight="1">
      <c r="A11" s="34" t="str">
        <f>Alapanyagok!A11</f>
        <v>szám</v>
      </c>
      <c r="B11" s="34" t="str">
        <f>Alapanyagok!B11</f>
        <v>megnevezése (IUPAC szerint)</v>
      </c>
      <c r="C11" s="26" t="str">
        <f>Alapanyagok_DID!G11</f>
        <v>%
(=g/100 g termék)</v>
      </c>
      <c r="D11" s="70" t="str">
        <f>IF(Adatlap!$L$1=Fordítások!C3,Fordítások!C52,Fordítások!B52)</f>
        <v>(g/...)</v>
      </c>
      <c r="E11" s="70" t="str">
        <f>IF(Adatlap!$L$1=Fordítások!C3,Fordítások!C99,Fordítások!B99)</f>
        <v>( l/...)</v>
      </c>
      <c r="F11" s="70" t="str">
        <f>C11</f>
        <v>%
(=g/100 g termék)</v>
      </c>
      <c r="G11" s="70" t="str">
        <f>C11</f>
        <v>%
(=g/100 g termék)</v>
      </c>
      <c r="H11" s="70" t="str">
        <f>D11</f>
        <v>(g/...)</v>
      </c>
      <c r="I11" s="70" t="str">
        <f>H11</f>
        <v>(g/...)</v>
      </c>
      <c r="J11" s="70" t="str">
        <f>I11</f>
        <v>(g/...)</v>
      </c>
      <c r="K11" s="70" t="str">
        <f>J11</f>
        <v>(g/...)</v>
      </c>
      <c r="L11" s="16"/>
      <c r="M11" s="16"/>
      <c r="N11" s="16"/>
      <c r="O11" s="16"/>
      <c r="P11" s="16"/>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row>
    <row r="12" spans="1:16" ht="12.75" customHeight="1">
      <c r="A12" s="35">
        <v>1</v>
      </c>
      <c r="B12" s="275" t="str">
        <f>Összetétel!B12</f>
        <v>Víz</v>
      </c>
      <c r="C12" s="94" t="str">
        <f>Alapanyagok_DID!G12</f>
        <v/>
      </c>
      <c r="D12" s="107" t="s">
        <v>7</v>
      </c>
      <c r="E12" s="276" t="s">
        <v>7</v>
      </c>
      <c r="F12" s="277" t="s">
        <v>7</v>
      </c>
      <c r="G12" s="107" t="s">
        <v>7</v>
      </c>
      <c r="H12" s="276" t="s">
        <v>7</v>
      </c>
      <c r="I12" s="276" t="s">
        <v>7</v>
      </c>
      <c r="J12" s="276" t="s">
        <v>7</v>
      </c>
      <c r="K12" s="276" t="s">
        <v>7</v>
      </c>
      <c r="L12" s="16"/>
      <c r="M12" s="16"/>
      <c r="N12" s="16"/>
      <c r="O12" s="16"/>
      <c r="P12" s="16"/>
    </row>
    <row r="13" spans="1:16" ht="15.5">
      <c r="A13" s="35">
        <v>2</v>
      </c>
      <c r="B13" s="278" t="str">
        <f>IF(Alapanyagok_DID!B13="","",Alapanyagok_DID!B13)</f>
        <v/>
      </c>
      <c r="C13" s="279" t="str">
        <f>IF(Alapanyagok_DID!G13="","",Alapanyagok_DID!G13)</f>
        <v/>
      </c>
      <c r="D13" s="279" t="str">
        <f>IF(B13="","",C13*Termék!$C$40/100)</f>
        <v/>
      </c>
      <c r="E13" s="297" t="str">
        <f>IF(B13="","",D13*Alapanyagok_DID!M13/Alapanyagok_DID!N13*1000)</f>
        <v/>
      </c>
      <c r="F13" s="280" t="str">
        <f>IF(OR(Alapanyagok!Q13="N",Alapanyagok_DID!O13="R"),"",C13)</f>
        <v/>
      </c>
      <c r="G13" s="280" t="str">
        <f>IF(OR(Alapanyagok!T13="N",Alapanyagok_DID!P13="Y"),"",C13)</f>
        <v/>
      </c>
      <c r="H13" s="915" t="str">
        <f>IF(B13="","",(IF(OR(Alapanyagok!O13=Auswahldaten!$A$13,Alapanyagok_DID!O13="R"),"",D13)))</f>
        <v/>
      </c>
      <c r="I13" s="915" t="str">
        <f>IF(B13="","",IF(OR(Alapanyagok!O13=Auswahldaten!$A$13,Alapanyagok_DID!Q13="Y"),"",D13))</f>
        <v/>
      </c>
      <c r="J13" s="460" t="str">
        <f>IF(B13="","",IF(Alapanyagok!U13="Y",D13,""))</f>
        <v/>
      </c>
      <c r="K13" s="281" t="str">
        <f>IF(Alapanyagok!V13="","",Alapanyagok!V13*D13/100)</f>
        <v/>
      </c>
      <c r="L13" s="16"/>
      <c r="M13" s="16"/>
      <c r="N13" s="16"/>
      <c r="O13" s="16"/>
      <c r="P13" s="16"/>
    </row>
    <row r="14" spans="1:16" ht="15.5">
      <c r="A14" s="35">
        <v>3</v>
      </c>
      <c r="B14" s="278" t="str">
        <f>IF(Alapanyagok_DID!B14="","",Alapanyagok_DID!B14)</f>
        <v/>
      </c>
      <c r="C14" s="279" t="str">
        <f>IF(Alapanyagok_DID!G14="","",Alapanyagok_DID!G14)</f>
        <v/>
      </c>
      <c r="D14" s="279" t="str">
        <f>IF(B14="","",C14*Termék!$C$40/100)</f>
        <v/>
      </c>
      <c r="E14" s="297" t="str">
        <f>IF(B14="","",D14*Alapanyagok_DID!M14/Alapanyagok_DID!N14*1000)</f>
        <v/>
      </c>
      <c r="F14" s="280" t="str">
        <f>IF(OR(Alapanyagok!Q14="N",Alapanyagok_DID!O14="R"),"",C14)</f>
        <v/>
      </c>
      <c r="G14" s="280" t="str">
        <f>IF(OR(Alapanyagok!T14="N",Alapanyagok_DID!P14="Y"),"",C14)</f>
        <v/>
      </c>
      <c r="H14" s="915" t="str">
        <f>IF(B14="","",(IF(OR(Alapanyagok!O14=Auswahldaten!$A$13,Alapanyagok_DID!O14="R"),"",D14)))</f>
        <v/>
      </c>
      <c r="I14" s="915" t="str">
        <f>IF(B14="","",IF(OR(Alapanyagok!O14=Auswahldaten!$A$13,Alapanyagok_DID!Q14="Y"),"",D14))</f>
        <v/>
      </c>
      <c r="J14" s="280" t="str">
        <f>IF(B14="","",IF(Alapanyagok!U14="Y",D14,""))</f>
        <v/>
      </c>
      <c r="K14" s="281" t="str">
        <f>IF(Alapanyagok!V14="","",Alapanyagok!V14*D14/100)</f>
        <v/>
      </c>
      <c r="L14" s="16"/>
      <c r="M14" s="16"/>
      <c r="N14" s="16"/>
      <c r="O14" s="16"/>
      <c r="P14" s="16"/>
    </row>
    <row r="15" spans="1:16" ht="15.5">
      <c r="A15" s="35">
        <v>4</v>
      </c>
      <c r="B15" s="278" t="str">
        <f>IF(Alapanyagok_DID!B15="","",Alapanyagok_DID!B15)</f>
        <v/>
      </c>
      <c r="C15" s="279" t="str">
        <f>IF(Alapanyagok_DID!G15="","",Alapanyagok_DID!G15)</f>
        <v/>
      </c>
      <c r="D15" s="279" t="str">
        <f>IF(B15="","",C15*Termék!$C$40/100)</f>
        <v/>
      </c>
      <c r="E15" s="297" t="str">
        <f>IF(B15="","",D15*Alapanyagok_DID!M15/Alapanyagok_DID!N15*1000)</f>
        <v/>
      </c>
      <c r="F15" s="280" t="str">
        <f>IF(OR(Alapanyagok!Q15="N",Alapanyagok_DID!O15="R"),"",C15)</f>
        <v/>
      </c>
      <c r="G15" s="280" t="str">
        <f>IF(OR(Alapanyagok!T15="N",Alapanyagok_DID!P15="Y"),"",C15)</f>
        <v/>
      </c>
      <c r="H15" s="915" t="str">
        <f>IF(B15="","",(IF(OR(Alapanyagok!O15=Auswahldaten!$A$13,Alapanyagok_DID!O15="R"),"",D15)))</f>
        <v/>
      </c>
      <c r="I15" s="915" t="str">
        <f>IF(B15="","",IF(OR(Alapanyagok!O15=Auswahldaten!$A$13,Alapanyagok_DID!Q15="Y"),"",D15))</f>
        <v/>
      </c>
      <c r="J15" s="280" t="str">
        <f>IF(B15="","",IF(Alapanyagok!U15="Y",D15,""))</f>
        <v/>
      </c>
      <c r="K15" s="281" t="str">
        <f>IF(Alapanyagok!V15="","",Alapanyagok!V15*D15/100)</f>
        <v/>
      </c>
      <c r="L15" s="16"/>
      <c r="M15" s="16"/>
      <c r="N15" s="16"/>
      <c r="O15" s="16"/>
      <c r="P15" s="16"/>
    </row>
    <row r="16" spans="1:16" ht="15.5">
      <c r="A16" s="35">
        <v>5</v>
      </c>
      <c r="B16" s="278" t="str">
        <f>IF(Alapanyagok_DID!B16="","",Alapanyagok_DID!B16)</f>
        <v/>
      </c>
      <c r="C16" s="279" t="str">
        <f>IF(Alapanyagok_DID!G16="","",Alapanyagok_DID!G16)</f>
        <v/>
      </c>
      <c r="D16" s="279" t="str">
        <f>IF(B16="","",C16*Termék!$C$40/100)</f>
        <v/>
      </c>
      <c r="E16" s="297" t="str">
        <f>IF(B16="","",D16*Alapanyagok_DID!M16/Alapanyagok_DID!N16*1000)</f>
        <v/>
      </c>
      <c r="F16" s="280" t="str">
        <f>IF(OR(Alapanyagok!Q16="N",Alapanyagok_DID!O16="R"),"",C16)</f>
        <v/>
      </c>
      <c r="G16" s="280" t="str">
        <f>IF(OR(Alapanyagok!T16="N",Alapanyagok_DID!P16="Y"),"",C16)</f>
        <v/>
      </c>
      <c r="H16" s="915" t="str">
        <f>IF(B16="","",(IF(OR(Alapanyagok!O16=Auswahldaten!$A$13,Alapanyagok_DID!O16="R"),"",D16)))</f>
        <v/>
      </c>
      <c r="I16" s="915" t="str">
        <f>IF(B16="","",IF(OR(Alapanyagok!O16=Auswahldaten!$A$13,Alapanyagok_DID!Q16="Y"),"",D16))</f>
        <v/>
      </c>
      <c r="J16" s="280" t="str">
        <f>IF(B16="","",IF(Alapanyagok!U16="Y",D16,""))</f>
        <v/>
      </c>
      <c r="K16" s="281" t="str">
        <f>IF(Alapanyagok!V16="","",Alapanyagok!V16*D16/100)</f>
        <v/>
      </c>
      <c r="L16" s="16"/>
      <c r="M16" s="16"/>
      <c r="N16" s="16"/>
      <c r="O16" s="16"/>
      <c r="P16" s="16"/>
    </row>
    <row r="17" spans="1:16" ht="15.5">
      <c r="A17" s="35">
        <v>6</v>
      </c>
      <c r="B17" s="278" t="str">
        <f>IF(Alapanyagok_DID!B17="","",Alapanyagok_DID!B17)</f>
        <v/>
      </c>
      <c r="C17" s="279" t="str">
        <f>IF(Alapanyagok_DID!G17="","",Alapanyagok_DID!G17)</f>
        <v/>
      </c>
      <c r="D17" s="279" t="str">
        <f>IF(B17="","",C17*Termék!$C$40/100)</f>
        <v/>
      </c>
      <c r="E17" s="297" t="str">
        <f>IF(B17="","",D17*Alapanyagok_DID!M17/Alapanyagok_DID!N17*1000)</f>
        <v/>
      </c>
      <c r="F17" s="280" t="str">
        <f>IF(OR(Alapanyagok!Q17="N",Alapanyagok_DID!O17="R"),"",C17)</f>
        <v/>
      </c>
      <c r="G17" s="280" t="str">
        <f>IF(OR(Alapanyagok!T17="N",Alapanyagok_DID!P17="Y"),"",C17)</f>
        <v/>
      </c>
      <c r="H17" s="915" t="str">
        <f>IF(B17="","",(IF(OR(Alapanyagok!O17=Auswahldaten!$A$13,Alapanyagok_DID!O17="R"),"",D17)))</f>
        <v/>
      </c>
      <c r="I17" s="915" t="str">
        <f>IF(B17="","",IF(OR(Alapanyagok!O17=Auswahldaten!$A$13,Alapanyagok_DID!Q17="Y"),"",D17))</f>
        <v/>
      </c>
      <c r="J17" s="280" t="str">
        <f>IF(B17="","",IF(Alapanyagok!U17="Y",D17,""))</f>
        <v/>
      </c>
      <c r="K17" s="281" t="str">
        <f>IF(Alapanyagok!V17="","",Alapanyagok!V17*D17/100)</f>
        <v/>
      </c>
      <c r="L17" s="16"/>
      <c r="M17" s="16"/>
      <c r="N17" s="16"/>
      <c r="O17" s="16"/>
      <c r="P17" s="16"/>
    </row>
    <row r="18" spans="1:16" ht="15.5">
      <c r="A18" s="35">
        <v>7</v>
      </c>
      <c r="B18" s="278" t="str">
        <f>IF(Alapanyagok_DID!B18="","",Alapanyagok_DID!B18)</f>
        <v/>
      </c>
      <c r="C18" s="279" t="str">
        <f>IF(Alapanyagok_DID!G18="","",Alapanyagok_DID!G18)</f>
        <v/>
      </c>
      <c r="D18" s="279" t="str">
        <f>IF(B18="","",C18*Termék!$C$40/100)</f>
        <v/>
      </c>
      <c r="E18" s="297" t="str">
        <f>IF(B18="","",D18*Alapanyagok_DID!M18/Alapanyagok_DID!N18*1000)</f>
        <v/>
      </c>
      <c r="F18" s="280" t="str">
        <f>IF(OR(Alapanyagok!Q18="N",Alapanyagok_DID!O18="R"),"",C18)</f>
        <v/>
      </c>
      <c r="G18" s="280" t="str">
        <f>IF(OR(Alapanyagok!T18="N",Alapanyagok_DID!P18="Y"),"",C18)</f>
        <v/>
      </c>
      <c r="H18" s="915" t="str">
        <f>IF(B18="","",(IF(OR(Alapanyagok!O18=Auswahldaten!$A$13,Alapanyagok_DID!O18="R"),"",D18)))</f>
        <v/>
      </c>
      <c r="I18" s="915" t="str">
        <f>IF(B18="","",IF(OR(Alapanyagok!O18=Auswahldaten!$A$13,Alapanyagok_DID!Q18="Y"),"",D18))</f>
        <v/>
      </c>
      <c r="J18" s="280" t="str">
        <f>IF(B18="","",IF(Alapanyagok!U18="Y",D18,""))</f>
        <v/>
      </c>
      <c r="K18" s="281" t="str">
        <f>IF(Alapanyagok!V18="","",Alapanyagok!V18*D18/100)</f>
        <v/>
      </c>
      <c r="L18" s="16"/>
      <c r="M18" s="16"/>
      <c r="N18" s="16"/>
      <c r="O18" s="16"/>
      <c r="P18" s="16"/>
    </row>
    <row r="19" spans="1:16" ht="15.5">
      <c r="A19" s="35">
        <v>8</v>
      </c>
      <c r="B19" s="278" t="str">
        <f>IF(Alapanyagok_DID!B19="","",Alapanyagok_DID!B19)</f>
        <v/>
      </c>
      <c r="C19" s="279" t="str">
        <f>IF(Alapanyagok_DID!G19="","",Alapanyagok_DID!G19)</f>
        <v/>
      </c>
      <c r="D19" s="279" t="str">
        <f>IF(B19="","",C19*Termék!$C$40/100)</f>
        <v/>
      </c>
      <c r="E19" s="297" t="str">
        <f>IF(B19="","",D19*Alapanyagok_DID!M19/Alapanyagok_DID!N19*1000)</f>
        <v/>
      </c>
      <c r="F19" s="280" t="str">
        <f>IF(OR(Alapanyagok!Q19="N",Alapanyagok_DID!O19="R"),"",C19)</f>
        <v/>
      </c>
      <c r="G19" s="280" t="str">
        <f>IF(OR(Alapanyagok!T19="N",Alapanyagok_DID!P19="Y"),"",C19)</f>
        <v/>
      </c>
      <c r="H19" s="915" t="str">
        <f>IF(B19="","",(IF(OR(Alapanyagok!O19=Auswahldaten!$A$13,Alapanyagok_DID!O19="R"),"",D19)))</f>
        <v/>
      </c>
      <c r="I19" s="915" t="str">
        <f>IF(B19="","",IF(OR(Alapanyagok!O19=Auswahldaten!$A$13,Alapanyagok_DID!Q19="Y"),"",D19))</f>
        <v/>
      </c>
      <c r="J19" s="280" t="str">
        <f>IF(B19="","",IF(Alapanyagok!U19="Y",D19,""))</f>
        <v/>
      </c>
      <c r="K19" s="281" t="str">
        <f>IF(Alapanyagok!V19="","",Alapanyagok!V19*D19/100)</f>
        <v/>
      </c>
      <c r="L19" s="16"/>
      <c r="M19" s="16"/>
      <c r="N19" s="16"/>
      <c r="O19" s="16"/>
      <c r="P19" s="16"/>
    </row>
    <row r="20" spans="1:16" ht="15.5">
      <c r="A20" s="35">
        <v>9</v>
      </c>
      <c r="B20" s="278" t="str">
        <f>IF(Alapanyagok_DID!B20="","",Alapanyagok_DID!B20)</f>
        <v/>
      </c>
      <c r="C20" s="279" t="str">
        <f>IF(Alapanyagok_DID!G20="","",Alapanyagok_DID!G20)</f>
        <v/>
      </c>
      <c r="D20" s="279" t="str">
        <f>IF(B20="","",C20*Termék!$C$40/100)</f>
        <v/>
      </c>
      <c r="E20" s="297" t="str">
        <f>IF(B20="","",D20*Alapanyagok_DID!M20/Alapanyagok_DID!N20*1000)</f>
        <v/>
      </c>
      <c r="F20" s="280" t="str">
        <f>IF(OR(Alapanyagok!Q20="N",Alapanyagok_DID!O20="R"),"",C20)</f>
        <v/>
      </c>
      <c r="G20" s="280" t="str">
        <f>IF(OR(Alapanyagok!T20="N",Alapanyagok_DID!P20="Y"),"",C20)</f>
        <v/>
      </c>
      <c r="H20" s="915" t="str">
        <f>IF(B20="","",(IF(OR(Alapanyagok!O20=Auswahldaten!$A$13,Alapanyagok_DID!O20="R"),"",D20)))</f>
        <v/>
      </c>
      <c r="I20" s="915" t="str">
        <f>IF(B20="","",IF(OR(Alapanyagok!O20=Auswahldaten!$A$13,Alapanyagok_DID!Q20="Y"),"",D20))</f>
        <v/>
      </c>
      <c r="J20" s="280" t="str">
        <f>IF(B20="","",IF(Alapanyagok!U20="Y",D20,""))</f>
        <v/>
      </c>
      <c r="K20" s="281" t="str">
        <f>IF(Alapanyagok!V20="","",Alapanyagok!V20*D20/100)</f>
        <v/>
      </c>
      <c r="L20" s="16"/>
      <c r="M20" s="16"/>
      <c r="N20" s="16"/>
      <c r="O20" s="16"/>
      <c r="P20" s="16"/>
    </row>
    <row r="21" spans="1:16" ht="15.5">
      <c r="A21" s="35">
        <v>10</v>
      </c>
      <c r="B21" s="278" t="str">
        <f>IF(Alapanyagok_DID!B21="","",Alapanyagok_DID!B21)</f>
        <v/>
      </c>
      <c r="C21" s="279" t="str">
        <f>IF(Alapanyagok_DID!G21="","",Alapanyagok_DID!G21)</f>
        <v/>
      </c>
      <c r="D21" s="279" t="str">
        <f>IF(B21="","",C21*Termék!$C$40/100)</f>
        <v/>
      </c>
      <c r="E21" s="297" t="str">
        <f>IF(B21="","",D21*Alapanyagok_DID!M21/Alapanyagok_DID!N21*1000)</f>
        <v/>
      </c>
      <c r="F21" s="280" t="str">
        <f>IF(OR(Alapanyagok!Q21="N",Alapanyagok_DID!O21="R"),"",C21)</f>
        <v/>
      </c>
      <c r="G21" s="280" t="str">
        <f>IF(OR(Alapanyagok!T21="N",Alapanyagok_DID!P21="Y"),"",C21)</f>
        <v/>
      </c>
      <c r="H21" s="915" t="str">
        <f>IF(B21="","",(IF(OR(Alapanyagok!O21=Auswahldaten!$A$13,Alapanyagok_DID!O21="R"),"",D21)))</f>
        <v/>
      </c>
      <c r="I21" s="915" t="str">
        <f>IF(B21="","",IF(OR(Alapanyagok!O21=Auswahldaten!$A$13,Alapanyagok_DID!Q21="Y"),"",D21))</f>
        <v/>
      </c>
      <c r="J21" s="280" t="str">
        <f>IF(B21="","",IF(Alapanyagok!U21="Y",D21,""))</f>
        <v/>
      </c>
      <c r="K21" s="281" t="str">
        <f>IF(Alapanyagok!V21="","",Alapanyagok!V21*D21/100)</f>
        <v/>
      </c>
      <c r="L21" s="16"/>
      <c r="M21" s="16"/>
      <c r="N21" s="16"/>
      <c r="O21" s="16"/>
      <c r="P21" s="16"/>
    </row>
    <row r="22" spans="1:16" ht="15.5">
      <c r="A22" s="35">
        <v>11</v>
      </c>
      <c r="B22" s="278" t="str">
        <f>IF(Alapanyagok_DID!B22="","",Alapanyagok_DID!B22)</f>
        <v/>
      </c>
      <c r="C22" s="279" t="str">
        <f>IF(Alapanyagok_DID!G22="","",Alapanyagok_DID!G22)</f>
        <v/>
      </c>
      <c r="D22" s="279" t="str">
        <f>IF(B22="","",C22*Termék!$C$40/100)</f>
        <v/>
      </c>
      <c r="E22" s="297" t="str">
        <f>IF(B22="","",D22*Alapanyagok_DID!M22/Alapanyagok_DID!N22*1000)</f>
        <v/>
      </c>
      <c r="F22" s="280" t="str">
        <f>IF(OR(Alapanyagok!Q22="N",Alapanyagok_DID!O22="R"),"",C22)</f>
        <v/>
      </c>
      <c r="G22" s="280" t="str">
        <f>IF(OR(Alapanyagok!T22="N",Alapanyagok_DID!P22="Y"),"",C22)</f>
        <v/>
      </c>
      <c r="H22" s="915" t="str">
        <f>IF(B22="","",(IF(OR(Alapanyagok!O22=Auswahldaten!$A$13,Alapanyagok_DID!O22="R"),"",D22)))</f>
        <v/>
      </c>
      <c r="I22" s="915" t="str">
        <f>IF(B22="","",IF(OR(Alapanyagok!O22=Auswahldaten!$A$13,Alapanyagok_DID!Q22="Y"),"",D22))</f>
        <v/>
      </c>
      <c r="J22" s="280" t="str">
        <f>IF(B22="","",IF(Alapanyagok!U22="Y",D22,""))</f>
        <v/>
      </c>
      <c r="K22" s="281" t="str">
        <f>IF(Alapanyagok!V22="","",Alapanyagok!V22*D22/100)</f>
        <v/>
      </c>
      <c r="L22" s="16"/>
      <c r="M22" s="16"/>
      <c r="N22" s="16"/>
      <c r="O22" s="16"/>
      <c r="P22" s="16"/>
    </row>
    <row r="23" spans="1:16" ht="15.5">
      <c r="A23" s="35">
        <v>12</v>
      </c>
      <c r="B23" s="278" t="str">
        <f>IF(Alapanyagok_DID!B23="","",Alapanyagok_DID!B23)</f>
        <v/>
      </c>
      <c r="C23" s="279" t="str">
        <f>IF(Alapanyagok_DID!G23="","",Alapanyagok_DID!G23)</f>
        <v/>
      </c>
      <c r="D23" s="279" t="str">
        <f>IF(B23="","",C23*Termék!$C$40/100)</f>
        <v/>
      </c>
      <c r="E23" s="297" t="str">
        <f>IF(B23="","",D23*Alapanyagok_DID!M23/Alapanyagok_DID!N23*1000)</f>
        <v/>
      </c>
      <c r="F23" s="280" t="str">
        <f>IF(OR(Alapanyagok!Q23="N",Alapanyagok_DID!O23="R"),"",C23)</f>
        <v/>
      </c>
      <c r="G23" s="280" t="str">
        <f>IF(OR(Alapanyagok!T23="N",Alapanyagok_DID!P23="Y"),"",C23)</f>
        <v/>
      </c>
      <c r="H23" s="915" t="str">
        <f>IF(B23="","",(IF(OR(Alapanyagok!O23=Auswahldaten!$A$13,Alapanyagok_DID!O23="R"),"",D23)))</f>
        <v/>
      </c>
      <c r="I23" s="915" t="str">
        <f>IF(B23="","",IF(OR(Alapanyagok!O23=Auswahldaten!$A$13,Alapanyagok_DID!Q23="Y"),"",D23))</f>
        <v/>
      </c>
      <c r="J23" s="280" t="str">
        <f>IF(B23="","",IF(Alapanyagok!U23="Y",D23,""))</f>
        <v/>
      </c>
      <c r="K23" s="281" t="str">
        <f>IF(Alapanyagok!V23="","",Alapanyagok!V23*D23/100)</f>
        <v/>
      </c>
      <c r="L23" s="16"/>
      <c r="M23" s="16"/>
      <c r="N23" s="16"/>
      <c r="O23" s="16"/>
      <c r="P23" s="16"/>
    </row>
    <row r="24" spans="1:16" ht="15.5">
      <c r="A24" s="35">
        <v>13</v>
      </c>
      <c r="B24" s="278" t="str">
        <f>IF(Alapanyagok_DID!B24="","",Alapanyagok_DID!B24)</f>
        <v/>
      </c>
      <c r="C24" s="279" t="str">
        <f>IF(Alapanyagok_DID!G24="","",Alapanyagok_DID!G24)</f>
        <v/>
      </c>
      <c r="D24" s="279" t="str">
        <f>IF(B24="","",C24*Termék!$C$40/100)</f>
        <v/>
      </c>
      <c r="E24" s="297" t="str">
        <f>IF(B24="","",D24*Alapanyagok_DID!M24/Alapanyagok_DID!N24*1000)</f>
        <v/>
      </c>
      <c r="F24" s="280" t="str">
        <f>IF(OR(Alapanyagok!Q24="N",Alapanyagok_DID!O24="R"),"",C24)</f>
        <v/>
      </c>
      <c r="G24" s="280" t="str">
        <f>IF(OR(Alapanyagok!T24="N",Alapanyagok_DID!P24="Y"),"",C24)</f>
        <v/>
      </c>
      <c r="H24" s="915" t="str">
        <f>IF(B24="","",(IF(OR(Alapanyagok!O24=Auswahldaten!$A$13,Alapanyagok_DID!O24="R"),"",D24)))</f>
        <v/>
      </c>
      <c r="I24" s="915" t="str">
        <f>IF(B24="","",IF(OR(Alapanyagok!O24=Auswahldaten!$A$13,Alapanyagok_DID!Q24="Y"),"",D24))</f>
        <v/>
      </c>
      <c r="J24" s="280" t="str">
        <f>IF(B24="","",IF(Alapanyagok!U24="Y",D24,""))</f>
        <v/>
      </c>
      <c r="K24" s="281" t="str">
        <f>IF(Alapanyagok!V24="","",Alapanyagok!V24*D24/100)</f>
        <v/>
      </c>
      <c r="L24" s="16"/>
      <c r="M24" s="16"/>
      <c r="N24" s="16"/>
      <c r="O24" s="16"/>
      <c r="P24" s="16"/>
    </row>
    <row r="25" spans="1:16" ht="15.5">
      <c r="A25" s="35">
        <v>14</v>
      </c>
      <c r="B25" s="278" t="str">
        <f>IF(Alapanyagok_DID!B25="","",Alapanyagok_DID!B25)</f>
        <v/>
      </c>
      <c r="C25" s="279" t="str">
        <f>IF(Alapanyagok_DID!G25="","",Alapanyagok_DID!G25)</f>
        <v/>
      </c>
      <c r="D25" s="279" t="str">
        <f>IF(B25="","",C25*Termék!$C$40/100)</f>
        <v/>
      </c>
      <c r="E25" s="297" t="str">
        <f>IF(B25="","",D25*Alapanyagok_DID!M25/Alapanyagok_DID!N25*1000)</f>
        <v/>
      </c>
      <c r="F25" s="280" t="str">
        <f>IF(OR(Alapanyagok!Q25="N",Alapanyagok_DID!O25="R"),"",C25)</f>
        <v/>
      </c>
      <c r="G25" s="280" t="str">
        <f>IF(OR(Alapanyagok!T25="N",Alapanyagok_DID!P25="Y"),"",C25)</f>
        <v/>
      </c>
      <c r="H25" s="915" t="str">
        <f>IF(B25="","",(IF(OR(Alapanyagok!O25=Auswahldaten!$A$13,Alapanyagok_DID!O25="R"),"",D25)))</f>
        <v/>
      </c>
      <c r="I25" s="915" t="str">
        <f>IF(B25="","",IF(OR(Alapanyagok!O25=Auswahldaten!$A$13,Alapanyagok_DID!Q25="Y"),"",D25))</f>
        <v/>
      </c>
      <c r="J25" s="280" t="str">
        <f>IF(B25="","",IF(Alapanyagok!U25="Y",D25,""))</f>
        <v/>
      </c>
      <c r="K25" s="281" t="str">
        <f>IF(Alapanyagok!V25="","",Alapanyagok!V25*D25/100)</f>
        <v/>
      </c>
      <c r="L25" s="16"/>
      <c r="M25" s="16"/>
      <c r="N25" s="16"/>
      <c r="O25" s="16"/>
      <c r="P25" s="16"/>
    </row>
    <row r="26" spans="1:16" ht="15.5">
      <c r="A26" s="35">
        <v>15</v>
      </c>
      <c r="B26" s="278" t="str">
        <f>IF(Alapanyagok_DID!B26="","",Alapanyagok_DID!B26)</f>
        <v/>
      </c>
      <c r="C26" s="279" t="str">
        <f>IF(Alapanyagok_DID!G26="","",Alapanyagok_DID!G26)</f>
        <v/>
      </c>
      <c r="D26" s="279" t="str">
        <f>IF(B26="","",C26*Termék!$C$40/100)</f>
        <v/>
      </c>
      <c r="E26" s="297" t="str">
        <f>IF(B26="","",D26*Alapanyagok_DID!M26/Alapanyagok_DID!N26*1000)</f>
        <v/>
      </c>
      <c r="F26" s="280" t="str">
        <f>IF(OR(Alapanyagok!Q26="N",Alapanyagok_DID!O26="R"),"",C26)</f>
        <v/>
      </c>
      <c r="G26" s="280" t="str">
        <f>IF(OR(Alapanyagok!T26="N",Alapanyagok_DID!P26="Y"),"",C26)</f>
        <v/>
      </c>
      <c r="H26" s="915" t="str">
        <f>IF(B26="","",(IF(OR(Alapanyagok!O26=Auswahldaten!$A$13,Alapanyagok_DID!O26="R"),"",D26)))</f>
        <v/>
      </c>
      <c r="I26" s="915" t="str">
        <f>IF(B26="","",IF(OR(Alapanyagok!O26=Auswahldaten!$A$13,Alapanyagok_DID!Q26="Y"),"",D26))</f>
        <v/>
      </c>
      <c r="J26" s="280" t="str">
        <f>IF(B26="","",IF(Alapanyagok!U26="Y",D26,""))</f>
        <v/>
      </c>
      <c r="K26" s="281" t="str">
        <f>IF(Alapanyagok!V26="","",Alapanyagok!V26*D26/100)</f>
        <v/>
      </c>
      <c r="L26" s="16"/>
      <c r="M26" s="16"/>
      <c r="N26" s="16"/>
      <c r="O26" s="16"/>
      <c r="P26" s="16"/>
    </row>
    <row r="27" spans="1:16" ht="15.5">
      <c r="A27" s="35">
        <v>16</v>
      </c>
      <c r="B27" s="278" t="str">
        <f>IF(Alapanyagok_DID!B27="","",Alapanyagok_DID!B27)</f>
        <v/>
      </c>
      <c r="C27" s="279" t="str">
        <f>IF(Alapanyagok_DID!G27="","",Alapanyagok_DID!G27)</f>
        <v/>
      </c>
      <c r="D27" s="279" t="str">
        <f>IF(B27="","",C27*Termék!$C$40/100)</f>
        <v/>
      </c>
      <c r="E27" s="297" t="str">
        <f>IF(B27="","",D27*Alapanyagok_DID!M27/Alapanyagok_DID!N27*1000)</f>
        <v/>
      </c>
      <c r="F27" s="280" t="str">
        <f>IF(OR(Alapanyagok!Q27="N",Alapanyagok_DID!O27="R"),"",C27)</f>
        <v/>
      </c>
      <c r="G27" s="280" t="str">
        <f>IF(OR(Alapanyagok!T27="N",Alapanyagok_DID!P27="Y"),"",C27)</f>
        <v/>
      </c>
      <c r="H27" s="915" t="str">
        <f>IF(B27="","",(IF(OR(Alapanyagok!O27=Auswahldaten!$A$13,Alapanyagok_DID!O27="R"),"",D27)))</f>
        <v/>
      </c>
      <c r="I27" s="915" t="str">
        <f>IF(B27="","",IF(OR(Alapanyagok!O27=Auswahldaten!$A$13,Alapanyagok_DID!Q27="Y"),"",D27))</f>
        <v/>
      </c>
      <c r="J27" s="280" t="str">
        <f>IF(B27="","",IF(Alapanyagok!U27="Y",D27,""))</f>
        <v/>
      </c>
      <c r="K27" s="281" t="str">
        <f>IF(Alapanyagok!V27="","",Alapanyagok!V27*D27/100)</f>
        <v/>
      </c>
      <c r="L27" s="16"/>
      <c r="M27" s="16"/>
      <c r="N27" s="16"/>
      <c r="O27" s="16"/>
      <c r="P27" s="16"/>
    </row>
    <row r="28" spans="1:16" ht="15.5">
      <c r="A28" s="35">
        <v>17</v>
      </c>
      <c r="B28" s="278" t="str">
        <f>IF(Alapanyagok_DID!B28="","",Alapanyagok_DID!B28)</f>
        <v/>
      </c>
      <c r="C28" s="279" t="str">
        <f>IF(Alapanyagok_DID!G28="","",Alapanyagok_DID!G28)</f>
        <v/>
      </c>
      <c r="D28" s="279" t="str">
        <f>IF(B28="","",C28*Termék!$C$40/100)</f>
        <v/>
      </c>
      <c r="E28" s="297" t="str">
        <f>IF(B28="","",D28*Alapanyagok_DID!M28/Alapanyagok_DID!N28*1000)</f>
        <v/>
      </c>
      <c r="F28" s="280" t="str">
        <f>IF(OR(Alapanyagok!Q28="N",Alapanyagok_DID!O28="R"),"",C28)</f>
        <v/>
      </c>
      <c r="G28" s="280" t="str">
        <f>IF(OR(Alapanyagok!T28="N",Alapanyagok_DID!P28="Y"),"",C28)</f>
        <v/>
      </c>
      <c r="H28" s="915" t="str">
        <f>IF(B28="","",(IF(OR(Alapanyagok!O28=Auswahldaten!$A$13,Alapanyagok_DID!O28="R"),"",D28)))</f>
        <v/>
      </c>
      <c r="I28" s="915" t="str">
        <f>IF(B28="","",IF(OR(Alapanyagok!O28=Auswahldaten!$A$13,Alapanyagok_DID!Q28="Y"),"",D28))</f>
        <v/>
      </c>
      <c r="J28" s="280" t="str">
        <f>IF(B28="","",IF(Alapanyagok!U28="Y",D28,""))</f>
        <v/>
      </c>
      <c r="K28" s="281" t="str">
        <f>IF(Alapanyagok!V28="","",Alapanyagok!V28*D28/100)</f>
        <v/>
      </c>
      <c r="L28" s="16"/>
      <c r="M28" s="16"/>
      <c r="N28" s="16"/>
      <c r="O28" s="16"/>
      <c r="P28" s="16"/>
    </row>
    <row r="29" spans="1:16" ht="15.5">
      <c r="A29" s="35">
        <v>18</v>
      </c>
      <c r="B29" s="278" t="str">
        <f>IF(Alapanyagok_DID!B29="","",Alapanyagok_DID!B29)</f>
        <v/>
      </c>
      <c r="C29" s="279" t="str">
        <f>IF(Alapanyagok_DID!G29="","",Alapanyagok_DID!G29)</f>
        <v/>
      </c>
      <c r="D29" s="279" t="str">
        <f>IF(B29="","",C29*Termék!$C$40/100)</f>
        <v/>
      </c>
      <c r="E29" s="297" t="str">
        <f>IF(B29="","",D29*Alapanyagok_DID!M29/Alapanyagok_DID!N29*1000)</f>
        <v/>
      </c>
      <c r="F29" s="280" t="str">
        <f>IF(OR(Alapanyagok!Q29="N",Alapanyagok_DID!O29="R"),"",C29)</f>
        <v/>
      </c>
      <c r="G29" s="280" t="str">
        <f>IF(OR(Alapanyagok!T29="N",Alapanyagok_DID!P29="Y"),"",C29)</f>
        <v/>
      </c>
      <c r="H29" s="915" t="str">
        <f>IF(B29="","",(IF(OR(Alapanyagok!O29=Auswahldaten!$A$13,Alapanyagok_DID!O29="R"),"",D29)))</f>
        <v/>
      </c>
      <c r="I29" s="915" t="str">
        <f>IF(B29="","",IF(OR(Alapanyagok!O29=Auswahldaten!$A$13,Alapanyagok_DID!Q29="Y"),"",D29))</f>
        <v/>
      </c>
      <c r="J29" s="280" t="str">
        <f>IF(B29="","",IF(Alapanyagok!U29="Y",D29,""))</f>
        <v/>
      </c>
      <c r="K29" s="281" t="str">
        <f>IF(Alapanyagok!V29="","",Alapanyagok!V29*D29/100)</f>
        <v/>
      </c>
      <c r="L29" s="16"/>
      <c r="M29" s="16"/>
      <c r="N29" s="16"/>
      <c r="O29" s="16"/>
      <c r="P29" s="16"/>
    </row>
    <row r="30" spans="1:16" ht="15.5">
      <c r="A30" s="35">
        <v>19</v>
      </c>
      <c r="B30" s="278" t="str">
        <f>IF(Alapanyagok_DID!B30="","",Alapanyagok_DID!B30)</f>
        <v/>
      </c>
      <c r="C30" s="279" t="str">
        <f>IF(Alapanyagok_DID!G30="","",Alapanyagok_DID!G30)</f>
        <v/>
      </c>
      <c r="D30" s="279" t="str">
        <f>IF(B30="","",C30*Termék!$C$40/100)</f>
        <v/>
      </c>
      <c r="E30" s="297" t="str">
        <f>IF(B30="","",D30*Alapanyagok_DID!M30/Alapanyagok_DID!N30*1000)</f>
        <v/>
      </c>
      <c r="F30" s="280" t="str">
        <f>IF(OR(Alapanyagok!Q30="N",Alapanyagok_DID!O30="R"),"",C30)</f>
        <v/>
      </c>
      <c r="G30" s="280" t="str">
        <f>IF(OR(Alapanyagok!T30="N",Alapanyagok_DID!P30="Y"),"",C30)</f>
        <v/>
      </c>
      <c r="H30" s="915" t="str">
        <f>IF(B30="","",(IF(OR(Alapanyagok!O30=Auswahldaten!$A$13,Alapanyagok_DID!O30="R"),"",D30)))</f>
        <v/>
      </c>
      <c r="I30" s="915" t="str">
        <f>IF(B30="","",IF(OR(Alapanyagok!O30=Auswahldaten!$A$13,Alapanyagok_DID!Q30="Y"),"",D30))</f>
        <v/>
      </c>
      <c r="J30" s="280" t="str">
        <f>IF(B30="","",IF(Alapanyagok!U30="Y",D30,""))</f>
        <v/>
      </c>
      <c r="K30" s="281" t="str">
        <f>IF(Alapanyagok!V30="","",Alapanyagok!V30*D30/100)</f>
        <v/>
      </c>
      <c r="L30" s="16"/>
      <c r="M30" s="16"/>
      <c r="N30" s="16"/>
      <c r="O30" s="16"/>
      <c r="P30" s="16"/>
    </row>
    <row r="31" spans="1:16" ht="15.5">
      <c r="A31" s="35">
        <v>20</v>
      </c>
      <c r="B31" s="278" t="str">
        <f>IF(Alapanyagok_DID!B31="","",Alapanyagok_DID!B31)</f>
        <v/>
      </c>
      <c r="C31" s="279" t="str">
        <f>IF(Alapanyagok_DID!G31="","",Alapanyagok_DID!G31)</f>
        <v/>
      </c>
      <c r="D31" s="279" t="str">
        <f>IF(B31="","",C31*Termék!$C$40/100)</f>
        <v/>
      </c>
      <c r="E31" s="297" t="str">
        <f>IF(B31="","",D31*Alapanyagok_DID!M31/Alapanyagok_DID!N31*1000)</f>
        <v/>
      </c>
      <c r="F31" s="280" t="str">
        <f>IF(OR(Alapanyagok!Q31="N",Alapanyagok_DID!O31="R"),"",C31)</f>
        <v/>
      </c>
      <c r="G31" s="280" t="str">
        <f>IF(OR(Alapanyagok!T31="N",Alapanyagok_DID!P31="Y"),"",C31)</f>
        <v/>
      </c>
      <c r="H31" s="915" t="str">
        <f>IF(B31="","",(IF(OR(Alapanyagok!O31=Auswahldaten!$A$13,Alapanyagok_DID!O31="R"),"",D31)))</f>
        <v/>
      </c>
      <c r="I31" s="915" t="str">
        <f>IF(B31="","",IF(OR(Alapanyagok!O31=Auswahldaten!$A$13,Alapanyagok_DID!Q31="Y"),"",D31))</f>
        <v/>
      </c>
      <c r="J31" s="280" t="str">
        <f>IF(B31="","",IF(Alapanyagok!U31="Y",D31,""))</f>
        <v/>
      </c>
      <c r="K31" s="281" t="str">
        <f>IF(Alapanyagok!V31="","",Alapanyagok!V31*D31/100)</f>
        <v/>
      </c>
      <c r="L31" s="16"/>
      <c r="M31" s="16"/>
      <c r="N31" s="16"/>
      <c r="O31" s="16"/>
      <c r="P31" s="16"/>
    </row>
    <row r="32" spans="1:16" ht="15.5">
      <c r="A32" s="35">
        <v>21</v>
      </c>
      <c r="B32" s="278" t="str">
        <f>IF(Alapanyagok_DID!B32="","",Alapanyagok_DID!B32)</f>
        <v/>
      </c>
      <c r="C32" s="279" t="str">
        <f>IF(Alapanyagok_DID!G32="","",Alapanyagok_DID!G32)</f>
        <v/>
      </c>
      <c r="D32" s="279" t="str">
        <f>IF(B32="","",C32*Termék!$C$40/100)</f>
        <v/>
      </c>
      <c r="E32" s="297" t="str">
        <f>IF(B32="","",D32*Alapanyagok_DID!M32/Alapanyagok_DID!N32*1000)</f>
        <v/>
      </c>
      <c r="F32" s="280" t="str">
        <f>IF(OR(Alapanyagok!Q32="N",Alapanyagok_DID!O32="R"),"",C32)</f>
        <v/>
      </c>
      <c r="G32" s="280" t="str">
        <f>IF(OR(Alapanyagok!T32="N",Alapanyagok_DID!P32="Y"),"",C32)</f>
        <v/>
      </c>
      <c r="H32" s="915" t="str">
        <f>IF(B32="","",(IF(OR(Alapanyagok!O32=Auswahldaten!$A$13,Alapanyagok_DID!O32="R"),"",D32)))</f>
        <v/>
      </c>
      <c r="I32" s="915" t="str">
        <f>IF(B32="","",IF(OR(Alapanyagok!O32=Auswahldaten!$A$13,Alapanyagok_DID!Q32="Y"),"",D32))</f>
        <v/>
      </c>
      <c r="J32" s="280" t="str">
        <f>IF(B32="","",IF(Alapanyagok!U32="Y",D32,""))</f>
        <v/>
      </c>
      <c r="K32" s="281" t="str">
        <f>IF(Alapanyagok!V32="","",Alapanyagok!V32*D32/100)</f>
        <v/>
      </c>
      <c r="L32" s="16"/>
      <c r="M32" s="16"/>
      <c r="N32" s="16"/>
      <c r="O32" s="16"/>
      <c r="P32" s="16"/>
    </row>
    <row r="33" spans="1:16" ht="15.5">
      <c r="A33" s="35">
        <v>22</v>
      </c>
      <c r="B33" s="278" t="str">
        <f>IF(Alapanyagok_DID!B33="","",Alapanyagok_DID!B33)</f>
        <v/>
      </c>
      <c r="C33" s="279" t="str">
        <f>IF(Alapanyagok_DID!G33="","",Alapanyagok_DID!G33)</f>
        <v/>
      </c>
      <c r="D33" s="279" t="str">
        <f>IF(B33="","",C33*Termék!$C$40/100)</f>
        <v/>
      </c>
      <c r="E33" s="297" t="str">
        <f>IF(B33="","",D33*Alapanyagok_DID!M33/Alapanyagok_DID!N33*1000)</f>
        <v/>
      </c>
      <c r="F33" s="280" t="str">
        <f>IF(OR(Alapanyagok!Q33="N",Alapanyagok_DID!O33="R"),"",C33)</f>
        <v/>
      </c>
      <c r="G33" s="280" t="str">
        <f>IF(OR(Alapanyagok!T33="N",Alapanyagok_DID!P33="Y"),"",C33)</f>
        <v/>
      </c>
      <c r="H33" s="915" t="str">
        <f>IF(B33="","",(IF(OR(Alapanyagok!O33=Auswahldaten!$A$13,Alapanyagok_DID!O33="R"),"",D33)))</f>
        <v/>
      </c>
      <c r="I33" s="915" t="str">
        <f>IF(B33="","",IF(OR(Alapanyagok!O33=Auswahldaten!$A$13,Alapanyagok_DID!Q33="Y"),"",D33))</f>
        <v/>
      </c>
      <c r="J33" s="280" t="str">
        <f>IF(B33="","",IF(Alapanyagok!U33="Y",D33,""))</f>
        <v/>
      </c>
      <c r="K33" s="281" t="str">
        <f>IF(Alapanyagok!V33="","",Alapanyagok!V33*D33/100)</f>
        <v/>
      </c>
      <c r="L33" s="16"/>
      <c r="M33" s="16"/>
      <c r="N33" s="16"/>
      <c r="O33" s="16"/>
      <c r="P33" s="16"/>
    </row>
    <row r="34" spans="1:16" ht="15.5">
      <c r="A34" s="35">
        <v>23</v>
      </c>
      <c r="B34" s="278" t="str">
        <f>IF(Alapanyagok_DID!B34="","",Alapanyagok_DID!B34)</f>
        <v/>
      </c>
      <c r="C34" s="279" t="str">
        <f>IF(Alapanyagok_DID!G34="","",Alapanyagok_DID!G34)</f>
        <v/>
      </c>
      <c r="D34" s="279" t="str">
        <f>IF(B34="","",C34*Termék!$C$40/100)</f>
        <v/>
      </c>
      <c r="E34" s="297" t="str">
        <f>IF(B34="","",D34*Alapanyagok_DID!M34/Alapanyagok_DID!N34*1000)</f>
        <v/>
      </c>
      <c r="F34" s="280" t="str">
        <f>IF(OR(Alapanyagok!Q34="N",Alapanyagok_DID!O34="R"),"",C34)</f>
        <v/>
      </c>
      <c r="G34" s="280" t="str">
        <f>IF(OR(Alapanyagok!T34="N",Alapanyagok_DID!P34="Y"),"",C34)</f>
        <v/>
      </c>
      <c r="H34" s="915" t="str">
        <f>IF(B34="","",(IF(OR(Alapanyagok!O34=Auswahldaten!$A$13,Alapanyagok_DID!O34="R"),"",D34)))</f>
        <v/>
      </c>
      <c r="I34" s="915" t="str">
        <f>IF(B34="","",IF(OR(Alapanyagok!O34=Auswahldaten!$A$13,Alapanyagok_DID!Q34="Y"),"",D34))</f>
        <v/>
      </c>
      <c r="J34" s="280" t="str">
        <f>IF(B34="","",IF(Alapanyagok!U34="Y",D34,""))</f>
        <v/>
      </c>
      <c r="K34" s="281" t="str">
        <f>IF(Alapanyagok!V34="","",Alapanyagok!V34*D34/100)</f>
        <v/>
      </c>
      <c r="L34" s="16"/>
      <c r="M34" s="16"/>
      <c r="N34" s="16"/>
      <c r="O34" s="16"/>
      <c r="P34" s="16"/>
    </row>
    <row r="35" spans="1:16" ht="15.5">
      <c r="A35" s="35">
        <v>24</v>
      </c>
      <c r="B35" s="278" t="str">
        <f>IF(Alapanyagok_DID!B35="","",Alapanyagok_DID!B35)</f>
        <v/>
      </c>
      <c r="C35" s="279" t="str">
        <f>IF(Alapanyagok_DID!G35="","",Alapanyagok_DID!G35)</f>
        <v/>
      </c>
      <c r="D35" s="279" t="str">
        <f>IF(B35="","",C35*Termék!$C$40/100)</f>
        <v/>
      </c>
      <c r="E35" s="297" t="str">
        <f>IF(B35="","",D35*Alapanyagok_DID!M35/Alapanyagok_DID!N35*1000)</f>
        <v/>
      </c>
      <c r="F35" s="280" t="str">
        <f>IF(OR(Alapanyagok!Q35="N",Alapanyagok_DID!O35="R"),"",C35)</f>
        <v/>
      </c>
      <c r="G35" s="280" t="str">
        <f>IF(OR(Alapanyagok!T35="N",Alapanyagok_DID!P35="Y"),"",C35)</f>
        <v/>
      </c>
      <c r="H35" s="915" t="str">
        <f>IF(B35="","",(IF(OR(Alapanyagok!O35=Auswahldaten!$A$13,Alapanyagok_DID!O35="R"),"",D35)))</f>
        <v/>
      </c>
      <c r="I35" s="915" t="str">
        <f>IF(B35="","",IF(OR(Alapanyagok!O35=Auswahldaten!$A$13,Alapanyagok_DID!Q35="Y"),"",D35))</f>
        <v/>
      </c>
      <c r="J35" s="280" t="str">
        <f>IF(B35="","",IF(Alapanyagok!U35="Y",D35,""))</f>
        <v/>
      </c>
      <c r="K35" s="281" t="str">
        <f>IF(Alapanyagok!V35="","",Alapanyagok!V35*D35/100)</f>
        <v/>
      </c>
      <c r="L35" s="16"/>
      <c r="M35" s="16"/>
      <c r="N35" s="16"/>
      <c r="O35" s="16"/>
      <c r="P35" s="16"/>
    </row>
    <row r="36" spans="1:16" ht="15.5">
      <c r="A36" s="35">
        <v>25</v>
      </c>
      <c r="B36" s="278" t="str">
        <f>IF(Alapanyagok_DID!B36="","",Alapanyagok_DID!B36)</f>
        <v/>
      </c>
      <c r="C36" s="279" t="str">
        <f>IF(Alapanyagok_DID!G36="","",Alapanyagok_DID!G36)</f>
        <v/>
      </c>
      <c r="D36" s="279" t="str">
        <f>IF(B36="","",C36*Termék!$C$40/100)</f>
        <v/>
      </c>
      <c r="E36" s="297" t="str">
        <f>IF(B36="","",D36*Alapanyagok_DID!M36/Alapanyagok_DID!N36*1000)</f>
        <v/>
      </c>
      <c r="F36" s="280" t="str">
        <f>IF(OR(Alapanyagok!Q36="N",Alapanyagok_DID!O36="R"),"",C36)</f>
        <v/>
      </c>
      <c r="G36" s="280" t="str">
        <f>IF(OR(Alapanyagok!T36="N",Alapanyagok_DID!P36="Y"),"",C36)</f>
        <v/>
      </c>
      <c r="H36" s="915" t="str">
        <f>IF(B36="","",(IF(OR(Alapanyagok!O36=Auswahldaten!$A$13,Alapanyagok_DID!O36="R"),"",D36)))</f>
        <v/>
      </c>
      <c r="I36" s="915" t="str">
        <f>IF(B36="","",IF(OR(Alapanyagok!O36=Auswahldaten!$A$13,Alapanyagok_DID!Q36="Y"),"",D36))</f>
        <v/>
      </c>
      <c r="J36" s="280" t="str">
        <f>IF(B36="","",IF(Alapanyagok!U36="Y",D36,""))</f>
        <v/>
      </c>
      <c r="K36" s="281" t="str">
        <f>IF(Alapanyagok!V36="","",Alapanyagok!V36*D36/100)</f>
        <v/>
      </c>
      <c r="L36" s="16"/>
      <c r="M36" s="16"/>
      <c r="N36" s="16"/>
      <c r="O36" s="16"/>
      <c r="P36" s="16"/>
    </row>
    <row r="37" spans="1:16" ht="15.5">
      <c r="A37" s="35">
        <v>26</v>
      </c>
      <c r="B37" s="278" t="str">
        <f>IF(Alapanyagok_DID!B37="","",Alapanyagok_DID!B37)</f>
        <v/>
      </c>
      <c r="C37" s="279" t="str">
        <f>IF(Alapanyagok_DID!G37="","",Alapanyagok_DID!G37)</f>
        <v/>
      </c>
      <c r="D37" s="279" t="str">
        <f>IF(B37="","",C37*Termék!$C$40/100)</f>
        <v/>
      </c>
      <c r="E37" s="297" t="str">
        <f>IF(B37="","",D37*Alapanyagok_DID!M37/Alapanyagok_DID!N37*1000)</f>
        <v/>
      </c>
      <c r="F37" s="280" t="str">
        <f>IF(OR(Alapanyagok!Q37="N",Alapanyagok_DID!O37="R"),"",C37)</f>
        <v/>
      </c>
      <c r="G37" s="280" t="str">
        <f>IF(OR(Alapanyagok!T37="N",Alapanyagok_DID!P37="Y"),"",C37)</f>
        <v/>
      </c>
      <c r="H37" s="915" t="str">
        <f>IF(B37="","",(IF(OR(Alapanyagok!O37=Auswahldaten!$A$13,Alapanyagok_DID!O37="R"),"",D37)))</f>
        <v/>
      </c>
      <c r="I37" s="915" t="str">
        <f>IF(B37="","",IF(OR(Alapanyagok!O37=Auswahldaten!$A$13,Alapanyagok_DID!Q37="Y"),"",D37))</f>
        <v/>
      </c>
      <c r="J37" s="280" t="str">
        <f>IF(B37="","",IF(Alapanyagok!U37="Y",D37,""))</f>
        <v/>
      </c>
      <c r="K37" s="281" t="str">
        <f>IF(Alapanyagok!V37="","",Alapanyagok!V37*D37/100)</f>
        <v/>
      </c>
      <c r="L37" s="16"/>
      <c r="M37" s="16"/>
      <c r="N37" s="16"/>
      <c r="O37" s="16"/>
      <c r="P37" s="16"/>
    </row>
    <row r="38" spans="1:16" ht="15.5">
      <c r="A38" s="35">
        <v>27</v>
      </c>
      <c r="B38" s="278" t="str">
        <f>IF(Alapanyagok_DID!B38="","",Alapanyagok_DID!B38)</f>
        <v/>
      </c>
      <c r="C38" s="279" t="str">
        <f>IF(Alapanyagok_DID!G38="","",Alapanyagok_DID!G38)</f>
        <v/>
      </c>
      <c r="D38" s="279" t="str">
        <f>IF(B38="","",C38*Termék!$C$40/100)</f>
        <v/>
      </c>
      <c r="E38" s="297" t="str">
        <f>IF(B38="","",D38*Alapanyagok_DID!M38/Alapanyagok_DID!N38*1000)</f>
        <v/>
      </c>
      <c r="F38" s="280" t="str">
        <f>IF(OR(Alapanyagok!Q38="N",Alapanyagok_DID!O38="R"),"",C38)</f>
        <v/>
      </c>
      <c r="G38" s="280" t="str">
        <f>IF(OR(Alapanyagok!T38="N",Alapanyagok_DID!P38="Y"),"",C38)</f>
        <v/>
      </c>
      <c r="H38" s="915" t="str">
        <f>IF(B38="","",(IF(OR(Alapanyagok!O38=Auswahldaten!$A$13,Alapanyagok_DID!O38="R"),"",D38)))</f>
        <v/>
      </c>
      <c r="I38" s="915" t="str">
        <f>IF(B38="","",IF(OR(Alapanyagok!O38=Auswahldaten!$A$13,Alapanyagok_DID!Q38="Y"),"",D38))</f>
        <v/>
      </c>
      <c r="J38" s="280" t="str">
        <f>IF(B38="","",IF(Alapanyagok!U38="Y",D38,""))</f>
        <v/>
      </c>
      <c r="K38" s="281" t="str">
        <f>IF(Alapanyagok!V38="","",Alapanyagok!V38*D38/100)</f>
        <v/>
      </c>
      <c r="L38" s="16"/>
      <c r="M38" s="16"/>
      <c r="N38" s="16"/>
      <c r="O38" s="16"/>
      <c r="P38" s="16"/>
    </row>
    <row r="39" spans="1:16" ht="15.5">
      <c r="A39" s="35">
        <v>28</v>
      </c>
      <c r="B39" s="278" t="str">
        <f>IF(Alapanyagok_DID!B39="","",Alapanyagok_DID!B39)</f>
        <v/>
      </c>
      <c r="C39" s="279" t="str">
        <f>IF(Alapanyagok_DID!G39="","",Alapanyagok_DID!G39)</f>
        <v/>
      </c>
      <c r="D39" s="279" t="str">
        <f>IF(B39="","",C39*Termék!$C$40/100)</f>
        <v/>
      </c>
      <c r="E39" s="297" t="str">
        <f>IF(B39="","",D39*Alapanyagok_DID!M39/Alapanyagok_DID!N39*1000)</f>
        <v/>
      </c>
      <c r="F39" s="280" t="str">
        <f>IF(OR(Alapanyagok!Q39="N",Alapanyagok_DID!O39="R"),"",C39)</f>
        <v/>
      </c>
      <c r="G39" s="280" t="str">
        <f>IF(OR(Alapanyagok!T39="N",Alapanyagok_DID!P39="Y"),"",C39)</f>
        <v/>
      </c>
      <c r="H39" s="915" t="str">
        <f>IF(B39="","",(IF(OR(Alapanyagok!O39=Auswahldaten!$A$13,Alapanyagok_DID!O39="R"),"",D39)))</f>
        <v/>
      </c>
      <c r="I39" s="915" t="str">
        <f>IF(B39="","",IF(OR(Alapanyagok!O39=Auswahldaten!$A$13,Alapanyagok_DID!Q39="Y"),"",D39))</f>
        <v/>
      </c>
      <c r="J39" s="280" t="str">
        <f>IF(B39="","",IF(Alapanyagok!U39="Y",D39,""))</f>
        <v/>
      </c>
      <c r="K39" s="281" t="str">
        <f>IF(Alapanyagok!V39="","",Alapanyagok!V39*D39/100)</f>
        <v/>
      </c>
      <c r="L39" s="16"/>
      <c r="M39" s="16"/>
      <c r="N39" s="16"/>
      <c r="O39" s="16"/>
      <c r="P39" s="16"/>
    </row>
    <row r="40" spans="1:16" ht="15.5">
      <c r="A40" s="35">
        <v>29</v>
      </c>
      <c r="B40" s="278" t="str">
        <f>IF(Alapanyagok_DID!B40="","",Alapanyagok_DID!B40)</f>
        <v/>
      </c>
      <c r="C40" s="279" t="str">
        <f>IF(Alapanyagok_DID!G40="","",Alapanyagok_DID!G40)</f>
        <v/>
      </c>
      <c r="D40" s="279" t="str">
        <f>IF(B40="","",C40*Termék!$C$40/100)</f>
        <v/>
      </c>
      <c r="E40" s="297" t="str">
        <f>IF(B40="","",D40*Alapanyagok_DID!M40/Alapanyagok_DID!N40*1000)</f>
        <v/>
      </c>
      <c r="F40" s="280" t="str">
        <f>IF(OR(Alapanyagok!Q40="N",Alapanyagok_DID!O40="R"),"",C40)</f>
        <v/>
      </c>
      <c r="G40" s="280" t="str">
        <f>IF(OR(Alapanyagok!T40="N",Alapanyagok_DID!P40="Y"),"",C40)</f>
        <v/>
      </c>
      <c r="H40" s="915" t="str">
        <f>IF(B40="","",(IF(OR(Alapanyagok!O40=Auswahldaten!$A$13,Alapanyagok_DID!O40="R"),"",D40)))</f>
        <v/>
      </c>
      <c r="I40" s="915" t="str">
        <f>IF(B40="","",IF(OR(Alapanyagok!O40=Auswahldaten!$A$13,Alapanyagok_DID!Q40="Y"),"",D40))</f>
        <v/>
      </c>
      <c r="J40" s="280" t="str">
        <f>IF(B40="","",IF(Alapanyagok!U40="Y",D40,""))</f>
        <v/>
      </c>
      <c r="K40" s="281" t="str">
        <f>IF(Alapanyagok!V40="","",Alapanyagok!V40*D40/100)</f>
        <v/>
      </c>
      <c r="L40" s="16"/>
      <c r="M40" s="16"/>
      <c r="N40" s="16"/>
      <c r="O40" s="16"/>
      <c r="P40" s="16"/>
    </row>
    <row r="41" spans="1:16" ht="15.5">
      <c r="A41" s="35">
        <v>30</v>
      </c>
      <c r="B41" s="278" t="str">
        <f>IF(Alapanyagok_DID!B41="","",Alapanyagok_DID!B41)</f>
        <v/>
      </c>
      <c r="C41" s="279" t="str">
        <f>IF(Alapanyagok_DID!G41="","",Alapanyagok_DID!G41)</f>
        <v/>
      </c>
      <c r="D41" s="279" t="str">
        <f>IF(B41="","",C41*Termék!$C$40/100)</f>
        <v/>
      </c>
      <c r="E41" s="297" t="str">
        <f>IF(B41="","",D41*Alapanyagok_DID!M41/Alapanyagok_DID!N41*1000)</f>
        <v/>
      </c>
      <c r="F41" s="280" t="str">
        <f>IF(OR(Alapanyagok!Q41="N",Alapanyagok_DID!O41="R"),"",C41)</f>
        <v/>
      </c>
      <c r="G41" s="280" t="str">
        <f>IF(OR(Alapanyagok!T41="N",Alapanyagok_DID!P41="Y"),"",C41)</f>
        <v/>
      </c>
      <c r="H41" s="915" t="str">
        <f>IF(B41="","",(IF(OR(Alapanyagok!O41=Auswahldaten!$A$13,Alapanyagok_DID!O41="R"),"",D41)))</f>
        <v/>
      </c>
      <c r="I41" s="915" t="str">
        <f>IF(B41="","",IF(OR(Alapanyagok!O41=Auswahldaten!$A$13,Alapanyagok_DID!Q41="Y"),"",D41))</f>
        <v/>
      </c>
      <c r="J41" s="280" t="str">
        <f>IF(B41="","",IF(Alapanyagok!U41="Y",D41,""))</f>
        <v/>
      </c>
      <c r="K41" s="281" t="str">
        <f>IF(Alapanyagok!V41="","",Alapanyagok!V41*D41/100)</f>
        <v/>
      </c>
      <c r="L41" s="16"/>
      <c r="M41" s="16"/>
      <c r="N41" s="16"/>
      <c r="O41" s="16"/>
      <c r="P41" s="16"/>
    </row>
    <row r="42" spans="1:16" ht="15.5">
      <c r="A42" s="35">
        <v>31</v>
      </c>
      <c r="B42" s="278" t="str">
        <f>IF(Alapanyagok_DID!B42="","",Alapanyagok_DID!B42)</f>
        <v/>
      </c>
      <c r="C42" s="279" t="str">
        <f>IF(Alapanyagok_DID!G42="","",Alapanyagok_DID!G42)</f>
        <v/>
      </c>
      <c r="D42" s="279" t="str">
        <f>IF(B42="","",C42*Termék!$C$40/100)</f>
        <v/>
      </c>
      <c r="E42" s="297" t="str">
        <f>IF(B42="","",D42*Alapanyagok_DID!M42/Alapanyagok_DID!N42*1000)</f>
        <v/>
      </c>
      <c r="F42" s="280" t="str">
        <f>IF(OR(Alapanyagok!Q42="N",Alapanyagok_DID!O42="R"),"",C42)</f>
        <v/>
      </c>
      <c r="G42" s="280" t="str">
        <f>IF(OR(Alapanyagok!T42="N",Alapanyagok_DID!P42="Y"),"",C42)</f>
        <v/>
      </c>
      <c r="H42" s="915" t="str">
        <f>IF(B42="","",(IF(OR(Alapanyagok!O42=Auswahldaten!$A$13,Alapanyagok_DID!O42="R"),"",D42)))</f>
        <v/>
      </c>
      <c r="I42" s="915" t="str">
        <f>IF(B42="","",IF(OR(Alapanyagok!O42=Auswahldaten!$A$13,Alapanyagok_DID!Q42="Y"),"",D42))</f>
        <v/>
      </c>
      <c r="J42" s="280" t="str">
        <f>IF(B42="","",IF(Alapanyagok!U42="Y",D42,""))</f>
        <v/>
      </c>
      <c r="K42" s="281" t="str">
        <f>IF(Alapanyagok!V42="","",Alapanyagok!V42*D42/100)</f>
        <v/>
      </c>
      <c r="L42" s="16"/>
      <c r="M42" s="16"/>
      <c r="N42" s="16"/>
      <c r="O42" s="16"/>
      <c r="P42" s="16"/>
    </row>
    <row r="43" spans="1:16" ht="15.5">
      <c r="A43" s="35">
        <v>32</v>
      </c>
      <c r="B43" s="278" t="str">
        <f>IF(Alapanyagok_DID!B43="","",Alapanyagok_DID!B43)</f>
        <v/>
      </c>
      <c r="C43" s="279" t="str">
        <f>IF(Alapanyagok_DID!G43="","",Alapanyagok_DID!G43)</f>
        <v/>
      </c>
      <c r="D43" s="279" t="str">
        <f>IF(B43="","",C43*Termék!$C$40/100)</f>
        <v/>
      </c>
      <c r="E43" s="297" t="str">
        <f>IF(B43="","",D43*Alapanyagok_DID!M43/Alapanyagok_DID!N43*1000)</f>
        <v/>
      </c>
      <c r="F43" s="280" t="str">
        <f>IF(OR(Alapanyagok!Q43="N",Alapanyagok_DID!O43="R"),"",C43)</f>
        <v/>
      </c>
      <c r="G43" s="280" t="str">
        <f>IF(OR(Alapanyagok!T43="N",Alapanyagok_DID!P43="Y"),"",C43)</f>
        <v/>
      </c>
      <c r="H43" s="915" t="str">
        <f>IF(B43="","",(IF(OR(Alapanyagok!O43=Auswahldaten!$A$13,Alapanyagok_DID!O43="R"),"",D43)))</f>
        <v/>
      </c>
      <c r="I43" s="915" t="str">
        <f>IF(B43="","",IF(OR(Alapanyagok!O43=Auswahldaten!$A$13,Alapanyagok_DID!Q43="Y"),"",D43))</f>
        <v/>
      </c>
      <c r="J43" s="280" t="str">
        <f>IF(B43="","",IF(Alapanyagok!U43="Y",D43,""))</f>
        <v/>
      </c>
      <c r="K43" s="281" t="str">
        <f>IF(Alapanyagok!V43="","",Alapanyagok!V43*D43/100)</f>
        <v/>
      </c>
      <c r="L43" s="16"/>
      <c r="M43" s="16"/>
      <c r="N43" s="16"/>
      <c r="O43" s="16"/>
      <c r="P43" s="16"/>
    </row>
    <row r="44" spans="1:16" ht="15.5">
      <c r="A44" s="35">
        <v>33</v>
      </c>
      <c r="B44" s="278" t="str">
        <f>IF(Alapanyagok_DID!B44="","",Alapanyagok_DID!B44)</f>
        <v/>
      </c>
      <c r="C44" s="279" t="str">
        <f>IF(Alapanyagok_DID!G44="","",Alapanyagok_DID!G44)</f>
        <v/>
      </c>
      <c r="D44" s="279" t="str">
        <f>IF(B44="","",C44*Termék!$C$40/100)</f>
        <v/>
      </c>
      <c r="E44" s="297" t="str">
        <f>IF(B44="","",D44*Alapanyagok_DID!M44/Alapanyagok_DID!N44*1000)</f>
        <v/>
      </c>
      <c r="F44" s="280" t="str">
        <f>IF(OR(Alapanyagok!Q44="N",Alapanyagok_DID!O44="R"),"",C44)</f>
        <v/>
      </c>
      <c r="G44" s="280" t="str">
        <f>IF(OR(Alapanyagok!T44="N",Alapanyagok_DID!P44="Y"),"",C44)</f>
        <v/>
      </c>
      <c r="H44" s="915" t="str">
        <f>IF(B44="","",(IF(OR(Alapanyagok!O44=Auswahldaten!$A$13,Alapanyagok_DID!O44="R"),"",D44)))</f>
        <v/>
      </c>
      <c r="I44" s="915" t="str">
        <f>IF(B44="","",IF(OR(Alapanyagok!O44=Auswahldaten!$A$13,Alapanyagok_DID!Q44="Y"),"",D44))</f>
        <v/>
      </c>
      <c r="J44" s="280" t="str">
        <f>IF(B44="","",IF(Alapanyagok!U44="Y",D44,""))</f>
        <v/>
      </c>
      <c r="K44" s="281" t="str">
        <f>IF(Alapanyagok!V44="","",Alapanyagok!V44*D44/100)</f>
        <v/>
      </c>
      <c r="L44" s="16"/>
      <c r="M44" s="16"/>
      <c r="N44" s="16"/>
      <c r="O44" s="16"/>
      <c r="P44" s="16"/>
    </row>
    <row r="45" spans="1:16" ht="15.5">
      <c r="A45" s="35">
        <v>34</v>
      </c>
      <c r="B45" s="278" t="str">
        <f>IF(Alapanyagok_DID!B45="","",Alapanyagok_DID!B45)</f>
        <v/>
      </c>
      <c r="C45" s="279" t="str">
        <f>IF(Alapanyagok_DID!G45="","",Alapanyagok_DID!G45)</f>
        <v/>
      </c>
      <c r="D45" s="279" t="str">
        <f>IF(B45="","",C45*Termék!$C$40/100)</f>
        <v/>
      </c>
      <c r="E45" s="297" t="str">
        <f>IF(B45="","",D45*Alapanyagok_DID!M45/Alapanyagok_DID!N45*1000)</f>
        <v/>
      </c>
      <c r="F45" s="280" t="str">
        <f>IF(OR(Alapanyagok!Q45="N",Alapanyagok_DID!O45="R"),"",C45)</f>
        <v/>
      </c>
      <c r="G45" s="280" t="str">
        <f>IF(OR(Alapanyagok!T45="N",Alapanyagok_DID!P45="Y"),"",C45)</f>
        <v/>
      </c>
      <c r="H45" s="915" t="str">
        <f>IF(B45="","",(IF(OR(Alapanyagok!O45=Auswahldaten!$A$13,Alapanyagok_DID!O45="R"),"",D45)))</f>
        <v/>
      </c>
      <c r="I45" s="915" t="str">
        <f>IF(B45="","",IF(OR(Alapanyagok!O45=Auswahldaten!$A$13,Alapanyagok_DID!Q45="Y"),"",D45))</f>
        <v/>
      </c>
      <c r="J45" s="280" t="str">
        <f>IF(B45="","",IF(Alapanyagok!U45="Y",D45,""))</f>
        <v/>
      </c>
      <c r="K45" s="281" t="str">
        <f>IF(Alapanyagok!V45="","",Alapanyagok!V45*D45/100)</f>
        <v/>
      </c>
      <c r="L45" s="16"/>
      <c r="M45" s="16"/>
      <c r="N45" s="16"/>
      <c r="O45" s="16"/>
      <c r="P45" s="16"/>
    </row>
    <row r="46" spans="1:16" ht="15.5">
      <c r="A46" s="35">
        <v>35</v>
      </c>
      <c r="B46" s="278"/>
      <c r="C46" s="279"/>
      <c r="D46" s="279"/>
      <c r="E46" s="297"/>
      <c r="F46" s="280"/>
      <c r="G46" s="280"/>
      <c r="H46" s="915" t="str">
        <f>IF(B46="","",(IF(OR(Alapanyagok!O46=Auswahldaten!$A$13,Alapanyagok_DID!O46="R"),"",D46)))</f>
        <v/>
      </c>
      <c r="I46" s="915" t="str">
        <f>IF(B46="","",IF(OR(Alapanyagok!O46=Auswahldaten!$A$13,Alapanyagok_DID!Q46="Y"),"",D46))</f>
        <v/>
      </c>
      <c r="J46" s="280" t="str">
        <f>IF(B46="","",IF(Alapanyagok!U46="Y",D46,""))</f>
        <v/>
      </c>
      <c r="K46" s="281" t="str">
        <f>IF(Alapanyagok!V46="","",Alapanyagok!V46*D46/100)</f>
        <v/>
      </c>
      <c r="L46" s="16"/>
      <c r="M46" s="16"/>
      <c r="N46" s="16"/>
      <c r="O46" s="16"/>
      <c r="P46" s="16"/>
    </row>
    <row r="47" spans="1:16" ht="15.5">
      <c r="A47" s="35">
        <v>36</v>
      </c>
      <c r="B47" s="278" t="str">
        <f>IF(Alapanyagok_DID!B47="","",Alapanyagok_DID!B47)</f>
        <v/>
      </c>
      <c r="C47" s="279" t="str">
        <f>IF(Alapanyagok_DID!G47="","",Alapanyagok_DID!G47)</f>
        <v/>
      </c>
      <c r="D47" s="279" t="str">
        <f>IF(B47="","",C47*Termék!$C$40/100)</f>
        <v/>
      </c>
      <c r="E47" s="297" t="str">
        <f>IF(B47="","",D47*Alapanyagok_DID!M47/Alapanyagok_DID!N47*1000)</f>
        <v/>
      </c>
      <c r="F47" s="280" t="str">
        <f>IF(OR(Alapanyagok!Q47="N",Alapanyagok_DID!O47="R"),"",C47)</f>
        <v/>
      </c>
      <c r="G47" s="280" t="str">
        <f>IF(OR(Alapanyagok!T47="N",Alapanyagok_DID!P47="Y"),"",C47)</f>
        <v/>
      </c>
      <c r="H47" s="915" t="str">
        <f>IF(B47="","",(IF(OR(Alapanyagok!O47=Auswahldaten!$A$13,Alapanyagok_DID!O47="R"),"",D47)))</f>
        <v/>
      </c>
      <c r="I47" s="915" t="str">
        <f>IF(B47="","",IF(OR(Alapanyagok!O47=Auswahldaten!$A$13,Alapanyagok_DID!Q47="Y"),"",D47))</f>
        <v/>
      </c>
      <c r="J47" s="280" t="str">
        <f>IF(B47="","",IF(Alapanyagok!U47="Y",D47,""))</f>
        <v/>
      </c>
      <c r="K47" s="281" t="str">
        <f>IF(Alapanyagok!V47="","",Alapanyagok!V47*D47/100)</f>
        <v/>
      </c>
      <c r="L47" s="16"/>
      <c r="M47" s="16"/>
      <c r="N47" s="16"/>
      <c r="O47" s="16"/>
      <c r="P47" s="16"/>
    </row>
    <row r="48" spans="1:16" ht="15.5">
      <c r="A48" s="35">
        <v>37</v>
      </c>
      <c r="B48" s="278" t="str">
        <f>IF(Alapanyagok_DID!B48="","",Alapanyagok_DID!B48)</f>
        <v/>
      </c>
      <c r="C48" s="279" t="str">
        <f>IF(Alapanyagok_DID!G48="","",Alapanyagok_DID!G48)</f>
        <v/>
      </c>
      <c r="D48" s="279" t="str">
        <f>IF(B48="","",C48*Termék!$C$40/100)</f>
        <v/>
      </c>
      <c r="E48" s="297" t="str">
        <f>IF(B48="","",D48*Alapanyagok_DID!M48/Alapanyagok_DID!N48*1000)</f>
        <v/>
      </c>
      <c r="F48" s="280" t="str">
        <f>IF(OR(Alapanyagok!Q48="N",Alapanyagok_DID!O48="R"),"",C48)</f>
        <v/>
      </c>
      <c r="G48" s="280" t="str">
        <f>IF(OR(Alapanyagok!T48="N",Alapanyagok_DID!P48="Y"),"",C48)</f>
        <v/>
      </c>
      <c r="H48" s="915" t="str">
        <f>IF(B48="","",(IF(OR(Alapanyagok!O48=Auswahldaten!$A$13,Alapanyagok_DID!O48="R"),"",D48)))</f>
        <v/>
      </c>
      <c r="I48" s="915" t="str">
        <f>IF(B48="","",IF(OR(Alapanyagok!O48=Auswahldaten!$A$13,Alapanyagok_DID!Q48="Y"),"",D48))</f>
        <v/>
      </c>
      <c r="J48" s="280" t="str">
        <f>IF(B48="","",IF(Alapanyagok!U48="Y",D48,""))</f>
        <v/>
      </c>
      <c r="K48" s="281" t="str">
        <f>IF(Alapanyagok!V48="","",Alapanyagok!V48*D48/100)</f>
        <v/>
      </c>
      <c r="L48" s="16"/>
      <c r="M48" s="16"/>
      <c r="N48" s="16"/>
      <c r="O48" s="16"/>
      <c r="P48" s="16"/>
    </row>
    <row r="49" spans="1:16" ht="15.5">
      <c r="A49" s="35">
        <v>38</v>
      </c>
      <c r="B49" s="278" t="str">
        <f>IF(Alapanyagok_DID!B49="","",Alapanyagok_DID!B49)</f>
        <v/>
      </c>
      <c r="C49" s="279" t="str">
        <f>IF(Alapanyagok_DID!G49="","",Alapanyagok_DID!G49)</f>
        <v/>
      </c>
      <c r="D49" s="279" t="str">
        <f>IF(B49="","",C49*Termék!$C$40/100)</f>
        <v/>
      </c>
      <c r="E49" s="297" t="str">
        <f>IF(B49="","",D49*Alapanyagok_DID!M49/Alapanyagok_DID!N49*1000)</f>
        <v/>
      </c>
      <c r="F49" s="280" t="str">
        <f>IF(OR(Alapanyagok!Q49="N",Alapanyagok_DID!O49="R"),"",C49)</f>
        <v/>
      </c>
      <c r="G49" s="280" t="str">
        <f>IF(OR(Alapanyagok!T49="N",Alapanyagok_DID!P49="Y"),"",C49)</f>
        <v/>
      </c>
      <c r="H49" s="915" t="str">
        <f>IF(B49="","",(IF(OR(Alapanyagok!O49=Auswahldaten!$A$13,Alapanyagok_DID!O49="R"),"",D49)))</f>
        <v/>
      </c>
      <c r="I49" s="915" t="str">
        <f>IF(B49="","",IF(OR(Alapanyagok!O49=Auswahldaten!$A$13,Alapanyagok_DID!Q49="Y"),"",D49))</f>
        <v/>
      </c>
      <c r="J49" s="280" t="str">
        <f>IF(B49="","",IF(Alapanyagok!U49="Y",D49,""))</f>
        <v/>
      </c>
      <c r="K49" s="281" t="str">
        <f>IF(Alapanyagok!V49="","",Alapanyagok!V49*D49/100)</f>
        <v/>
      </c>
      <c r="L49" s="16"/>
      <c r="M49" s="16"/>
      <c r="N49" s="16"/>
      <c r="O49" s="16"/>
      <c r="P49" s="16"/>
    </row>
    <row r="50" spans="1:16" ht="15.5">
      <c r="A50" s="35">
        <v>39</v>
      </c>
      <c r="B50" s="278" t="str">
        <f>IF(Alapanyagok_DID!B50="","",Alapanyagok_DID!B50)</f>
        <v/>
      </c>
      <c r="C50" s="279" t="str">
        <f>IF(Alapanyagok_DID!G50="","",Alapanyagok_DID!G50)</f>
        <v/>
      </c>
      <c r="D50" s="279" t="str">
        <f>IF(B50="","",C50*Termék!$C$40/100)</f>
        <v/>
      </c>
      <c r="E50" s="297" t="str">
        <f>IF(B50="","",D50*Alapanyagok_DID!M50/Alapanyagok_DID!N50*1000)</f>
        <v/>
      </c>
      <c r="F50" s="280" t="str">
        <f>IF(OR(Alapanyagok!Q50="N",Alapanyagok_DID!O50="R"),"",C50)</f>
        <v/>
      </c>
      <c r="G50" s="280" t="str">
        <f>IF(OR(Alapanyagok!T50="N",Alapanyagok_DID!P50="Y"),"",C50)</f>
        <v/>
      </c>
      <c r="H50" s="915" t="str">
        <f>IF(B50="","",(IF(OR(Alapanyagok!O50=Auswahldaten!$A$13,Alapanyagok_DID!O50="R"),"",D50)))</f>
        <v/>
      </c>
      <c r="I50" s="915" t="str">
        <f>IF(B50="","",IF(OR(Alapanyagok!O50=Auswahldaten!$A$13,Alapanyagok_DID!Q50="Y"),"",D50))</f>
        <v/>
      </c>
      <c r="J50" s="280" t="str">
        <f>IF(B50="","",IF(Alapanyagok!U50="Y",D50,""))</f>
        <v/>
      </c>
      <c r="K50" s="281" t="str">
        <f>IF(Alapanyagok!V50="","",Alapanyagok!V50*D50/100)</f>
        <v/>
      </c>
      <c r="L50" s="16"/>
      <c r="M50" s="16"/>
      <c r="N50" s="16"/>
      <c r="O50" s="16"/>
      <c r="P50" s="16"/>
    </row>
    <row r="51" spans="1:16" ht="15.5">
      <c r="A51" s="35">
        <v>40</v>
      </c>
      <c r="B51" s="278" t="str">
        <f>IF(Alapanyagok_DID!B51="","",Alapanyagok_DID!B51)</f>
        <v/>
      </c>
      <c r="C51" s="279" t="str">
        <f>IF(Alapanyagok_DID!G51="","",Alapanyagok_DID!G51)</f>
        <v/>
      </c>
      <c r="D51" s="279" t="str">
        <f>IF(B51="","",C51*Termék!$C$40/100)</f>
        <v/>
      </c>
      <c r="E51" s="297" t="str">
        <f>IF(B51="","",D51*Alapanyagok_DID!M51/Alapanyagok_DID!N51*1000)</f>
        <v/>
      </c>
      <c r="F51" s="280" t="str">
        <f>IF(OR(Alapanyagok!Q51="N",Alapanyagok_DID!O51="R"),"",C51)</f>
        <v/>
      </c>
      <c r="G51" s="280" t="str">
        <f>IF(OR(Alapanyagok!T51="N",Alapanyagok_DID!P51="Y"),"",C51)</f>
        <v/>
      </c>
      <c r="H51" s="915" t="str">
        <f>IF(B51="","",(IF(OR(Alapanyagok!O51=Auswahldaten!$A$13,Alapanyagok_DID!O51="R"),"",D51)))</f>
        <v/>
      </c>
      <c r="I51" s="915" t="str">
        <f>IF(B51="","",IF(OR(Alapanyagok!O51=Auswahldaten!$A$13,Alapanyagok_DID!Q51="Y"),"",D51))</f>
        <v/>
      </c>
      <c r="J51" s="280" t="str">
        <f>IF(B51="","",IF(Alapanyagok!U51="Y",D51,""))</f>
        <v/>
      </c>
      <c r="K51" s="281" t="str">
        <f>IF(Alapanyagok!V51="","",Alapanyagok!V51*D51/100)</f>
        <v/>
      </c>
      <c r="L51" s="16"/>
      <c r="M51" s="16"/>
      <c r="N51" s="16"/>
      <c r="O51" s="16"/>
      <c r="P51" s="16"/>
    </row>
    <row r="52" spans="1:16" ht="15.5">
      <c r="A52" s="35">
        <v>41</v>
      </c>
      <c r="B52" s="278" t="str">
        <f>IF(Alapanyagok_DID!B52="","",Alapanyagok_DID!B52)</f>
        <v/>
      </c>
      <c r="C52" s="279" t="str">
        <f>IF(Alapanyagok_DID!G52="","",Alapanyagok_DID!G52)</f>
        <v/>
      </c>
      <c r="D52" s="279" t="str">
        <f>IF(B52="","",C52*Termék!$C$40/100)</f>
        <v/>
      </c>
      <c r="E52" s="297" t="str">
        <f>IF(B52="","",D52*Alapanyagok_DID!M52/Alapanyagok_DID!N52*1000)</f>
        <v/>
      </c>
      <c r="F52" s="280" t="str">
        <f>IF(OR(Alapanyagok!Q52="N",Alapanyagok_DID!O52="R"),"",C52)</f>
        <v/>
      </c>
      <c r="G52" s="280" t="str">
        <f>IF(OR(Alapanyagok!T52="N",Alapanyagok_DID!P52="Y"),"",C52)</f>
        <v/>
      </c>
      <c r="H52" s="915" t="str">
        <f>IF(B52="","",(IF(OR(Alapanyagok!O52=Auswahldaten!$A$13,Alapanyagok_DID!O52="R"),"",D52)))</f>
        <v/>
      </c>
      <c r="I52" s="915" t="str">
        <f>IF(B52="","",IF(OR(Alapanyagok!O52=Auswahldaten!$A$13,Alapanyagok_DID!Q52="Y"),"",D52))</f>
        <v/>
      </c>
      <c r="J52" s="280" t="str">
        <f>IF(B52="","",IF(Alapanyagok!U52="Y",D52,""))</f>
        <v/>
      </c>
      <c r="K52" s="281" t="str">
        <f>IF(Alapanyagok!V52="","",Alapanyagok!V52*D52/100)</f>
        <v/>
      </c>
      <c r="L52" s="16"/>
      <c r="M52" s="16"/>
      <c r="N52" s="16"/>
      <c r="O52" s="16"/>
      <c r="P52" s="16"/>
    </row>
    <row r="53" spans="1:16" ht="15.5">
      <c r="A53" s="35">
        <v>42</v>
      </c>
      <c r="B53" s="278" t="str">
        <f>IF(Alapanyagok_DID!B53="","",Alapanyagok_DID!B53)</f>
        <v/>
      </c>
      <c r="C53" s="279" t="str">
        <f>IF(Alapanyagok_DID!G53="","",Alapanyagok_DID!G53)</f>
        <v/>
      </c>
      <c r="D53" s="279" t="str">
        <f>IF(B53="","",C53*Termék!$C$40/100)</f>
        <v/>
      </c>
      <c r="E53" s="297" t="str">
        <f>IF(B53="","",D53*Alapanyagok_DID!M53/Alapanyagok_DID!N53*1000)</f>
        <v/>
      </c>
      <c r="F53" s="280" t="str">
        <f>IF(OR(Alapanyagok!Q53="N",Alapanyagok_DID!O53="R"),"",C53)</f>
        <v/>
      </c>
      <c r="G53" s="280" t="str">
        <f>IF(OR(Alapanyagok!T53="N",Alapanyagok_DID!P53="Y"),"",C53)</f>
        <v/>
      </c>
      <c r="H53" s="915" t="str">
        <f>IF(B53="","",(IF(OR(Alapanyagok!O53=Auswahldaten!$A$13,Alapanyagok_DID!O53="R"),"",D53)))</f>
        <v/>
      </c>
      <c r="I53" s="915" t="str">
        <f>IF(B53="","",IF(OR(Alapanyagok!O53=Auswahldaten!$A$13,Alapanyagok_DID!Q53="Y"),"",D53))</f>
        <v/>
      </c>
      <c r="J53" s="280" t="str">
        <f>IF(B53="","",IF(Alapanyagok!U53="Y",D53,""))</f>
        <v/>
      </c>
      <c r="K53" s="281" t="str">
        <f>IF(Alapanyagok!V53="","",Alapanyagok!V53*D53/100)</f>
        <v/>
      </c>
      <c r="L53" s="16"/>
      <c r="M53" s="16"/>
      <c r="N53" s="16"/>
      <c r="O53" s="16"/>
      <c r="P53" s="16"/>
    </row>
    <row r="54" spans="1:16" ht="15.5">
      <c r="A54" s="35">
        <v>43</v>
      </c>
      <c r="B54" s="278" t="str">
        <f>IF(Alapanyagok_DID!B54="","",Alapanyagok_DID!B54)</f>
        <v/>
      </c>
      <c r="C54" s="279" t="str">
        <f>IF(Alapanyagok_DID!G54="","",Alapanyagok_DID!G54)</f>
        <v/>
      </c>
      <c r="D54" s="279" t="str">
        <f>IF(B54="","",C54*Termék!$C$40/100)</f>
        <v/>
      </c>
      <c r="E54" s="297" t="str">
        <f>IF(B54="","",D54*Alapanyagok_DID!M54/Alapanyagok_DID!N54*1000)</f>
        <v/>
      </c>
      <c r="F54" s="280" t="str">
        <f>IF(OR(Alapanyagok!Q54="N",Alapanyagok_DID!O54="R"),"",C54)</f>
        <v/>
      </c>
      <c r="G54" s="280" t="str">
        <f>IF(OR(Alapanyagok!T54="N",Alapanyagok_DID!P54="Y"),"",C54)</f>
        <v/>
      </c>
      <c r="H54" s="915" t="str">
        <f>IF(B54="","",(IF(OR(Alapanyagok!O54=Auswahldaten!$A$13,Alapanyagok_DID!O54="R"),"",D54)))</f>
        <v/>
      </c>
      <c r="I54" s="915" t="str">
        <f>IF(B54="","",IF(OR(Alapanyagok!O54=Auswahldaten!$A$13,Alapanyagok_DID!Q54="Y"),"",D54))</f>
        <v/>
      </c>
      <c r="J54" s="280" t="str">
        <f>IF(B54="","",IF(Alapanyagok!U54="Y",D54,""))</f>
        <v/>
      </c>
      <c r="K54" s="281" t="str">
        <f>IF(Alapanyagok!V54="","",Alapanyagok!V54*D54/100)</f>
        <v/>
      </c>
      <c r="L54" s="16"/>
      <c r="M54" s="16"/>
      <c r="N54" s="16"/>
      <c r="O54" s="16"/>
      <c r="P54" s="16"/>
    </row>
    <row r="55" spans="1:16" ht="15.5">
      <c r="A55" s="35">
        <v>44</v>
      </c>
      <c r="B55" s="278" t="str">
        <f>IF(Alapanyagok_DID!B55="","",Alapanyagok_DID!B55)</f>
        <v/>
      </c>
      <c r="C55" s="279" t="str">
        <f>IF(Alapanyagok_DID!G55="","",Alapanyagok_DID!G55)</f>
        <v/>
      </c>
      <c r="D55" s="279" t="str">
        <f>IF(B55="","",C55*Termék!$C$40/100)</f>
        <v/>
      </c>
      <c r="E55" s="297" t="str">
        <f>IF(B55="","",D55*Alapanyagok_DID!M55/Alapanyagok_DID!N55*1000)</f>
        <v/>
      </c>
      <c r="F55" s="280" t="str">
        <f>IF(OR(Alapanyagok!Q55="N",Alapanyagok_DID!O55="R"),"",C55)</f>
        <v/>
      </c>
      <c r="G55" s="280" t="str">
        <f>IF(OR(Alapanyagok!T55="N",Alapanyagok_DID!P55="Y"),"",C55)</f>
        <v/>
      </c>
      <c r="H55" s="915" t="str">
        <f>IF(B55="","",(IF(OR(Alapanyagok!O55=Auswahldaten!$A$13,Alapanyagok_DID!O55="R"),"",D55)))</f>
        <v/>
      </c>
      <c r="I55" s="915" t="str">
        <f>IF(B55="","",IF(OR(Alapanyagok!O55=Auswahldaten!$A$13,Alapanyagok_DID!Q55="Y"),"",D55))</f>
        <v/>
      </c>
      <c r="J55" s="280" t="str">
        <f>IF(B55="","",IF(Alapanyagok!U55="Y",D55,""))</f>
        <v/>
      </c>
      <c r="K55" s="281" t="str">
        <f>IF(Alapanyagok!V55="","",Alapanyagok!V55*D55/100)</f>
        <v/>
      </c>
      <c r="L55" s="16"/>
      <c r="M55" s="16"/>
      <c r="N55" s="16"/>
      <c r="O55" s="16"/>
      <c r="P55" s="16"/>
    </row>
    <row r="56" spans="1:16" ht="15.5">
      <c r="A56" s="35">
        <v>45</v>
      </c>
      <c r="B56" s="278" t="str">
        <f>IF(Alapanyagok_DID!B56="","",Alapanyagok_DID!B56)</f>
        <v/>
      </c>
      <c r="C56" s="279" t="str">
        <f>IF(Alapanyagok_DID!G56="","",Alapanyagok_DID!G56)</f>
        <v/>
      </c>
      <c r="D56" s="279" t="str">
        <f>IF(B56="","",C56*Termék!$C$40/100)</f>
        <v/>
      </c>
      <c r="E56" s="297" t="str">
        <f>IF(B56="","",D56*Alapanyagok_DID!M56/Alapanyagok_DID!N56*1000)</f>
        <v/>
      </c>
      <c r="F56" s="280" t="str">
        <f>IF(OR(Alapanyagok!Q56="N",Alapanyagok_DID!O56="R"),"",C56)</f>
        <v/>
      </c>
      <c r="G56" s="280" t="str">
        <f>IF(OR(Alapanyagok!T56="N",Alapanyagok_DID!P56="Y"),"",C56)</f>
        <v/>
      </c>
      <c r="H56" s="915" t="str">
        <f>IF(B56="","",(IF(OR(Alapanyagok!O56=Auswahldaten!$A$13,Alapanyagok_DID!O56="R"),"",D56)))</f>
        <v/>
      </c>
      <c r="I56" s="915" t="str">
        <f>IF(B56="","",IF(OR(Alapanyagok!O56=Auswahldaten!$A$13,Alapanyagok_DID!Q56="Y"),"",D56))</f>
        <v/>
      </c>
      <c r="J56" s="280" t="str">
        <f>IF(B56="","",IF(Alapanyagok!U56="Y",D56,""))</f>
        <v/>
      </c>
      <c r="K56" s="281" t="str">
        <f>IF(Alapanyagok!V56="","",Alapanyagok!V56*D56/100)</f>
        <v/>
      </c>
      <c r="L56" s="16"/>
      <c r="M56" s="16"/>
      <c r="N56" s="16"/>
      <c r="O56" s="16"/>
      <c r="P56" s="16"/>
    </row>
    <row r="57" spans="1:16" ht="15.5">
      <c r="A57" s="35">
        <v>46</v>
      </c>
      <c r="B57" s="278" t="str">
        <f>IF(Alapanyagok_DID!B57="","",Alapanyagok_DID!B57)</f>
        <v/>
      </c>
      <c r="C57" s="279" t="str">
        <f>IF(Alapanyagok_DID!G57="","",Alapanyagok_DID!G57)</f>
        <v/>
      </c>
      <c r="D57" s="279" t="str">
        <f>IF(B57="","",C57*Termék!$C$40/100)</f>
        <v/>
      </c>
      <c r="E57" s="297" t="str">
        <f>IF(B57="","",D57*Alapanyagok_DID!M57/Alapanyagok_DID!N57*1000)</f>
        <v/>
      </c>
      <c r="F57" s="280" t="str">
        <f>IF(OR(Alapanyagok!Q57="N",Alapanyagok_DID!O57="R"),"",C57)</f>
        <v/>
      </c>
      <c r="G57" s="280" t="str">
        <f>IF(OR(Alapanyagok!T57="N",Alapanyagok_DID!P57="Y"),"",C57)</f>
        <v/>
      </c>
      <c r="H57" s="915" t="str">
        <f>IF(B57="","",(IF(OR(Alapanyagok!O57=Auswahldaten!$A$13,Alapanyagok_DID!O57="R"),"",D57)))</f>
        <v/>
      </c>
      <c r="I57" s="915" t="str">
        <f>IF(B57="","",IF(OR(Alapanyagok!O57=Auswahldaten!$A$13,Alapanyagok_DID!Q57="Y"),"",D57))</f>
        <v/>
      </c>
      <c r="J57" s="280" t="str">
        <f>IF(B57="","",IF(Alapanyagok!U57="Y",D57,""))</f>
        <v/>
      </c>
      <c r="K57" s="281" t="str">
        <f>IF(Alapanyagok!V57="","",Alapanyagok!V57*D57/100)</f>
        <v/>
      </c>
      <c r="L57" s="16"/>
      <c r="M57" s="16"/>
      <c r="N57" s="16"/>
      <c r="O57" s="16"/>
      <c r="P57" s="16"/>
    </row>
    <row r="58" spans="1:16" ht="15.5">
      <c r="A58" s="35">
        <v>47</v>
      </c>
      <c r="B58" s="278" t="str">
        <f>IF(Alapanyagok_DID!B58="","",Alapanyagok_DID!B58)</f>
        <v/>
      </c>
      <c r="C58" s="279" t="str">
        <f>IF(Alapanyagok_DID!G58="","",Alapanyagok_DID!G58)</f>
        <v/>
      </c>
      <c r="D58" s="279" t="str">
        <f>IF(B58="","",C58*Termék!$C$40/100)</f>
        <v/>
      </c>
      <c r="E58" s="297" t="str">
        <f>IF(B58="","",D58*Alapanyagok_DID!M58/Alapanyagok_DID!N58*1000)</f>
        <v/>
      </c>
      <c r="F58" s="280" t="str">
        <f>IF(OR(Alapanyagok!Q58="N",Alapanyagok_DID!O58="R"),"",C58)</f>
        <v/>
      </c>
      <c r="G58" s="280" t="str">
        <f>IF(OR(Alapanyagok!T58="N",Alapanyagok_DID!P58="Y"),"",C58)</f>
        <v/>
      </c>
      <c r="H58" s="915" t="str">
        <f>IF(B58="","",(IF(OR(Alapanyagok!O58=Auswahldaten!$A$13,Alapanyagok_DID!O58="R"),"",D58)))</f>
        <v/>
      </c>
      <c r="I58" s="915" t="str">
        <f>IF(B58="","",IF(OR(Alapanyagok!O58=Auswahldaten!$A$13,Alapanyagok_DID!Q58="Y"),"",D58))</f>
        <v/>
      </c>
      <c r="J58" s="280" t="str">
        <f>IF(B58="","",IF(Alapanyagok!U58="Y",D58,""))</f>
        <v/>
      </c>
      <c r="K58" s="281" t="str">
        <f>IF(Alapanyagok!V58="","",Alapanyagok!V58*D58/100)</f>
        <v/>
      </c>
      <c r="L58" s="16"/>
      <c r="M58" s="16"/>
      <c r="N58" s="16"/>
      <c r="O58" s="16"/>
      <c r="P58" s="16"/>
    </row>
    <row r="59" spans="1:16" ht="15.5">
      <c r="A59" s="35">
        <v>48</v>
      </c>
      <c r="B59" s="278" t="str">
        <f>IF(Alapanyagok_DID!B59="","",Alapanyagok_DID!B59)</f>
        <v/>
      </c>
      <c r="C59" s="279" t="str">
        <f>IF(Alapanyagok_DID!G59="","",Alapanyagok_DID!G59)</f>
        <v/>
      </c>
      <c r="D59" s="279" t="str">
        <f>IF(B59="","",C59*Termék!$C$40/100)</f>
        <v/>
      </c>
      <c r="E59" s="297" t="str">
        <f>IF(B59="","",D59*Alapanyagok_DID!M59/Alapanyagok_DID!N59*1000)</f>
        <v/>
      </c>
      <c r="F59" s="280" t="str">
        <f>IF(OR(Alapanyagok!Q59="N",Alapanyagok_DID!O59="R"),"",C59)</f>
        <v/>
      </c>
      <c r="G59" s="280" t="str">
        <f>IF(OR(Alapanyagok!T59="N",Alapanyagok_DID!P59="Y"),"",C59)</f>
        <v/>
      </c>
      <c r="H59" s="915" t="str">
        <f>IF(B59="","",(IF(OR(Alapanyagok!O59=Auswahldaten!$A$13,Alapanyagok_DID!O59="R"),"",D59)))</f>
        <v/>
      </c>
      <c r="I59" s="915" t="str">
        <f>IF(B59="","",IF(OR(Alapanyagok!O59=Auswahldaten!$A$13,Alapanyagok_DID!Q59="Y"),"",D59))</f>
        <v/>
      </c>
      <c r="J59" s="280" t="str">
        <f>IF(B59="","",IF(Alapanyagok!U59="Y",D59,""))</f>
        <v/>
      </c>
      <c r="K59" s="281" t="str">
        <f>IF(Alapanyagok!V59="","",Alapanyagok!V59*D59/100)</f>
        <v/>
      </c>
      <c r="L59" s="16"/>
      <c r="M59" s="16"/>
      <c r="N59" s="16"/>
      <c r="O59" s="16"/>
      <c r="P59" s="16"/>
    </row>
    <row r="60" spans="1:16" ht="15.5">
      <c r="A60" s="35">
        <v>49</v>
      </c>
      <c r="B60" s="278" t="str">
        <f>IF(Alapanyagok_DID!B60="","",Alapanyagok_DID!B60)</f>
        <v/>
      </c>
      <c r="C60" s="279" t="str">
        <f>IF(Alapanyagok_DID!G60="","",Alapanyagok_DID!G60)</f>
        <v/>
      </c>
      <c r="D60" s="279" t="str">
        <f>IF(B60="","",C60*Termék!$C$40/100)</f>
        <v/>
      </c>
      <c r="E60" s="297" t="str">
        <f>IF(B60="","",D60*Alapanyagok_DID!M60/Alapanyagok_DID!N60*1000)</f>
        <v/>
      </c>
      <c r="F60" s="280" t="str">
        <f>IF(OR(Alapanyagok!Q60="N",Alapanyagok_DID!O60="R"),"",C60)</f>
        <v/>
      </c>
      <c r="G60" s="280" t="str">
        <f>IF(OR(Alapanyagok!T60="N",Alapanyagok_DID!P60="Y"),"",C60)</f>
        <v/>
      </c>
      <c r="H60" s="915" t="str">
        <f>IF(B60="","",(IF(OR(Alapanyagok!O60=Auswahldaten!$A$13,Alapanyagok_DID!O60="R"),"",D60)))</f>
        <v/>
      </c>
      <c r="I60" s="915" t="str">
        <f>IF(B60="","",IF(OR(Alapanyagok!O60=Auswahldaten!$A$13,Alapanyagok_DID!Q60="Y"),"",D60))</f>
        <v/>
      </c>
      <c r="J60" s="280" t="str">
        <f>IF(B60="","",IF(Alapanyagok!U60="Y",D60,""))</f>
        <v/>
      </c>
      <c r="K60" s="281" t="str">
        <f>IF(Alapanyagok!V60="","",Alapanyagok!V60*D60/100)</f>
        <v/>
      </c>
      <c r="L60" s="16"/>
      <c r="M60" s="16"/>
      <c r="N60" s="16"/>
      <c r="O60" s="16"/>
      <c r="P60" s="16"/>
    </row>
    <row r="61" spans="1:16" ht="15.5">
      <c r="A61" s="35">
        <v>50</v>
      </c>
      <c r="B61" s="278" t="str">
        <f>IF(Alapanyagok_DID!B61="","",Alapanyagok_DID!B61)</f>
        <v/>
      </c>
      <c r="C61" s="279" t="str">
        <f>IF(Alapanyagok_DID!G61="","",Alapanyagok_DID!G61)</f>
        <v/>
      </c>
      <c r="D61" s="279" t="str">
        <f>IF(B61="","",C61*Termék!$C$40/100)</f>
        <v/>
      </c>
      <c r="E61" s="297" t="str">
        <f>IF(B61="","",D61*Alapanyagok_DID!M61/Alapanyagok_DID!N61*1000)</f>
        <v/>
      </c>
      <c r="F61" s="280" t="str">
        <f>IF(OR(Alapanyagok!Q61="N",Alapanyagok_DID!O61="R"),"",C61)</f>
        <v/>
      </c>
      <c r="G61" s="280" t="str">
        <f>IF(OR(Alapanyagok!T61="N",Alapanyagok_DID!P61="Y"),"",C61)</f>
        <v/>
      </c>
      <c r="H61" s="915" t="str">
        <f>IF(B61="","",(IF(OR(Alapanyagok!O61=Auswahldaten!$A$13,Alapanyagok_DID!O61="R"),"",D61)))</f>
        <v/>
      </c>
      <c r="I61" s="915" t="str">
        <f>IF(B61="","",IF(OR(Alapanyagok!O61=Auswahldaten!$A$13,Alapanyagok_DID!Q61="Y"),"",D61))</f>
        <v/>
      </c>
      <c r="J61" s="280" t="str">
        <f>IF(B61="","",IF(Alapanyagok!U61="Y",D61,""))</f>
        <v/>
      </c>
      <c r="K61" s="281" t="str">
        <f>IF(Alapanyagok!V61="","",Alapanyagok!V61*D61/100)</f>
        <v/>
      </c>
      <c r="L61" s="16"/>
      <c r="M61" s="16"/>
      <c r="N61" s="16"/>
      <c r="O61" s="16"/>
      <c r="P61" s="16"/>
    </row>
    <row r="62" spans="1:16" ht="15.5">
      <c r="A62" s="38"/>
      <c r="B62" s="118" t="str">
        <f>Összetétel!B62</f>
        <v>Összesen:</v>
      </c>
      <c r="C62" s="18"/>
      <c r="D62" s="18"/>
      <c r="E62" s="298">
        <f aca="true" t="shared" si="0" ref="E62:I62">SUM(E13:E61)</f>
        <v>0</v>
      </c>
      <c r="F62" s="119">
        <f t="shared" si="0"/>
        <v>0</v>
      </c>
      <c r="G62" s="282">
        <f t="shared" si="0"/>
        <v>0</v>
      </c>
      <c r="H62" s="916">
        <f t="shared" si="0"/>
        <v>0</v>
      </c>
      <c r="I62" s="916">
        <f t="shared" si="0"/>
        <v>0</v>
      </c>
      <c r="J62" s="119">
        <f aca="true" t="shared" si="1" ref="J62:K62">SUM(J13:J61)</f>
        <v>0</v>
      </c>
      <c r="K62" s="299">
        <f t="shared" si="1"/>
        <v>0</v>
      </c>
      <c r="L62" s="16"/>
      <c r="M62" s="16"/>
      <c r="N62" s="16"/>
      <c r="O62" s="16"/>
      <c r="P62" s="16"/>
    </row>
    <row r="63" spans="1:16" ht="39.75" customHeight="1">
      <c r="A63" s="21"/>
      <c r="B63" s="283" t="s">
        <v>468</v>
      </c>
      <c r="C63" s="44"/>
      <c r="D63" s="21"/>
      <c r="E63" s="284" t="str">
        <f>"="&amp;E10</f>
        <v>=KHT krónikus</v>
      </c>
      <c r="F63" s="284" t="str">
        <f>IF(Adatlap!$L$1=Fordítások!C3,Fordítások!C47,Fordítások!B47)</f>
        <v>=aNBO (felületaktív anyag)</v>
      </c>
      <c r="G63" s="284" t="str">
        <f>IF(Adatlap!$L$1=Fordítások!C3,Fordítások!C48,Fordítások!B48)</f>
        <v>=anNBO (felületaktív H400/H412)</v>
      </c>
      <c r="H63" s="284" t="str">
        <f>IF(Adatlap!$L$1=Fordítások!C3,Fordítások!C49,Fordítások!B49)</f>
        <v>=aNBO (szerves anyag)</v>
      </c>
      <c r="I63" s="284" t="str">
        <f>IF(Adatlap!$L$1=Fordítások!C3,Fordítások!C50,Fordítások!B50)</f>
        <v>=anNBO (szerves anyag)</v>
      </c>
      <c r="J63" s="285" t="s">
        <v>818</v>
      </c>
      <c r="K63" s="285" t="s">
        <v>819</v>
      </c>
      <c r="L63" s="16"/>
      <c r="M63" s="16"/>
      <c r="N63" s="16"/>
      <c r="O63" s="16"/>
      <c r="P63" s="16"/>
    </row>
    <row r="64" spans="1:16" ht="15.5">
      <c r="A64" s="21"/>
      <c r="B64" s="283" t="s">
        <v>468</v>
      </c>
      <c r="C64" s="44"/>
      <c r="D64" s="286" t="str">
        <f>IF(Adatlap!$L$1=Fordítások!C3,Fordítások!C89,Fordítások!B89)</f>
        <v>Határérték</v>
      </c>
      <c r="E64" s="287" t="e">
        <f>VLOOKUP(Termék!$C$24,Auswahldaten!$A$113:$F$137,2,FALSE)</f>
        <v>#N/A</v>
      </c>
      <c r="F64" s="287">
        <v>0</v>
      </c>
      <c r="G64" s="287">
        <v>0</v>
      </c>
      <c r="H64" s="287" t="e">
        <f>VLOOKUP(Termék!$C$24,Auswahldaten!$A$113:$F$137,3,FALSE)</f>
        <v>#N/A</v>
      </c>
      <c r="I64" s="287" t="e">
        <f>VLOOKUP(Termék!$C$24,Auswahldaten!$A$113:$F$137,4,FALSE)</f>
        <v>#N/A</v>
      </c>
      <c r="J64" s="287" t="e">
        <f>VLOOKUP(Termék!$C$24,Auswahldaten!$A$113:$F$137,5,FALSE)</f>
        <v>#N/A</v>
      </c>
      <c r="K64" s="287" t="e">
        <f>VLOOKUP(Termék!$C$24,Auswahldaten!$A$113:$F$137,6,FALSE)</f>
        <v>#N/A</v>
      </c>
      <c r="L64" s="16"/>
      <c r="M64" s="16"/>
      <c r="N64" s="16"/>
      <c r="O64" s="16"/>
      <c r="P64" s="16"/>
    </row>
    <row r="65" spans="1:16" ht="16" thickBot="1">
      <c r="A65" s="21"/>
      <c r="B65" s="283" t="s">
        <v>468</v>
      </c>
      <c r="C65" s="44"/>
      <c r="D65" s="288" t="str">
        <f>IF(Adatlap!$L$1=Fordítások!C3,Fordítások!C90,Fordítások!B90)</f>
        <v>Eredmény</v>
      </c>
      <c r="E65" s="289" t="e">
        <f>IF(E62&lt;=E64,"ok","not ok")</f>
        <v>#N/A</v>
      </c>
      <c r="F65" s="289" t="str">
        <f>IF(F62=0,"ok","not ok")</f>
        <v>ok</v>
      </c>
      <c r="G65" s="289" t="str">
        <f>IF(G62=0,"ok","not ok")</f>
        <v>ok</v>
      </c>
      <c r="H65" s="290" t="e">
        <f>IF(H62&lt;=H64,"ok","not ok")</f>
        <v>#N/A</v>
      </c>
      <c r="I65" s="289" t="e">
        <f>IF(I62&lt;=I64,"ok","not ok")</f>
        <v>#N/A</v>
      </c>
      <c r="J65" s="289" t="e">
        <f>IF(J62&lt;=J64,"ok","not ok")</f>
        <v>#N/A</v>
      </c>
      <c r="K65" s="289" t="e">
        <f>IF(K62&lt;=K64,"ok","not ok")</f>
        <v>#N/A</v>
      </c>
      <c r="L65" s="16"/>
      <c r="M65" s="16"/>
      <c r="N65" s="16"/>
      <c r="O65" s="16"/>
      <c r="P65" s="16"/>
    </row>
    <row r="66" spans="1:16" ht="16" thickTop="1">
      <c r="A66" s="21"/>
      <c r="B66" s="44"/>
      <c r="C66" s="21"/>
      <c r="D66" s="44"/>
      <c r="E66" s="44"/>
      <c r="F66" s="47"/>
      <c r="G66" s="47"/>
      <c r="H66" s="47"/>
      <c r="I66" s="52"/>
      <c r="J66" s="52"/>
      <c r="K66" s="16"/>
      <c r="L66" s="16"/>
      <c r="M66" s="16"/>
      <c r="N66" s="16"/>
      <c r="O66" s="16"/>
      <c r="P66" s="16"/>
    </row>
    <row r="67" spans="1:16" ht="46.5" customHeight="1">
      <c r="A67" s="14"/>
      <c r="B67" s="1041" t="str">
        <f>Összetétel!B12</f>
        <v>Víz</v>
      </c>
      <c r="C67" s="1063"/>
      <c r="D67" s="1063"/>
      <c r="E67" s="1063"/>
      <c r="F67" s="1063"/>
      <c r="G67" s="1063"/>
      <c r="H67" s="1063"/>
      <c r="I67" s="1063"/>
      <c r="J67" s="1063"/>
      <c r="K67" s="1060"/>
      <c r="L67" s="16"/>
      <c r="M67" s="16"/>
      <c r="N67" s="16"/>
      <c r="O67" s="16"/>
      <c r="P67" s="16"/>
    </row>
    <row r="68" spans="1:16" ht="15.5">
      <c r="A68" s="51"/>
      <c r="B68" s="52"/>
      <c r="C68" s="51"/>
      <c r="D68" s="52"/>
      <c r="E68" s="52"/>
      <c r="F68" s="53"/>
      <c r="G68" s="53"/>
      <c r="H68" s="53"/>
      <c r="I68" s="52"/>
      <c r="J68" s="52"/>
      <c r="K68" s="16"/>
      <c r="L68" s="16"/>
      <c r="M68" s="16"/>
      <c r="N68" s="16"/>
      <c r="O68" s="16"/>
      <c r="P68" s="16"/>
    </row>
    <row r="69" spans="1:16" ht="15.5">
      <c r="A69" s="51"/>
      <c r="B69" s="52"/>
      <c r="C69" s="51"/>
      <c r="D69" s="52"/>
      <c r="E69" s="52"/>
      <c r="F69" s="53"/>
      <c r="G69" s="53"/>
      <c r="H69" s="53"/>
      <c r="I69" s="52"/>
      <c r="J69" s="52"/>
      <c r="K69" s="16"/>
      <c r="L69" s="16"/>
      <c r="M69" s="16"/>
      <c r="N69" s="16"/>
      <c r="O69" s="16"/>
      <c r="P69" s="16"/>
    </row>
    <row r="70" spans="1:16" ht="15.5">
      <c r="A70" s="51"/>
      <c r="B70" s="52"/>
      <c r="C70" s="51"/>
      <c r="D70" s="52"/>
      <c r="E70" s="52"/>
      <c r="F70" s="53"/>
      <c r="G70" s="53"/>
      <c r="H70" s="53"/>
      <c r="I70" s="52"/>
      <c r="J70" s="52"/>
      <c r="K70" s="16"/>
      <c r="L70" s="16"/>
      <c r="M70" s="16"/>
      <c r="N70" s="16"/>
      <c r="O70" s="16"/>
      <c r="P70" s="16"/>
    </row>
    <row r="71" spans="1:16" ht="15.5">
      <c r="A71" s="51"/>
      <c r="B71" s="52"/>
      <c r="C71" s="51"/>
      <c r="D71" s="52"/>
      <c r="E71" s="52"/>
      <c r="F71" s="53"/>
      <c r="G71" s="53"/>
      <c r="H71" s="53"/>
      <c r="I71" s="52"/>
      <c r="J71" s="52"/>
      <c r="K71" s="16"/>
      <c r="L71" s="16"/>
      <c r="M71" s="16"/>
      <c r="N71" s="16"/>
      <c r="O71" s="16"/>
      <c r="P71" s="16"/>
    </row>
    <row r="72" spans="1:16" ht="15.5">
      <c r="A72" s="51"/>
      <c r="B72" s="52"/>
      <c r="C72" s="51"/>
      <c r="D72" s="52"/>
      <c r="E72" s="52"/>
      <c r="F72" s="53"/>
      <c r="G72" s="53"/>
      <c r="H72" s="53"/>
      <c r="I72" s="52"/>
      <c r="J72" s="52"/>
      <c r="K72" s="16"/>
      <c r="L72" s="16"/>
      <c r="M72" s="16"/>
      <c r="N72" s="16"/>
      <c r="O72" s="16"/>
      <c r="P72" s="16"/>
    </row>
    <row r="73" spans="1:16" ht="15.5">
      <c r="A73" s="51"/>
      <c r="B73" s="52"/>
      <c r="C73" s="51"/>
      <c r="D73" s="52"/>
      <c r="E73" s="52"/>
      <c r="F73" s="53"/>
      <c r="G73" s="53"/>
      <c r="H73" s="53"/>
      <c r="I73" s="52"/>
      <c r="J73" s="52"/>
      <c r="K73" s="16"/>
      <c r="L73" s="16"/>
      <c r="M73" s="16"/>
      <c r="N73" s="16"/>
      <c r="O73" s="16"/>
      <c r="P73" s="16"/>
    </row>
    <row r="74" spans="1:16" ht="15.5">
      <c r="A74" s="51"/>
      <c r="B74" s="52"/>
      <c r="C74" s="51"/>
      <c r="D74" s="52"/>
      <c r="E74" s="52"/>
      <c r="F74" s="53"/>
      <c r="G74" s="53"/>
      <c r="H74" s="53"/>
      <c r="I74" s="52"/>
      <c r="J74" s="52"/>
      <c r="K74" s="16"/>
      <c r="L74" s="16"/>
      <c r="M74" s="16"/>
      <c r="N74" s="16"/>
      <c r="O74" s="16"/>
      <c r="P74" s="16"/>
    </row>
    <row r="75" spans="1:16" ht="15.5">
      <c r="A75" s="51"/>
      <c r="B75" s="52"/>
      <c r="C75" s="51"/>
      <c r="D75" s="52"/>
      <c r="E75" s="52"/>
      <c r="F75" s="53"/>
      <c r="G75" s="53"/>
      <c r="H75" s="53"/>
      <c r="I75" s="52"/>
      <c r="J75" s="52"/>
      <c r="K75" s="16"/>
      <c r="L75" s="16"/>
      <c r="M75" s="16"/>
      <c r="N75" s="16"/>
      <c r="O75" s="16"/>
      <c r="P75" s="16"/>
    </row>
    <row r="76" spans="1:16" ht="15.5">
      <c r="A76" s="51"/>
      <c r="B76" s="52"/>
      <c r="C76" s="51"/>
      <c r="D76" s="52"/>
      <c r="E76" s="52"/>
      <c r="F76" s="53"/>
      <c r="G76" s="53"/>
      <c r="H76" s="53"/>
      <c r="I76" s="52"/>
      <c r="J76" s="52"/>
      <c r="K76" s="16"/>
      <c r="L76" s="16"/>
      <c r="M76" s="16"/>
      <c r="N76" s="16"/>
      <c r="O76" s="16"/>
      <c r="P76" s="16"/>
    </row>
    <row r="77" spans="1:16" ht="15.5">
      <c r="A77" s="51"/>
      <c r="B77" s="52"/>
      <c r="C77" s="51"/>
      <c r="D77" s="52"/>
      <c r="E77" s="52"/>
      <c r="F77" s="53"/>
      <c r="G77" s="53"/>
      <c r="H77" s="53"/>
      <c r="I77" s="52"/>
      <c r="J77" s="52"/>
      <c r="K77" s="16"/>
      <c r="L77" s="16"/>
      <c r="M77" s="16"/>
      <c r="N77" s="16"/>
      <c r="O77" s="16"/>
      <c r="P77" s="16"/>
    </row>
    <row r="78" spans="1:16" ht="15.5">
      <c r="A78" s="51"/>
      <c r="B78" s="52"/>
      <c r="C78" s="51"/>
      <c r="D78" s="52"/>
      <c r="E78" s="52"/>
      <c r="F78" s="53"/>
      <c r="G78" s="53"/>
      <c r="H78" s="53"/>
      <c r="I78" s="52"/>
      <c r="J78" s="52"/>
      <c r="K78" s="16"/>
      <c r="L78" s="16"/>
      <c r="M78" s="16"/>
      <c r="N78" s="16"/>
      <c r="O78" s="16"/>
      <c r="P78" s="16"/>
    </row>
    <row r="79" spans="1:16" ht="15.5">
      <c r="A79" s="51"/>
      <c r="B79" s="52"/>
      <c r="C79" s="51"/>
      <c r="D79" s="52"/>
      <c r="E79" s="52"/>
      <c r="F79" s="53"/>
      <c r="G79" s="53"/>
      <c r="H79" s="53"/>
      <c r="I79" s="52"/>
      <c r="J79" s="52"/>
      <c r="K79" s="16"/>
      <c r="L79" s="16"/>
      <c r="M79" s="16"/>
      <c r="N79" s="16"/>
      <c r="O79" s="16"/>
      <c r="P79" s="16"/>
    </row>
    <row r="80" spans="1:16" ht="15.5">
      <c r="A80" s="51"/>
      <c r="B80" s="52"/>
      <c r="C80" s="51"/>
      <c r="D80" s="52"/>
      <c r="E80" s="52"/>
      <c r="F80" s="53"/>
      <c r="G80" s="53"/>
      <c r="H80" s="53"/>
      <c r="I80" s="52"/>
      <c r="J80" s="52"/>
      <c r="K80" s="16"/>
      <c r="L80" s="16"/>
      <c r="M80" s="16"/>
      <c r="N80" s="16"/>
      <c r="O80" s="16"/>
      <c r="P80" s="16"/>
    </row>
    <row r="81" spans="1:16" ht="15.5">
      <c r="A81" s="51"/>
      <c r="B81" s="52"/>
      <c r="C81" s="51"/>
      <c r="D81" s="52"/>
      <c r="E81" s="52"/>
      <c r="F81" s="53"/>
      <c r="G81" s="53"/>
      <c r="H81" s="53"/>
      <c r="I81" s="52"/>
      <c r="J81" s="52"/>
      <c r="K81" s="16"/>
      <c r="L81" s="16"/>
      <c r="M81" s="16"/>
      <c r="N81" s="16"/>
      <c r="O81" s="16"/>
      <c r="P81" s="16"/>
    </row>
    <row r="82" spans="1:16" ht="15.5">
      <c r="A82" s="51"/>
      <c r="B82" s="52"/>
      <c r="C82" s="51"/>
      <c r="D82" s="52"/>
      <c r="E82" s="52"/>
      <c r="F82" s="53"/>
      <c r="G82" s="53"/>
      <c r="H82" s="53"/>
      <c r="I82" s="52"/>
      <c r="J82" s="52"/>
      <c r="K82" s="16"/>
      <c r="L82" s="16"/>
      <c r="M82" s="16"/>
      <c r="N82" s="16"/>
      <c r="O82" s="16"/>
      <c r="P82" s="16"/>
    </row>
    <row r="83" spans="1:16" ht="15.5">
      <c r="A83" s="51"/>
      <c r="B83" s="52"/>
      <c r="C83" s="51"/>
      <c r="D83" s="52"/>
      <c r="E83" s="52"/>
      <c r="F83" s="53"/>
      <c r="G83" s="53"/>
      <c r="H83" s="53"/>
      <c r="I83" s="52"/>
      <c r="J83" s="52"/>
      <c r="K83" s="16"/>
      <c r="L83" s="16"/>
      <c r="M83" s="16"/>
      <c r="N83" s="16"/>
      <c r="O83" s="16"/>
      <c r="P83" s="16"/>
    </row>
    <row r="84" spans="1:16" ht="15.5">
      <c r="A84" s="51"/>
      <c r="B84" s="52"/>
      <c r="C84" s="51"/>
      <c r="D84" s="52"/>
      <c r="E84" s="52"/>
      <c r="F84" s="53"/>
      <c r="G84" s="53"/>
      <c r="H84" s="53"/>
      <c r="I84" s="52"/>
      <c r="J84" s="52"/>
      <c r="K84" s="16"/>
      <c r="L84" s="16"/>
      <c r="M84" s="16"/>
      <c r="N84" s="16"/>
      <c r="O84" s="16"/>
      <c r="P84" s="16"/>
    </row>
    <row r="85" spans="1:16" ht="15.5">
      <c r="A85" s="51"/>
      <c r="B85" s="52"/>
      <c r="C85" s="51"/>
      <c r="D85" s="52"/>
      <c r="E85" s="52"/>
      <c r="F85" s="53"/>
      <c r="G85" s="53"/>
      <c r="H85" s="53"/>
      <c r="I85" s="52"/>
      <c r="J85" s="52"/>
      <c r="K85" s="16"/>
      <c r="L85" s="16"/>
      <c r="M85" s="16"/>
      <c r="N85" s="16"/>
      <c r="O85" s="16"/>
      <c r="P85" s="16"/>
    </row>
    <row r="86" spans="1:16" ht="15.5">
      <c r="A86" s="51"/>
      <c r="B86" s="52"/>
      <c r="C86" s="51"/>
      <c r="D86" s="52"/>
      <c r="E86" s="52"/>
      <c r="F86" s="53"/>
      <c r="G86" s="53"/>
      <c r="H86" s="53"/>
      <c r="I86" s="52"/>
      <c r="J86" s="52"/>
      <c r="K86" s="16"/>
      <c r="L86" s="16"/>
      <c r="M86" s="16"/>
      <c r="N86" s="16"/>
      <c r="O86" s="16"/>
      <c r="P86" s="16"/>
    </row>
    <row r="87" spans="1:16" ht="15.5">
      <c r="A87" s="51"/>
      <c r="B87" s="52"/>
      <c r="C87" s="51"/>
      <c r="D87" s="52"/>
      <c r="E87" s="52"/>
      <c r="F87" s="53"/>
      <c r="G87" s="53"/>
      <c r="H87" s="53"/>
      <c r="I87" s="52"/>
      <c r="J87" s="52"/>
      <c r="K87" s="16"/>
      <c r="L87" s="16"/>
      <c r="M87" s="16"/>
      <c r="N87" s="16"/>
      <c r="O87" s="16"/>
      <c r="P87" s="16"/>
    </row>
    <row r="88" spans="1:16" ht="15.5">
      <c r="A88" s="51"/>
      <c r="B88" s="52"/>
      <c r="C88" s="51"/>
      <c r="D88" s="52"/>
      <c r="E88" s="52"/>
      <c r="F88" s="53"/>
      <c r="G88" s="53"/>
      <c r="H88" s="53"/>
      <c r="I88" s="52"/>
      <c r="J88" s="52"/>
      <c r="K88" s="16"/>
      <c r="L88" s="16"/>
      <c r="M88" s="16"/>
      <c r="N88" s="16"/>
      <c r="O88" s="16"/>
      <c r="P88" s="16"/>
    </row>
    <row r="89" spans="1:16" ht="15.5">
      <c r="A89" s="51"/>
      <c r="B89" s="52"/>
      <c r="C89" s="51"/>
      <c r="D89" s="52"/>
      <c r="E89" s="52"/>
      <c r="F89" s="53"/>
      <c r="G89" s="53"/>
      <c r="H89" s="53"/>
      <c r="I89" s="52"/>
      <c r="J89" s="52"/>
      <c r="K89" s="16"/>
      <c r="L89" s="16"/>
      <c r="M89" s="16"/>
      <c r="N89" s="16"/>
      <c r="O89" s="16"/>
      <c r="P89" s="16"/>
    </row>
    <row r="90" spans="10:16" ht="15.5">
      <c r="J90" s="52"/>
      <c r="K90" s="16"/>
      <c r="L90" s="16"/>
      <c r="M90" s="16"/>
      <c r="N90" s="16"/>
      <c r="O90" s="16"/>
      <c r="P90" s="16"/>
    </row>
    <row r="91" spans="10:16" ht="15.5">
      <c r="J91" s="52"/>
      <c r="K91" s="16"/>
      <c r="L91" s="16"/>
      <c r="M91" s="16"/>
      <c r="N91" s="16"/>
      <c r="O91" s="16"/>
      <c r="P91" s="16"/>
    </row>
    <row r="92" spans="10:16" ht="15.5">
      <c r="J92" s="52"/>
      <c r="K92" s="16"/>
      <c r="L92" s="16"/>
      <c r="M92" s="16"/>
      <c r="N92" s="16"/>
      <c r="O92" s="16"/>
      <c r="P92" s="16"/>
    </row>
    <row r="93" spans="10:16" ht="15.5">
      <c r="J93" s="52"/>
      <c r="K93" s="16"/>
      <c r="L93" s="16"/>
      <c r="M93" s="16"/>
      <c r="N93" s="16"/>
      <c r="O93" s="16"/>
      <c r="P93" s="16"/>
    </row>
    <row r="94" spans="10:16" ht="15.5">
      <c r="J94" s="52"/>
      <c r="K94" s="16"/>
      <c r="L94" s="16"/>
      <c r="M94" s="16"/>
      <c r="N94" s="16"/>
      <c r="O94" s="16"/>
      <c r="P94" s="16"/>
    </row>
    <row r="95" spans="10:16" ht="15.5">
      <c r="J95" s="52"/>
      <c r="K95" s="16"/>
      <c r="L95" s="16"/>
      <c r="M95" s="16"/>
      <c r="N95" s="16"/>
      <c r="O95" s="16"/>
      <c r="P95" s="16"/>
    </row>
    <row r="96" spans="10:16" ht="15.5">
      <c r="J96" s="52"/>
      <c r="K96" s="16"/>
      <c r="L96" s="16"/>
      <c r="M96" s="16"/>
      <c r="N96" s="16"/>
      <c r="O96" s="16"/>
      <c r="P96" s="16"/>
    </row>
    <row r="97" spans="10:16" ht="15.5">
      <c r="J97" s="52"/>
      <c r="K97" s="16"/>
      <c r="L97" s="16"/>
      <c r="M97" s="16"/>
      <c r="N97" s="16"/>
      <c r="O97" s="16"/>
      <c r="P97" s="16"/>
    </row>
    <row r="98" spans="10:16" ht="15.5">
      <c r="J98" s="52"/>
      <c r="K98" s="16"/>
      <c r="L98" s="16"/>
      <c r="M98" s="16"/>
      <c r="N98" s="16"/>
      <c r="O98" s="16"/>
      <c r="P98" s="16"/>
    </row>
    <row r="99" spans="10:16" ht="15.5">
      <c r="J99" s="52"/>
      <c r="K99" s="16"/>
      <c r="L99" s="16"/>
      <c r="M99" s="16"/>
      <c r="N99" s="16"/>
      <c r="O99" s="16"/>
      <c r="P99" s="16"/>
    </row>
    <row r="100" spans="10:16" ht="15.5">
      <c r="J100" s="52"/>
      <c r="K100" s="16"/>
      <c r="L100" s="16"/>
      <c r="M100" s="16"/>
      <c r="N100" s="16"/>
      <c r="O100" s="16"/>
      <c r="P100" s="16"/>
    </row>
    <row r="101" spans="10:16" ht="15.5">
      <c r="J101" s="52"/>
      <c r="K101" s="16"/>
      <c r="L101" s="16"/>
      <c r="M101" s="16"/>
      <c r="N101" s="16"/>
      <c r="O101" s="16"/>
      <c r="P101" s="16"/>
    </row>
    <row r="102" spans="10:16" ht="15.5">
      <c r="J102" s="52"/>
      <c r="K102" s="16"/>
      <c r="L102" s="16"/>
      <c r="M102" s="16"/>
      <c r="N102" s="16"/>
      <c r="O102" s="16"/>
      <c r="P102" s="16"/>
    </row>
    <row r="103" spans="10:16" ht="15.5">
      <c r="J103" s="52"/>
      <c r="K103" s="16"/>
      <c r="L103" s="16"/>
      <c r="M103" s="16"/>
      <c r="N103" s="16"/>
      <c r="O103" s="16"/>
      <c r="P103" s="16"/>
    </row>
    <row r="104" spans="10:16" ht="15.5">
      <c r="J104" s="52"/>
      <c r="K104" s="16"/>
      <c r="L104" s="16"/>
      <c r="M104" s="16"/>
      <c r="N104" s="16"/>
      <c r="O104" s="16"/>
      <c r="P104" s="16"/>
    </row>
    <row r="105" spans="10:16" ht="15.5">
      <c r="J105" s="52"/>
      <c r="K105" s="16"/>
      <c r="L105" s="16"/>
      <c r="M105" s="16"/>
      <c r="N105" s="16"/>
      <c r="O105" s="16"/>
      <c r="P105" s="16"/>
    </row>
    <row r="106" spans="10:16" ht="15.5">
      <c r="J106" s="52"/>
      <c r="K106" s="16"/>
      <c r="L106" s="16"/>
      <c r="M106" s="16"/>
      <c r="N106" s="16"/>
      <c r="O106" s="16"/>
      <c r="P106" s="16"/>
    </row>
    <row r="107" spans="10:16" ht="15.5">
      <c r="J107" s="52"/>
      <c r="K107" s="16"/>
      <c r="L107" s="16"/>
      <c r="M107" s="16"/>
      <c r="N107" s="16"/>
      <c r="O107" s="16"/>
      <c r="P107" s="16"/>
    </row>
    <row r="108" spans="10:16" ht="15.5">
      <c r="J108" s="52"/>
      <c r="K108" s="16"/>
      <c r="L108" s="16"/>
      <c r="M108" s="16"/>
      <c r="N108" s="16"/>
      <c r="O108" s="16"/>
      <c r="P108" s="16"/>
    </row>
    <row r="109" spans="10:16" ht="15.5">
      <c r="J109" s="52"/>
      <c r="K109" s="16"/>
      <c r="L109" s="16"/>
      <c r="M109" s="16"/>
      <c r="N109" s="16"/>
      <c r="O109" s="16"/>
      <c r="P109" s="16"/>
    </row>
    <row r="110" spans="10:16" ht="15.5">
      <c r="J110" s="52"/>
      <c r="K110" s="16"/>
      <c r="L110" s="16"/>
      <c r="M110" s="16"/>
      <c r="N110" s="16"/>
      <c r="O110" s="16"/>
      <c r="P110" s="16"/>
    </row>
    <row r="111" spans="10:16" ht="15.5">
      <c r="J111" s="52"/>
      <c r="K111" s="16"/>
      <c r="L111" s="16"/>
      <c r="M111" s="16"/>
      <c r="N111" s="16"/>
      <c r="O111" s="16"/>
      <c r="P111" s="16"/>
    </row>
    <row r="112" spans="10:16" ht="15.5">
      <c r="J112" s="52"/>
      <c r="K112" s="16"/>
      <c r="L112" s="16"/>
      <c r="M112" s="16"/>
      <c r="N112" s="16"/>
      <c r="O112" s="16"/>
      <c r="P112" s="16"/>
    </row>
    <row r="113" spans="10:16" ht="15.5">
      <c r="J113" s="52"/>
      <c r="K113" s="16"/>
      <c r="L113" s="16"/>
      <c r="M113" s="16"/>
      <c r="N113" s="16"/>
      <c r="O113" s="16"/>
      <c r="P113" s="16"/>
    </row>
    <row r="114" spans="10:16" ht="15.5">
      <c r="J114" s="52"/>
      <c r="K114" s="16"/>
      <c r="L114" s="16"/>
      <c r="M114" s="16"/>
      <c r="N114" s="16"/>
      <c r="O114" s="16"/>
      <c r="P114" s="16"/>
    </row>
    <row r="115" spans="10:16" ht="15.5">
      <c r="J115" s="52"/>
      <c r="K115" s="16"/>
      <c r="L115" s="16"/>
      <c r="M115" s="16"/>
      <c r="N115" s="16"/>
      <c r="O115" s="16"/>
      <c r="P115" s="16"/>
    </row>
    <row r="116" spans="10:16" ht="15.5">
      <c r="J116" s="52"/>
      <c r="K116" s="16"/>
      <c r="L116" s="16"/>
      <c r="M116" s="16"/>
      <c r="N116" s="16"/>
      <c r="O116" s="16"/>
      <c r="P116" s="16"/>
    </row>
    <row r="117" spans="10:16" ht="15.5">
      <c r="J117" s="52"/>
      <c r="K117" s="16"/>
      <c r="L117" s="16"/>
      <c r="M117" s="16"/>
      <c r="N117" s="16"/>
      <c r="O117" s="16"/>
      <c r="P117" s="16"/>
    </row>
    <row r="118" spans="10:16" ht="15.5">
      <c r="J118" s="52"/>
      <c r="K118" s="16"/>
      <c r="L118" s="16"/>
      <c r="M118" s="16"/>
      <c r="N118" s="16"/>
      <c r="O118" s="16"/>
      <c r="P118" s="16"/>
    </row>
    <row r="119" spans="10:16" ht="15.5">
      <c r="J119" s="52"/>
      <c r="K119" s="16"/>
      <c r="L119" s="16"/>
      <c r="M119" s="16"/>
      <c r="N119" s="16"/>
      <c r="O119" s="16"/>
      <c r="P119" s="16"/>
    </row>
    <row r="120" spans="10:16" ht="15.5">
      <c r="J120" s="52"/>
      <c r="K120" s="16"/>
      <c r="L120" s="16"/>
      <c r="M120" s="16"/>
      <c r="N120" s="16"/>
      <c r="O120" s="16"/>
      <c r="P120" s="16"/>
    </row>
    <row r="121" spans="10:16" ht="15.5">
      <c r="J121" s="52"/>
      <c r="K121" s="16"/>
      <c r="L121" s="16"/>
      <c r="M121" s="16"/>
      <c r="N121" s="16"/>
      <c r="O121" s="16"/>
      <c r="P121" s="16"/>
    </row>
    <row r="122" spans="10:16" ht="15.5">
      <c r="J122" s="52"/>
      <c r="K122" s="16"/>
      <c r="L122" s="16"/>
      <c r="M122" s="16"/>
      <c r="N122" s="16"/>
      <c r="O122" s="16"/>
      <c r="P122" s="16"/>
    </row>
    <row r="123" spans="10:16" ht="15.5">
      <c r="J123" s="52"/>
      <c r="K123" s="16"/>
      <c r="L123" s="16"/>
      <c r="M123" s="16"/>
      <c r="N123" s="16"/>
      <c r="O123" s="16"/>
      <c r="P123" s="16"/>
    </row>
    <row r="124" spans="10:16" ht="15.5">
      <c r="J124" s="52"/>
      <c r="K124" s="16"/>
      <c r="L124" s="16"/>
      <c r="M124" s="16"/>
      <c r="N124" s="16"/>
      <c r="O124" s="16"/>
      <c r="P124" s="16"/>
    </row>
    <row r="125" spans="10:16" ht="15.5">
      <c r="J125" s="52"/>
      <c r="K125" s="16"/>
      <c r="L125" s="16"/>
      <c r="M125" s="16"/>
      <c r="N125" s="16"/>
      <c r="O125" s="16"/>
      <c r="P125" s="16"/>
    </row>
    <row r="126" spans="10:16" ht="15.5">
      <c r="J126" s="52"/>
      <c r="K126" s="16"/>
      <c r="L126" s="16"/>
      <c r="M126" s="16"/>
      <c r="N126" s="16"/>
      <c r="O126" s="16"/>
      <c r="P126" s="16"/>
    </row>
    <row r="127" spans="10:16" ht="15.5">
      <c r="J127" s="52"/>
      <c r="K127" s="16"/>
      <c r="L127" s="16"/>
      <c r="M127" s="16"/>
      <c r="N127" s="16"/>
      <c r="O127" s="16"/>
      <c r="P127" s="16"/>
    </row>
    <row r="128" spans="10:16" ht="15.5">
      <c r="J128" s="52"/>
      <c r="K128" s="16"/>
      <c r="L128" s="16"/>
      <c r="M128" s="16"/>
      <c r="N128" s="16"/>
      <c r="O128" s="16"/>
      <c r="P128" s="16"/>
    </row>
    <row r="129" spans="10:16" ht="15.5">
      <c r="J129" s="52"/>
      <c r="K129" s="16"/>
      <c r="L129" s="16"/>
      <c r="M129" s="16"/>
      <c r="N129" s="16"/>
      <c r="O129" s="16"/>
      <c r="P129" s="16"/>
    </row>
    <row r="130" spans="10:16" ht="15.5">
      <c r="J130" s="52"/>
      <c r="K130" s="16"/>
      <c r="L130" s="16"/>
      <c r="M130" s="16"/>
      <c r="N130" s="16"/>
      <c r="O130" s="16"/>
      <c r="P130" s="16"/>
    </row>
    <row r="131" spans="10:16" ht="15.5">
      <c r="J131" s="52"/>
      <c r="K131" s="16"/>
      <c r="L131" s="16"/>
      <c r="M131" s="16"/>
      <c r="N131" s="16"/>
      <c r="O131" s="16"/>
      <c r="P131" s="16"/>
    </row>
    <row r="132" spans="10:16" ht="15.5">
      <c r="J132" s="52"/>
      <c r="K132" s="16"/>
      <c r="L132" s="16"/>
      <c r="M132" s="16"/>
      <c r="N132" s="16"/>
      <c r="O132" s="16"/>
      <c r="P132" s="16"/>
    </row>
    <row r="133" spans="10:16" ht="15.5">
      <c r="J133" s="52"/>
      <c r="K133" s="16"/>
      <c r="L133" s="16"/>
      <c r="M133" s="16"/>
      <c r="N133" s="16"/>
      <c r="O133" s="16"/>
      <c r="P133" s="16"/>
    </row>
    <row r="134" spans="10:16" ht="15.5">
      <c r="J134" s="52"/>
      <c r="K134" s="16"/>
      <c r="L134" s="16"/>
      <c r="M134" s="16"/>
      <c r="N134" s="16"/>
      <c r="O134" s="16"/>
      <c r="P134" s="16"/>
    </row>
    <row r="135" spans="10:16" ht="15.5">
      <c r="J135" s="52"/>
      <c r="K135" s="16"/>
      <c r="L135" s="16"/>
      <c r="M135" s="16"/>
      <c r="N135" s="16"/>
      <c r="O135" s="16"/>
      <c r="P135" s="16"/>
    </row>
    <row r="136" spans="10:16" ht="15.5">
      <c r="J136" s="52"/>
      <c r="K136" s="16"/>
      <c r="L136" s="16"/>
      <c r="M136" s="16"/>
      <c r="N136" s="16"/>
      <c r="O136" s="16"/>
      <c r="P136" s="16"/>
    </row>
    <row r="137" spans="10:16" ht="15.5">
      <c r="J137" s="52"/>
      <c r="K137" s="16"/>
      <c r="L137" s="16"/>
      <c r="M137" s="16"/>
      <c r="N137" s="16"/>
      <c r="O137" s="16"/>
      <c r="P137" s="16"/>
    </row>
    <row r="138" spans="10:16" ht="15.5">
      <c r="J138" s="52"/>
      <c r="K138" s="16"/>
      <c r="L138" s="16"/>
      <c r="M138" s="16"/>
      <c r="N138" s="16"/>
      <c r="O138" s="16"/>
      <c r="P138" s="16"/>
    </row>
    <row r="139" spans="10:16" ht="15.5">
      <c r="J139" s="52"/>
      <c r="K139" s="16"/>
      <c r="L139" s="16"/>
      <c r="M139" s="16"/>
      <c r="N139" s="16"/>
      <c r="O139" s="16"/>
      <c r="P139" s="16"/>
    </row>
    <row r="140" spans="10:16" ht="15.5">
      <c r="J140" s="52"/>
      <c r="K140" s="16"/>
      <c r="L140" s="16"/>
      <c r="M140" s="16"/>
      <c r="N140" s="16"/>
      <c r="O140" s="16"/>
      <c r="P140" s="16"/>
    </row>
    <row r="141" spans="10:16" ht="15.5">
      <c r="J141" s="52"/>
      <c r="K141" s="16"/>
      <c r="L141" s="16"/>
      <c r="M141" s="16"/>
      <c r="N141" s="16"/>
      <c r="O141" s="16"/>
      <c r="P141" s="16"/>
    </row>
    <row r="142" spans="10:16" ht="15.5">
      <c r="J142" s="52"/>
      <c r="K142" s="16"/>
      <c r="L142" s="16"/>
      <c r="M142" s="16"/>
      <c r="N142" s="16"/>
      <c r="O142" s="16"/>
      <c r="P142" s="16"/>
    </row>
    <row r="143" spans="10:16" ht="15.5">
      <c r="J143" s="52"/>
      <c r="K143" s="16"/>
      <c r="L143" s="16"/>
      <c r="M143" s="16"/>
      <c r="N143" s="16"/>
      <c r="O143" s="16"/>
      <c r="P143" s="16"/>
    </row>
    <row r="144" spans="10:16" ht="15.5">
      <c r="J144" s="52"/>
      <c r="K144" s="16"/>
      <c r="L144" s="16"/>
      <c r="M144" s="16"/>
      <c r="N144" s="16"/>
      <c r="O144" s="16"/>
      <c r="P144" s="16"/>
    </row>
    <row r="145" spans="10:16" ht="15.5">
      <c r="J145" s="52"/>
      <c r="K145" s="16"/>
      <c r="L145" s="16"/>
      <c r="M145" s="16"/>
      <c r="N145" s="16"/>
      <c r="O145" s="16"/>
      <c r="P145" s="16"/>
    </row>
    <row r="146" spans="10:16" ht="15.5">
      <c r="J146" s="52"/>
      <c r="K146" s="16"/>
      <c r="L146" s="16"/>
      <c r="M146" s="16"/>
      <c r="N146" s="16"/>
      <c r="O146" s="16"/>
      <c r="P146" s="16"/>
    </row>
    <row r="147" spans="10:16" ht="15.5">
      <c r="J147" s="52"/>
      <c r="K147" s="16"/>
      <c r="L147" s="16"/>
      <c r="M147" s="16"/>
      <c r="N147" s="16"/>
      <c r="O147" s="16"/>
      <c r="P147" s="16"/>
    </row>
    <row r="148" spans="10:16" ht="15.5">
      <c r="J148" s="52"/>
      <c r="K148" s="16"/>
      <c r="L148" s="16"/>
      <c r="M148" s="16"/>
      <c r="N148" s="16"/>
      <c r="O148" s="16"/>
      <c r="P148" s="16"/>
    </row>
    <row r="149" spans="10:16" ht="15.5">
      <c r="J149" s="52"/>
      <c r="K149" s="16"/>
      <c r="L149" s="16"/>
      <c r="M149" s="16"/>
      <c r="N149" s="16"/>
      <c r="O149" s="16"/>
      <c r="P149" s="16"/>
    </row>
    <row r="150" spans="10:16" ht="15.5">
      <c r="J150" s="52"/>
      <c r="M150" s="16"/>
      <c r="N150" s="16"/>
      <c r="O150" s="16"/>
      <c r="P150" s="16"/>
    </row>
    <row r="151" spans="10:16" ht="15.5">
      <c r="J151" s="52"/>
      <c r="M151" s="16"/>
      <c r="N151" s="16"/>
      <c r="O151" s="16"/>
      <c r="P151" s="16"/>
    </row>
    <row r="152" spans="10:16" ht="15.5">
      <c r="J152" s="52"/>
      <c r="M152" s="16"/>
      <c r="N152" s="16"/>
      <c r="O152" s="16"/>
      <c r="P152" s="16"/>
    </row>
    <row r="153" ht="12.75">
      <c r="J153" s="52"/>
    </row>
    <row r="154" ht="12.75">
      <c r="J154" s="52"/>
    </row>
    <row r="155" ht="12.75">
      <c r="J155" s="52"/>
    </row>
    <row r="156" ht="12.75">
      <c r="J156" s="52"/>
    </row>
    <row r="157" ht="12.75">
      <c r="J157" s="52"/>
    </row>
    <row r="158" ht="12.75">
      <c r="J158" s="52"/>
    </row>
  </sheetData>
  <sheetProtection algorithmName="SHA-512" hashValue="1jCBREcSSyUJk7SIw24RTq+Mc9cDZjBLjjpGNHP8jluQYVQIcXFqWk0I7FPAbh47l02GlJSUqYyrMiOCursXhA==" saltValue="0Aj7d6BQdZEIo10d/eDshw==" spinCount="100000" sheet="1" objects="1" scenarios="1" selectLockedCells="1"/>
  <autoFilter ref="B10:B65"/>
  <mergeCells count="13">
    <mergeCell ref="B67:K67"/>
    <mergeCell ref="D1:F1"/>
    <mergeCell ref="C5:F5"/>
    <mergeCell ref="C6:F6"/>
    <mergeCell ref="C4:F4"/>
    <mergeCell ref="A6:B6"/>
    <mergeCell ref="A4:B4"/>
    <mergeCell ref="A5:B5"/>
    <mergeCell ref="A7:B7"/>
    <mergeCell ref="A8:B8"/>
    <mergeCell ref="C7:F7"/>
    <mergeCell ref="C8:F8"/>
    <mergeCell ref="G1:K1"/>
  </mergeCells>
  <conditionalFormatting sqref="E65:I65">
    <cfRule type="beginsWith" priority="7" dxfId="537" operator="beginsWith" text="not">
      <formula>LEFT(E65,LEN("not"))="not"</formula>
    </cfRule>
    <cfRule type="beginsWith" priority="8" dxfId="536" operator="beginsWith" text="ok">
      <formula>LEFT(E65,LEN("ok"))="ok"</formula>
    </cfRule>
  </conditionalFormatting>
  <conditionalFormatting sqref="J65">
    <cfRule type="beginsWith" priority="3" dxfId="537" operator="beginsWith" text="not">
      <formula>LEFT(J65,LEN("not"))="not"</formula>
    </cfRule>
    <cfRule type="beginsWith" priority="4" dxfId="536" operator="beginsWith" text="ok">
      <formula>LEFT(J65,LEN("ok"))="ok"</formula>
    </cfRule>
  </conditionalFormatting>
  <conditionalFormatting sqref="K65">
    <cfRule type="beginsWith" priority="1" dxfId="537" operator="beginsWith" text="not">
      <formula>LEFT(K65,LEN("not"))="not"</formula>
    </cfRule>
    <cfRule type="beginsWith" priority="2" dxfId="536" operator="beginsWith" text="ok">
      <formula>LEFT(K65,LEN("ok"))="ok"</formula>
    </cfRule>
  </conditionalFormatting>
  <dataValidations count="1">
    <dataValidation allowBlank="1" showInputMessage="1" showErrorMessage="1" errorTitle="Please select" sqref="G1"/>
  </dataValidation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74" r:id="rId3"/>
  <ignoredErrors>
    <ignoredError sqref="B14:B24" unlockedFormula="1"/>
    <ignoredError sqref="H10 I11" 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40961" r:id="rId4" name="Button 1">
              <controlPr defaultSize="0" print="0" autoFill="0" autoPict="0" macro="[0]!Eredmények1_törlés">
                <anchor moveWithCells="1" sizeWithCells="1">
                  <from>
                    <xdr:col>5</xdr:col>
                    <xdr:colOff>533400</xdr:colOff>
                    <xdr:row>69</xdr:row>
                    <xdr:rowOff>146050</xdr:rowOff>
                  </from>
                  <to>
                    <xdr:col>7</xdr:col>
                    <xdr:colOff>603250</xdr:colOff>
                    <xdr:row>71</xdr:row>
                    <xdr:rowOff>88900</xdr:rowOff>
                  </to>
                </anchor>
              </controlPr>
            </control>
          </mc:Choice>
        </mc:AlternateContent>
        <mc:AlternateContent>
          <mc:Choice Requires="x14">
            <control xmlns:r="http://schemas.openxmlformats.org/officeDocument/2006/relationships" shapeId="40962" r:id="rId5" name="Button 2">
              <controlPr defaultSize="0" print="0" autoFill="0" autoPict="0" macro="[0]!Eredmények1_további">
                <anchor moveWithCells="1" sizeWithCells="1">
                  <from>
                    <xdr:col>7</xdr:col>
                    <xdr:colOff>1155700</xdr:colOff>
                    <xdr:row>69</xdr:row>
                    <xdr:rowOff>152400</xdr:rowOff>
                  </from>
                  <to>
                    <xdr:col>9</xdr:col>
                    <xdr:colOff>412750</xdr:colOff>
                    <xdr:row>71</xdr:row>
                    <xdr:rowOff>88900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
    <tabColor rgb="FF92D050"/>
    <pageSetUpPr fitToPage="1"/>
  </sheetPr>
  <dimension ref="A1:BO154"/>
  <sheetViews>
    <sheetView workbookViewId="0" topLeftCell="A40">
      <selection activeCell="E11" sqref="E11"/>
    </sheetView>
  </sheetViews>
  <sheetFormatPr defaultColWidth="11.421875" defaultRowHeight="12.75"/>
  <cols>
    <col min="1" max="1" width="3.7109375" style="1" customWidth="1"/>
    <col min="2" max="2" width="35.28125" style="0" customWidth="1"/>
    <col min="3" max="3" width="20.7109375" style="1" customWidth="1"/>
    <col min="4" max="4" width="20.7109375" style="0" customWidth="1"/>
    <col min="5" max="5" width="23.00390625" style="0" customWidth="1"/>
    <col min="6" max="6" width="20.7109375" style="0" customWidth="1"/>
    <col min="7" max="7" width="20.7109375" style="2" customWidth="1"/>
    <col min="15" max="67" width="11.421875" style="523" customWidth="1"/>
  </cols>
  <sheetData>
    <row r="1" spans="1:67" s="6" customFormat="1" ht="17.25" customHeight="1">
      <c r="A1" s="14"/>
      <c r="B1" s="83"/>
      <c r="C1" s="1036" t="str">
        <f>Termék!A1</f>
        <v>A BIZOTTSÁG HATÁROZATA</v>
      </c>
      <c r="D1" s="1037"/>
      <c r="E1" s="1086" t="str">
        <f>Termék!C1</f>
        <v>2017/1214/EU a kézi mosogatószerek uniós ökocímke kritériumairól</v>
      </c>
      <c r="F1" s="1087"/>
      <c r="G1" s="1088"/>
      <c r="H1" s="16"/>
      <c r="I1" s="16"/>
      <c r="J1" s="16"/>
      <c r="K1" s="16"/>
      <c r="L1" s="16"/>
      <c r="M1" s="16"/>
      <c r="N1" s="16"/>
      <c r="O1" s="489"/>
      <c r="P1" s="489"/>
      <c r="Q1" s="489"/>
      <c r="R1" s="489"/>
      <c r="S1" s="489"/>
      <c r="T1" s="489"/>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row>
    <row r="2" spans="1:67" s="6" customFormat="1" ht="15.5">
      <c r="A2" s="21"/>
      <c r="B2" s="44"/>
      <c r="C2" s="44"/>
      <c r="D2" s="21"/>
      <c r="E2" s="47"/>
      <c r="F2" s="242"/>
      <c r="G2" s="97"/>
      <c r="H2" s="16"/>
      <c r="I2" s="16"/>
      <c r="J2" s="16"/>
      <c r="K2" s="16"/>
      <c r="L2" s="16"/>
      <c r="M2" s="16"/>
      <c r="N2" s="16"/>
      <c r="O2" s="489"/>
      <c r="P2" s="489"/>
      <c r="Q2" s="489"/>
      <c r="R2" s="489"/>
      <c r="S2" s="489"/>
      <c r="T2" s="489"/>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row>
    <row r="3" spans="1:67" s="6" customFormat="1" ht="15.5">
      <c r="A3" s="1017" t="str">
        <f>Termék!A6</f>
        <v>Szerződés száma:</v>
      </c>
      <c r="B3" s="1018"/>
      <c r="C3" s="1053">
        <f>Termék!C6:E6</f>
        <v>0</v>
      </c>
      <c r="D3" s="1054"/>
      <c r="E3" s="1055"/>
      <c r="F3" s="160" t="str">
        <f>Termék!A3</f>
        <v>Dátum:</v>
      </c>
      <c r="G3" s="85" t="str">
        <f>IF(Termék!B3="","",Termék!B3)</f>
        <v/>
      </c>
      <c r="H3" s="16"/>
      <c r="I3" s="16"/>
      <c r="J3" s="16"/>
      <c r="K3" s="16"/>
      <c r="L3" s="16"/>
      <c r="M3" s="16"/>
      <c r="N3" s="16"/>
      <c r="O3" s="489"/>
      <c r="P3" s="489"/>
      <c r="Q3" s="489"/>
      <c r="R3" s="489"/>
      <c r="S3" s="489"/>
      <c r="T3" s="489"/>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row>
    <row r="4" spans="1:67" s="6" customFormat="1" ht="15.5">
      <c r="A4" s="1017" t="str">
        <f>Termék!A7</f>
        <v>Védjegyhasználó</v>
      </c>
      <c r="B4" s="1018"/>
      <c r="C4" s="1053" t="str">
        <f>Termék!C7:E7</f>
        <v/>
      </c>
      <c r="D4" s="1054"/>
      <c r="E4" s="1055"/>
      <c r="F4" s="160" t="str">
        <f>Termék!A4</f>
        <v>Verziószám:</v>
      </c>
      <c r="G4" s="86" t="str">
        <f>IF(Termék!B4="","",Termék!B4)</f>
        <v/>
      </c>
      <c r="H4" s="16"/>
      <c r="I4" s="16"/>
      <c r="J4" s="16"/>
      <c r="K4" s="16"/>
      <c r="L4" s="16"/>
      <c r="M4" s="16"/>
      <c r="N4" s="16"/>
      <c r="O4" s="489"/>
      <c r="P4" s="489"/>
      <c r="Q4" s="489"/>
      <c r="R4" s="489"/>
      <c r="S4" s="489"/>
      <c r="T4" s="489"/>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row>
    <row r="5" spans="1:67" s="6" customFormat="1" ht="15.5">
      <c r="A5" s="1017" t="str">
        <f>Termék!A8</f>
        <v>Forgalmazó / Termék neve (Ország):</v>
      </c>
      <c r="B5" s="1018"/>
      <c r="C5" s="1053">
        <f>Termék!C8:E8</f>
        <v>0</v>
      </c>
      <c r="D5" s="1054"/>
      <c r="E5" s="1054"/>
      <c r="F5" s="84"/>
      <c r="G5" s="84"/>
      <c r="H5" s="16"/>
      <c r="I5" s="16"/>
      <c r="J5" s="16"/>
      <c r="K5" s="16"/>
      <c r="L5" s="16"/>
      <c r="M5" s="16"/>
      <c r="N5" s="16"/>
      <c r="O5" s="489"/>
      <c r="P5" s="489"/>
      <c r="Q5" s="489"/>
      <c r="R5" s="489"/>
      <c r="S5" s="489"/>
      <c r="T5" s="489"/>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7"/>
      <c r="BA5" s="467"/>
      <c r="BB5" s="467"/>
      <c r="BC5" s="467"/>
      <c r="BD5" s="467"/>
      <c r="BE5" s="467"/>
      <c r="BF5" s="467"/>
      <c r="BG5" s="467"/>
      <c r="BH5" s="467"/>
      <c r="BI5" s="467"/>
      <c r="BJ5" s="467"/>
      <c r="BK5" s="467"/>
      <c r="BL5" s="467"/>
      <c r="BM5" s="467"/>
      <c r="BN5" s="467"/>
      <c r="BO5" s="467"/>
    </row>
    <row r="6" spans="1:67" s="6" customFormat="1" ht="15.5">
      <c r="A6" s="1017" t="str">
        <f>Termék!A24</f>
        <v>A termék fajtája:</v>
      </c>
      <c r="B6" s="1018"/>
      <c r="C6" s="1083">
        <f>Termék!C24</f>
        <v>0</v>
      </c>
      <c r="D6" s="1083"/>
      <c r="E6" s="98" t="str">
        <f>IF(Adatlap!$L$1=Fordítások!C3,Fordítások!C131,Fordítások!B131)</f>
        <v>Termelési időszak kezdete:</v>
      </c>
      <c r="F6" s="178"/>
      <c r="G6" s="99"/>
      <c r="H6" s="16"/>
      <c r="I6" s="16"/>
      <c r="J6" s="16"/>
      <c r="K6" s="16"/>
      <c r="L6" s="16"/>
      <c r="M6" s="16"/>
      <c r="N6" s="16"/>
      <c r="O6" s="489"/>
      <c r="P6" s="489"/>
      <c r="Q6" s="489"/>
      <c r="R6" s="489"/>
      <c r="S6" s="489"/>
      <c r="T6" s="489"/>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7"/>
      <c r="AY6" s="467"/>
      <c r="AZ6" s="467"/>
      <c r="BA6" s="467"/>
      <c r="BB6" s="467"/>
      <c r="BC6" s="467"/>
      <c r="BD6" s="467"/>
      <c r="BE6" s="467"/>
      <c r="BF6" s="467"/>
      <c r="BG6" s="467"/>
      <c r="BH6" s="467"/>
      <c r="BI6" s="467"/>
      <c r="BJ6" s="467"/>
      <c r="BK6" s="467"/>
      <c r="BL6" s="467"/>
      <c r="BM6" s="467"/>
      <c r="BN6" s="467"/>
      <c r="BO6" s="467"/>
    </row>
    <row r="7" spans="1:20" ht="24" customHeight="1">
      <c r="A7" s="1092" t="str">
        <f>IF(Adatlap!$L$1=Fordítások!C3,Fordítások!C125,Fordítások!B125)</f>
        <v>A szóban forgó termék termelési volumene, t</v>
      </c>
      <c r="B7" s="1093" t="str">
        <f>IF(Adatlap!$L$1=Fordítások!C9,Fordítások!C140,Fordítások!B140)</f>
        <v>Primary packaging and product residue in normal conditions of use (g) (=m2)</v>
      </c>
      <c r="C7" s="115"/>
      <c r="D7" s="16"/>
      <c r="E7" s="100" t="str">
        <f>IF(Adatlap!$L$1=Fordítások!C3,Fordítások!C132,Fordítások!B132)</f>
        <v>vége:</v>
      </c>
      <c r="F7" s="179"/>
      <c r="G7" s="99"/>
      <c r="H7" s="16"/>
      <c r="I7" s="16"/>
      <c r="J7" s="16"/>
      <c r="K7" s="16"/>
      <c r="L7" s="16"/>
      <c r="M7" s="16"/>
      <c r="N7" s="16"/>
      <c r="O7" s="489"/>
      <c r="P7" s="489"/>
      <c r="Q7" s="489"/>
      <c r="R7" s="489"/>
      <c r="S7" s="489"/>
      <c r="T7" s="489"/>
    </row>
    <row r="8" spans="1:67" s="6" customFormat="1" ht="42" customHeight="1">
      <c r="A8" s="81" t="str">
        <f>Termék!A13</f>
        <v>Forgalmazó / Termék neve (Ország):</v>
      </c>
      <c r="B8" s="101" t="str">
        <f>Alapanyagok!B10</f>
        <v>Összetevők 2)</v>
      </c>
      <c r="C8" s="102" t="str">
        <f>Alapanyagok!I10</f>
        <v>A készítményen belüli aránya</v>
      </c>
      <c r="D8" s="98" t="str">
        <f>B8</f>
        <v>Összetevők 2)</v>
      </c>
      <c r="E8" s="98" t="str">
        <f>IF(Adatlap!$L$1=Fordítások!C3,Fordítások!C128,Fordítások!B128)</f>
        <v>Ellenőrzés</v>
      </c>
      <c r="F8" s="98" t="str">
        <f>IF(Adatlap!$L$1=Fordítások!C3,Fordítások!C122,Fordítások!B122)</f>
        <v>A pálmaolaj / pálmamagolaj aránya, %</v>
      </c>
      <c r="G8" s="98" t="str">
        <f>IF(Adatlap!$L$1=Fordítások!C3,Fordítások!C126,Fordítások!B126)</f>
        <v>A pálmaolaj/pálmamagolaj volumene, t</v>
      </c>
      <c r="H8" s="16"/>
      <c r="I8" s="16"/>
      <c r="J8" s="16"/>
      <c r="K8" s="16"/>
      <c r="L8" s="16"/>
      <c r="M8" s="16"/>
      <c r="N8" s="16"/>
      <c r="O8" s="489"/>
      <c r="P8" s="489"/>
      <c r="Q8" s="489"/>
      <c r="R8" s="489"/>
      <c r="S8" s="489"/>
      <c r="T8" s="489"/>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7"/>
      <c r="AY8" s="467"/>
      <c r="AZ8" s="467"/>
      <c r="BA8" s="467"/>
      <c r="BB8" s="467"/>
      <c r="BC8" s="467"/>
      <c r="BD8" s="467"/>
      <c r="BE8" s="467"/>
      <c r="BF8" s="467"/>
      <c r="BG8" s="467"/>
      <c r="BH8" s="467"/>
      <c r="BI8" s="467"/>
      <c r="BJ8" s="467"/>
      <c r="BK8" s="467"/>
      <c r="BL8" s="467"/>
      <c r="BM8" s="467"/>
      <c r="BN8" s="467"/>
      <c r="BO8" s="467"/>
    </row>
    <row r="9" spans="1:67" s="6" customFormat="1" ht="42">
      <c r="A9" s="103" t="str">
        <f>Termék!A14</f>
        <v>Forgalmazó / Termék neve (Ország):</v>
      </c>
      <c r="B9" s="103" t="str">
        <f>Alapanyagok!B11</f>
        <v>megnevezése (IUPAC szerint)</v>
      </c>
      <c r="C9" s="79" t="str">
        <f>Alapanyagok!I11</f>
        <v>%
(=g/100 g termék)</v>
      </c>
      <c r="D9" s="96" t="str">
        <f>IF(Adatlap!$L$1=Fordítások!C3,Fordítások!C123,Fordítások!B123)</f>
        <v>Részletezés</v>
      </c>
      <c r="E9" s="96" t="str">
        <f>IF(Adatlap!$L$1=Fordítások!C3,Fordítások!C135,Fordítások!B135)</f>
        <v>(válassza ki)</v>
      </c>
      <c r="F9" s="162" t="str">
        <f>IF(Adatlap!$L$1=Fordítások!C3,Fordítások!C124,Fordítások!B124)</f>
        <v>(=a termék gyártójának nyilatkozata)</v>
      </c>
      <c r="G9" s="100" t="str">
        <f>IF(Adatlap!$L$1=Fordítások!C3,Fordítások!C127,Fordítások!B127)</f>
        <v>vagy a nyersanyag volumene (elkülönítés/tömegmérleg szerinti), tonna</v>
      </c>
      <c r="H9" s="16"/>
      <c r="I9" s="16"/>
      <c r="J9" s="16"/>
      <c r="K9" s="16"/>
      <c r="L9" s="16"/>
      <c r="M9" s="16"/>
      <c r="N9" s="16"/>
      <c r="O9" s="489"/>
      <c r="P9" s="489"/>
      <c r="Q9" s="489"/>
      <c r="R9" s="489"/>
      <c r="S9" s="489"/>
      <c r="T9" s="489"/>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7"/>
      <c r="AY9" s="467"/>
      <c r="AZ9" s="467"/>
      <c r="BA9" s="467"/>
      <c r="BB9" s="467"/>
      <c r="BC9" s="467"/>
      <c r="BD9" s="467"/>
      <c r="BE9" s="467"/>
      <c r="BF9" s="467"/>
      <c r="BG9" s="467"/>
      <c r="BH9" s="467"/>
      <c r="BI9" s="467"/>
      <c r="BJ9" s="467"/>
      <c r="BK9" s="467"/>
      <c r="BL9" s="467"/>
      <c r="BM9" s="467"/>
      <c r="BN9" s="467"/>
      <c r="BO9" s="467"/>
    </row>
    <row r="10" spans="1:20" ht="12.75" customHeight="1">
      <c r="A10" s="104">
        <v>1</v>
      </c>
      <c r="B10" s="120"/>
      <c r="C10" s="105"/>
      <c r="D10" s="106"/>
      <c r="E10" s="107"/>
      <c r="F10" s="107"/>
      <c r="G10" s="108"/>
      <c r="H10" s="52"/>
      <c r="I10" s="16"/>
      <c r="J10" s="16"/>
      <c r="K10" s="16"/>
      <c r="L10" s="16"/>
      <c r="M10" s="16"/>
      <c r="N10" s="16"/>
      <c r="O10" s="489"/>
      <c r="P10" s="489"/>
      <c r="Q10" s="489"/>
      <c r="R10" s="489"/>
      <c r="S10" s="489"/>
      <c r="T10" s="489"/>
    </row>
    <row r="11" spans="1:20" ht="15.5">
      <c r="A11" s="104">
        <v>2</v>
      </c>
      <c r="B11" s="120" t="str">
        <f>IF(Alapanyagok!P13=Auswahldaten!$A$12,Alapanyagok!B13,"")</f>
        <v/>
      </c>
      <c r="C11" s="116" t="str">
        <f>IF(Alapanyagok!P13=Auswahldaten!$A$12,Alapanyagok!I13,"")</f>
        <v/>
      </c>
      <c r="D11" s="116" t="str">
        <f>IF(Alapanyagok!P13=Auswahldaten!$A$12,Alapanyagok!H13,"")</f>
        <v/>
      </c>
      <c r="E11" s="117"/>
      <c r="F11" s="296"/>
      <c r="G11" s="109" t="str">
        <f>IF(OR(E11=Fordítások!$C$129,E11=Fordítások!$B$129),($C$7*C11*F11/100)/100,IF(OR(E11=Fordítások!$C$130,E11=Fordítások!$B$130),($C$7*(C11/(Alapanyagok!E13/100)))/100,""))</f>
        <v/>
      </c>
      <c r="H11" s="52"/>
      <c r="I11" s="16"/>
      <c r="J11" s="16"/>
      <c r="K11" s="16"/>
      <c r="L11" s="16"/>
      <c r="M11" s="16"/>
      <c r="N11" s="16"/>
      <c r="O11" s="489"/>
      <c r="P11" s="489"/>
      <c r="Q11" s="489"/>
      <c r="R11" s="489"/>
      <c r="S11" s="489"/>
      <c r="T11" s="489"/>
    </row>
    <row r="12" spans="1:20" ht="15.5">
      <c r="A12" s="104">
        <v>3</v>
      </c>
      <c r="B12" s="120" t="str">
        <f>IF(Alapanyagok!P14=Auswahldaten!$A$12,Alapanyagok!B14,"")</f>
        <v/>
      </c>
      <c r="C12" s="116" t="str">
        <f>IF(Alapanyagok!P14=Auswahldaten!$A$12,Alapanyagok!I14,"")</f>
        <v/>
      </c>
      <c r="D12" s="116" t="str">
        <f>IF(Alapanyagok!P14=Auswahldaten!$A$12,Alapanyagok!H14,"")</f>
        <v/>
      </c>
      <c r="E12" s="117"/>
      <c r="F12" s="296"/>
      <c r="G12" s="109" t="str">
        <f>IF(OR(E12=Fordítások!$C$129,E12=Fordítások!$B$129),($C$7*C12*F12/100)/100,IF(OR(E12=Fordítások!$C$130,E12=Fordítások!$B$130),($C$7*(C12/(Alapanyagok!E14/100)))/100,""))</f>
        <v/>
      </c>
      <c r="H12" s="52"/>
      <c r="I12" s="16"/>
      <c r="J12" s="16"/>
      <c r="K12" s="16"/>
      <c r="L12" s="16"/>
      <c r="M12" s="16"/>
      <c r="N12" s="16"/>
      <c r="O12" s="489"/>
      <c r="P12" s="489"/>
      <c r="Q12" s="489"/>
      <c r="R12" s="489"/>
      <c r="S12" s="489"/>
      <c r="T12" s="489"/>
    </row>
    <row r="13" spans="1:20" ht="15.5">
      <c r="A13" s="104">
        <v>4</v>
      </c>
      <c r="B13" s="120" t="str">
        <f>IF(Alapanyagok!P15=Auswahldaten!$A$12,Alapanyagok!B15,"")</f>
        <v/>
      </c>
      <c r="C13" s="116" t="str">
        <f>IF(Alapanyagok!P15=Auswahldaten!$A$12,Alapanyagok!I15,"")</f>
        <v/>
      </c>
      <c r="D13" s="116" t="str">
        <f>IF(Alapanyagok!P15=Auswahldaten!$A$12,Alapanyagok!H15,"")</f>
        <v/>
      </c>
      <c r="E13" s="117"/>
      <c r="F13" s="296"/>
      <c r="G13" s="109" t="str">
        <f>IF(OR(E13=Fordítások!$C$129,E13=Fordítások!$B$129),($C$7*C13*F13/100)/100,IF(OR(E13=Fordítások!$C$130,E13=Fordítások!$B$130),($C$7*(C13/(Alapanyagok!E15/100)))/100,""))</f>
        <v/>
      </c>
      <c r="H13" s="52"/>
      <c r="I13" s="16"/>
      <c r="J13" s="16"/>
      <c r="K13" s="16"/>
      <c r="L13" s="16"/>
      <c r="M13" s="16"/>
      <c r="N13" s="16"/>
      <c r="O13" s="489"/>
      <c r="P13" s="489"/>
      <c r="Q13" s="489"/>
      <c r="R13" s="489"/>
      <c r="S13" s="489"/>
      <c r="T13" s="489"/>
    </row>
    <row r="14" spans="1:20" ht="15.5">
      <c r="A14" s="104">
        <v>5</v>
      </c>
      <c r="B14" s="120" t="str">
        <f>IF(Alapanyagok!P16=Auswahldaten!$A$12,Alapanyagok!B16,"")</f>
        <v/>
      </c>
      <c r="C14" s="116" t="str">
        <f>IF(Alapanyagok!P16=Auswahldaten!$A$12,Alapanyagok!I16,"")</f>
        <v/>
      </c>
      <c r="D14" s="116" t="str">
        <f>IF(Alapanyagok!P16=Auswahldaten!$A$12,Alapanyagok!H16,"")</f>
        <v/>
      </c>
      <c r="E14" s="117"/>
      <c r="F14" s="296"/>
      <c r="G14" s="109" t="str">
        <f>IF(OR(E14=Fordítások!$C$129,E14=Fordítások!$B$129),($C$7*C14*F14/100)/100,IF(OR(E14=Fordítások!$C$130,E14=Fordítások!$B$130),($C$7*(C14/(Alapanyagok!E16/100)))/100,""))</f>
        <v/>
      </c>
      <c r="H14" s="52"/>
      <c r="I14" s="16"/>
      <c r="J14" s="16"/>
      <c r="K14" s="16"/>
      <c r="L14" s="16"/>
      <c r="M14" s="16"/>
      <c r="N14" s="16"/>
      <c r="O14" s="489"/>
      <c r="P14" s="489"/>
      <c r="Q14" s="489"/>
      <c r="R14" s="489"/>
      <c r="S14" s="489"/>
      <c r="T14" s="489"/>
    </row>
    <row r="15" spans="1:20" ht="15.5">
      <c r="A15" s="104">
        <v>6</v>
      </c>
      <c r="B15" s="120" t="str">
        <f>IF(Alapanyagok!P17=Auswahldaten!$A$12,Alapanyagok!B17,"")</f>
        <v/>
      </c>
      <c r="C15" s="116" t="str">
        <f>IF(Alapanyagok!P17=Auswahldaten!$A$12,Alapanyagok!I17,"")</f>
        <v/>
      </c>
      <c r="D15" s="116" t="str">
        <f>IF(Alapanyagok!P17=Auswahldaten!$A$12,Alapanyagok!H17,"")</f>
        <v/>
      </c>
      <c r="E15" s="117"/>
      <c r="F15" s="296"/>
      <c r="G15" s="109" t="str">
        <f>IF(OR(E15=Fordítások!$C$129,E15=Fordítások!$B$129),($C$7*C15*F15/100)/100,IF(OR(E15=Fordítások!$C$130,E15=Fordítások!$B$130),($C$7*(C15/(Alapanyagok!E17/100)))/100,""))</f>
        <v/>
      </c>
      <c r="H15" s="52"/>
      <c r="I15" s="16"/>
      <c r="J15" s="16"/>
      <c r="K15" s="16"/>
      <c r="L15" s="16"/>
      <c r="M15" s="16"/>
      <c r="N15" s="16"/>
      <c r="O15" s="489"/>
      <c r="P15" s="489"/>
      <c r="Q15" s="489"/>
      <c r="R15" s="489"/>
      <c r="S15" s="489"/>
      <c r="T15" s="489"/>
    </row>
    <row r="16" spans="1:20" ht="15.5">
      <c r="A16" s="104">
        <v>7</v>
      </c>
      <c r="B16" s="120" t="str">
        <f>IF(Alapanyagok!P18=Auswahldaten!$A$12,Alapanyagok!B18,"")</f>
        <v/>
      </c>
      <c r="C16" s="116" t="str">
        <f>IF(Alapanyagok!P18=Auswahldaten!$A$12,Alapanyagok!I18,"")</f>
        <v/>
      </c>
      <c r="D16" s="116" t="str">
        <f>IF(Alapanyagok!P18=Auswahldaten!$A$12,Alapanyagok!H18,"")</f>
        <v/>
      </c>
      <c r="E16" s="117"/>
      <c r="F16" s="296"/>
      <c r="G16" s="109" t="str">
        <f>IF(OR(E16=Fordítások!$C$129,E16=Fordítások!$B$129),($C$7*C16*F16/100)/100,IF(OR(E16=Fordítások!$C$130,E16=Fordítások!$B$130),($C$7*(C16/(Alapanyagok!E18/100)))/100,""))</f>
        <v/>
      </c>
      <c r="H16" s="52"/>
      <c r="I16" s="16"/>
      <c r="J16" s="16"/>
      <c r="K16" s="16"/>
      <c r="L16" s="16"/>
      <c r="M16" s="16"/>
      <c r="N16" s="16"/>
      <c r="O16" s="489"/>
      <c r="P16" s="489"/>
      <c r="Q16" s="489"/>
      <c r="R16" s="489"/>
      <c r="S16" s="489"/>
      <c r="T16" s="489"/>
    </row>
    <row r="17" spans="1:20" ht="15.5">
      <c r="A17" s="104">
        <v>8</v>
      </c>
      <c r="B17" s="120" t="str">
        <f>IF(Alapanyagok!P19=Auswahldaten!$A$12,Alapanyagok!B19,"")</f>
        <v/>
      </c>
      <c r="C17" s="116" t="str">
        <f>IF(Alapanyagok!P19=Auswahldaten!$A$12,Alapanyagok!I19,"")</f>
        <v/>
      </c>
      <c r="D17" s="116" t="str">
        <f>IF(Alapanyagok!P19=Auswahldaten!$A$12,Alapanyagok!H19,"")</f>
        <v/>
      </c>
      <c r="E17" s="117"/>
      <c r="F17" s="296"/>
      <c r="G17" s="109" t="str">
        <f>IF(OR(E17=Fordítások!$C$129,E17=Fordítások!$B$129),($C$7*C17*F17/100)/100,IF(OR(E17=Fordítások!$C$130,E17=Fordítások!$B$130),($C$7*(C17/(Alapanyagok!E19/100)))/100,""))</f>
        <v/>
      </c>
      <c r="H17" s="52"/>
      <c r="I17" s="16"/>
      <c r="J17" s="16"/>
      <c r="K17" s="16"/>
      <c r="L17" s="16"/>
      <c r="M17" s="16"/>
      <c r="N17" s="16"/>
      <c r="O17" s="489"/>
      <c r="P17" s="489"/>
      <c r="Q17" s="489"/>
      <c r="R17" s="489"/>
      <c r="S17" s="489"/>
      <c r="T17" s="489"/>
    </row>
    <row r="18" spans="1:20" ht="15.5">
      <c r="A18" s="104">
        <v>9</v>
      </c>
      <c r="B18" s="120" t="str">
        <f>IF(Alapanyagok!P20=Auswahldaten!$A$12,Alapanyagok!B20,"")</f>
        <v/>
      </c>
      <c r="C18" s="116" t="str">
        <f>IF(Alapanyagok!P20=Auswahldaten!$A$12,Alapanyagok!I20,"")</f>
        <v/>
      </c>
      <c r="D18" s="116" t="str">
        <f>IF(Alapanyagok!P20=Auswahldaten!$A$12,Alapanyagok!H20,"")</f>
        <v/>
      </c>
      <c r="E18" s="117"/>
      <c r="F18" s="296"/>
      <c r="G18" s="109" t="str">
        <f>IF(OR(E18=Fordítások!$C$129,E18=Fordítások!$B$129),($C$7*C18*F18/100)/100,IF(OR(E18=Fordítások!$C$130,E18=Fordítások!$B$130),($C$7*(C18/(Alapanyagok!E20/100)))/100,""))</f>
        <v/>
      </c>
      <c r="H18" s="52"/>
      <c r="I18" s="16"/>
      <c r="J18" s="16"/>
      <c r="K18" s="16"/>
      <c r="L18" s="16"/>
      <c r="M18" s="16"/>
      <c r="N18" s="16"/>
      <c r="O18" s="489"/>
      <c r="P18" s="489"/>
      <c r="Q18" s="489"/>
      <c r="R18" s="489"/>
      <c r="S18" s="489"/>
      <c r="T18" s="489"/>
    </row>
    <row r="19" spans="1:20" ht="15.5">
      <c r="A19" s="104">
        <v>10</v>
      </c>
      <c r="B19" s="120" t="str">
        <f>IF(Alapanyagok!P21=Auswahldaten!$A$12,Alapanyagok!B21,"")</f>
        <v/>
      </c>
      <c r="C19" s="116" t="str">
        <f>IF(Alapanyagok!P21=Auswahldaten!$A$12,Alapanyagok!I21,"")</f>
        <v/>
      </c>
      <c r="D19" s="116" t="str">
        <f>IF(Alapanyagok!P21=Auswahldaten!$A$12,Alapanyagok!H21,"")</f>
        <v/>
      </c>
      <c r="E19" s="117"/>
      <c r="F19" s="296"/>
      <c r="G19" s="109" t="str">
        <f>IF(OR(E19=Fordítások!$C$129,E19=Fordítások!$B$129),($C$7*C19*F19/100)/100,IF(OR(E19=Fordítások!$C$130,E19=Fordítások!$B$130),($C$7*(C19/(Alapanyagok!E21/100)))/100,""))</f>
        <v/>
      </c>
      <c r="H19" s="52"/>
      <c r="I19" s="16"/>
      <c r="J19" s="16"/>
      <c r="K19" s="16"/>
      <c r="L19" s="16"/>
      <c r="M19" s="16"/>
      <c r="N19" s="16"/>
      <c r="O19" s="489"/>
      <c r="P19" s="489"/>
      <c r="Q19" s="489"/>
      <c r="R19" s="489"/>
      <c r="S19" s="489"/>
      <c r="T19" s="489"/>
    </row>
    <row r="20" spans="1:20" ht="15.5">
      <c r="A20" s="104">
        <v>11</v>
      </c>
      <c r="B20" s="120" t="str">
        <f>IF(Alapanyagok!P22=Auswahldaten!$A$12,Alapanyagok!B22,"")</f>
        <v/>
      </c>
      <c r="C20" s="116" t="str">
        <f>IF(Alapanyagok!P22=Auswahldaten!$A$12,Alapanyagok!I22,"")</f>
        <v/>
      </c>
      <c r="D20" s="116" t="str">
        <f>IF(Alapanyagok!P22=Auswahldaten!$A$12,Alapanyagok!H22,"")</f>
        <v/>
      </c>
      <c r="E20" s="117"/>
      <c r="F20" s="296"/>
      <c r="G20" s="109" t="str">
        <f>IF(OR(E20=Fordítások!$C$129,E20=Fordítások!$B$129),($C$7*C20*F20/100)/100,IF(OR(E20=Fordítások!$C$130,E20=Fordítások!$B$130),($C$7*(C20/(Alapanyagok!E22/100)))/100,""))</f>
        <v/>
      </c>
      <c r="H20" s="52"/>
      <c r="I20" s="16"/>
      <c r="J20" s="16"/>
      <c r="K20" s="16"/>
      <c r="L20" s="16"/>
      <c r="M20" s="16"/>
      <c r="N20" s="16"/>
      <c r="O20" s="489"/>
      <c r="P20" s="489"/>
      <c r="Q20" s="489"/>
      <c r="R20" s="489"/>
      <c r="S20" s="489"/>
      <c r="T20" s="489"/>
    </row>
    <row r="21" spans="1:20" ht="15.5">
      <c r="A21" s="104">
        <v>12</v>
      </c>
      <c r="B21" s="120" t="str">
        <f>IF(Alapanyagok!P23=Auswahldaten!$A$12,Alapanyagok!B23,"")</f>
        <v/>
      </c>
      <c r="C21" s="116" t="str">
        <f>IF(Alapanyagok!P23=Auswahldaten!$A$12,Alapanyagok!I23,"")</f>
        <v/>
      </c>
      <c r="D21" s="116" t="str">
        <f>IF(Alapanyagok!P23=Auswahldaten!$A$12,Alapanyagok!H23,"")</f>
        <v/>
      </c>
      <c r="E21" s="117"/>
      <c r="F21" s="296"/>
      <c r="G21" s="109" t="str">
        <f>IF(OR(E21=Fordítások!$C$129,E21=Fordítások!$B$129),($C$7*C21*F21/100)/100,IF(OR(E21=Fordítások!$C$130,E21=Fordítások!$B$130),($C$7*(C21/(Alapanyagok!E23/100)))/100,""))</f>
        <v/>
      </c>
      <c r="H21" s="52"/>
      <c r="I21" s="16"/>
      <c r="J21" s="16"/>
      <c r="K21" s="16"/>
      <c r="L21" s="16"/>
      <c r="M21" s="16"/>
      <c r="N21" s="16"/>
      <c r="O21" s="489"/>
      <c r="P21" s="489"/>
      <c r="Q21" s="489"/>
      <c r="R21" s="489"/>
      <c r="S21" s="489"/>
      <c r="T21" s="489"/>
    </row>
    <row r="22" spans="1:20" ht="15.5">
      <c r="A22" s="104">
        <v>13</v>
      </c>
      <c r="B22" s="120" t="str">
        <f>IF(Alapanyagok!P24=Auswahldaten!$A$12,Alapanyagok!B24,"")</f>
        <v/>
      </c>
      <c r="C22" s="116" t="str">
        <f>IF(Alapanyagok!P24=Auswahldaten!$A$12,Alapanyagok!I24,"")</f>
        <v/>
      </c>
      <c r="D22" s="116" t="str">
        <f>IF(Alapanyagok!P24=Auswahldaten!$A$12,Alapanyagok!H24,"")</f>
        <v/>
      </c>
      <c r="E22" s="117"/>
      <c r="F22" s="296"/>
      <c r="G22" s="109" t="str">
        <f>IF(OR(E22=Fordítások!$C$129,E22=Fordítások!$B$129),($C$7*C22*F22/100)/100,IF(OR(E22=Fordítások!$C$130,E22=Fordítások!$B$130),($C$7*(C22/(Alapanyagok!E24/100)))/100,""))</f>
        <v/>
      </c>
      <c r="H22" s="52"/>
      <c r="I22" s="16"/>
      <c r="J22" s="16"/>
      <c r="K22" s="16"/>
      <c r="L22" s="16"/>
      <c r="M22" s="16"/>
      <c r="N22" s="16"/>
      <c r="O22" s="489"/>
      <c r="P22" s="489"/>
      <c r="Q22" s="489"/>
      <c r="R22" s="489"/>
      <c r="S22" s="489"/>
      <c r="T22" s="489"/>
    </row>
    <row r="23" spans="1:20" ht="15.5">
      <c r="A23" s="104">
        <v>14</v>
      </c>
      <c r="B23" s="120" t="str">
        <f>IF(Alapanyagok!P25=Auswahldaten!$A$12,Alapanyagok!B25,"")</f>
        <v/>
      </c>
      <c r="C23" s="116" t="str">
        <f>IF(Alapanyagok!P25=Auswahldaten!$A$12,Alapanyagok!I25,"")</f>
        <v/>
      </c>
      <c r="D23" s="116" t="str">
        <f>IF(Alapanyagok!P25=Auswahldaten!$A$12,Alapanyagok!H25,"")</f>
        <v/>
      </c>
      <c r="E23" s="117"/>
      <c r="F23" s="296"/>
      <c r="G23" s="109" t="str">
        <f>IF(OR(E23=Fordítások!$C$129,E23=Fordítások!$B$129),($C$7*C23*F23/100)/100,IF(OR(E23=Fordítások!$C$130,E23=Fordítások!$B$130),($C$7*(C23/(Alapanyagok!E25/100)))/100,""))</f>
        <v/>
      </c>
      <c r="H23" s="52"/>
      <c r="I23" s="16"/>
      <c r="J23" s="16"/>
      <c r="K23" s="16"/>
      <c r="L23" s="16"/>
      <c r="M23" s="16"/>
      <c r="N23" s="16"/>
      <c r="O23" s="489"/>
      <c r="P23" s="489"/>
      <c r="Q23" s="489"/>
      <c r="R23" s="489"/>
      <c r="S23" s="489"/>
      <c r="T23" s="489"/>
    </row>
    <row r="24" spans="1:20" ht="15.5">
      <c r="A24" s="104">
        <v>15</v>
      </c>
      <c r="B24" s="120" t="str">
        <f>IF(Alapanyagok!P26=Auswahldaten!$A$12,Alapanyagok!B26,"")</f>
        <v/>
      </c>
      <c r="C24" s="116" t="str">
        <f>IF(Alapanyagok!P26=Auswahldaten!$A$12,Alapanyagok!I26,"")</f>
        <v/>
      </c>
      <c r="D24" s="116" t="str">
        <f>IF(Alapanyagok!P26=Auswahldaten!$A$12,Alapanyagok!H26,"")</f>
        <v/>
      </c>
      <c r="E24" s="117"/>
      <c r="F24" s="296"/>
      <c r="G24" s="109" t="str">
        <f>IF(OR(E24=Fordítások!$C$129,E24=Fordítások!$B$129),($C$7*C24*F24/100)/100,IF(OR(E24=Fordítások!$C$130,E24=Fordítások!$B$130),($C$7*(C24/(Alapanyagok!E26/100)))/100,""))</f>
        <v/>
      </c>
      <c r="H24" s="52"/>
      <c r="I24" s="16"/>
      <c r="J24" s="16"/>
      <c r="K24" s="16"/>
      <c r="L24" s="16"/>
      <c r="M24" s="16"/>
      <c r="N24" s="16"/>
      <c r="O24" s="489"/>
      <c r="P24" s="489"/>
      <c r="Q24" s="489"/>
      <c r="R24" s="489"/>
      <c r="S24" s="489"/>
      <c r="T24" s="489"/>
    </row>
    <row r="25" spans="1:20" ht="15.5">
      <c r="A25" s="104">
        <v>16</v>
      </c>
      <c r="B25" s="120" t="str">
        <f>IF(Alapanyagok!P27=Auswahldaten!$A$12,Alapanyagok!B27,"")</f>
        <v/>
      </c>
      <c r="C25" s="116" t="str">
        <f>IF(Alapanyagok!P27=Auswahldaten!$A$12,Alapanyagok!I27,"")</f>
        <v/>
      </c>
      <c r="D25" s="116" t="str">
        <f>IF(Alapanyagok!P27=Auswahldaten!$A$12,Alapanyagok!H27,"")</f>
        <v/>
      </c>
      <c r="E25" s="117"/>
      <c r="F25" s="296"/>
      <c r="G25" s="109" t="str">
        <f>IF(OR(E25=Fordítások!$C$129,E25=Fordítások!$B$129),($C$7*C25*F25/100)/100,IF(OR(E25=Fordítások!$C$130,E25=Fordítások!$B$130),($C$7*(C25/(Alapanyagok!E27/100)))/100,""))</f>
        <v/>
      </c>
      <c r="H25" s="52"/>
      <c r="I25" s="16"/>
      <c r="J25" s="16"/>
      <c r="K25" s="16"/>
      <c r="L25" s="16"/>
      <c r="M25" s="16"/>
      <c r="N25" s="16"/>
      <c r="O25" s="489"/>
      <c r="P25" s="489"/>
      <c r="Q25" s="489"/>
      <c r="R25" s="489"/>
      <c r="S25" s="489"/>
      <c r="T25" s="489"/>
    </row>
    <row r="26" spans="1:20" ht="15.5">
      <c r="A26" s="104">
        <v>17</v>
      </c>
      <c r="B26" s="120" t="str">
        <f>IF(Alapanyagok!P28=Auswahldaten!$A$12,Alapanyagok!B28,"")</f>
        <v/>
      </c>
      <c r="C26" s="116" t="str">
        <f>IF(Alapanyagok!P28=Auswahldaten!$A$12,Alapanyagok!I28,"")</f>
        <v/>
      </c>
      <c r="D26" s="116" t="str">
        <f>IF(Alapanyagok!P28=Auswahldaten!$A$12,Alapanyagok!H28,"")</f>
        <v/>
      </c>
      <c r="E26" s="117"/>
      <c r="F26" s="296"/>
      <c r="G26" s="109" t="str">
        <f>IF(OR(E26=Fordítások!$C$129,E26=Fordítások!$B$129),($C$7*C26*F26/100)/100,IF(OR(E26=Fordítások!$C$130,E26=Fordítások!$B$130),($C$7*(C26/(Alapanyagok!E28/100)))/100,""))</f>
        <v/>
      </c>
      <c r="H26" s="52"/>
      <c r="I26" s="16"/>
      <c r="J26" s="16"/>
      <c r="K26" s="16"/>
      <c r="L26" s="16"/>
      <c r="M26" s="16"/>
      <c r="N26" s="16"/>
      <c r="O26" s="489"/>
      <c r="P26" s="489"/>
      <c r="Q26" s="489"/>
      <c r="R26" s="489"/>
      <c r="S26" s="489"/>
      <c r="T26" s="489"/>
    </row>
    <row r="27" spans="1:20" ht="15.5">
      <c r="A27" s="104">
        <v>18</v>
      </c>
      <c r="B27" s="120" t="str">
        <f>IF(Alapanyagok!P29=Auswahldaten!$A$12,Alapanyagok!B29,"")</f>
        <v/>
      </c>
      <c r="C27" s="116" t="str">
        <f>IF(Alapanyagok!P29=Auswahldaten!$A$12,Alapanyagok!I29,"")</f>
        <v/>
      </c>
      <c r="D27" s="116" t="str">
        <f>IF(Alapanyagok!P29=Auswahldaten!$A$12,Alapanyagok!H29,"")</f>
        <v/>
      </c>
      <c r="E27" s="117"/>
      <c r="F27" s="296"/>
      <c r="G27" s="109" t="str">
        <f>IF(OR(E27=Fordítások!$C$129,E27=Fordítások!$B$129),($C$7*C27*F27/100)/100,IF(OR(E27=Fordítások!$C$130,E27=Fordítások!$B$130),($C$7*(C27/(Alapanyagok!E29/100)))/100,""))</f>
        <v/>
      </c>
      <c r="H27" s="52"/>
      <c r="I27" s="16"/>
      <c r="J27" s="16"/>
      <c r="K27" s="16"/>
      <c r="L27" s="16"/>
      <c r="M27" s="16"/>
      <c r="N27" s="16"/>
      <c r="O27" s="489"/>
      <c r="P27" s="489"/>
      <c r="Q27" s="489"/>
      <c r="R27" s="489"/>
      <c r="S27" s="489"/>
      <c r="T27" s="489"/>
    </row>
    <row r="28" spans="1:20" ht="15.5">
      <c r="A28" s="104">
        <v>19</v>
      </c>
      <c r="B28" s="120" t="str">
        <f>IF(Alapanyagok!P30=Auswahldaten!$A$12,Alapanyagok!B30,"")</f>
        <v/>
      </c>
      <c r="C28" s="116" t="str">
        <f>IF(Alapanyagok!P30=Auswahldaten!$A$12,Alapanyagok!I30,"")</f>
        <v/>
      </c>
      <c r="D28" s="116" t="str">
        <f>IF(Alapanyagok!P30=Auswahldaten!$A$12,Alapanyagok!H30,"")</f>
        <v/>
      </c>
      <c r="E28" s="117"/>
      <c r="F28" s="296"/>
      <c r="G28" s="109" t="str">
        <f>IF(OR(E28=Fordítások!$C$129,E28=Fordítások!$B$129),($C$7*C28*F28/100)/100,IF(OR(E28=Fordítások!$C$130,E28=Fordítások!$B$130),($C$7*(C28/(Alapanyagok!E30/100)))/100,""))</f>
        <v/>
      </c>
      <c r="H28" s="52"/>
      <c r="I28" s="16"/>
      <c r="J28" s="16"/>
      <c r="K28" s="16"/>
      <c r="L28" s="16"/>
      <c r="M28" s="16"/>
      <c r="N28" s="16"/>
      <c r="O28" s="489"/>
      <c r="P28" s="489"/>
      <c r="Q28" s="489"/>
      <c r="R28" s="489"/>
      <c r="S28" s="489"/>
      <c r="T28" s="489"/>
    </row>
    <row r="29" spans="1:20" ht="15.5">
      <c r="A29" s="104">
        <v>20</v>
      </c>
      <c r="B29" s="120" t="str">
        <f>IF(Alapanyagok!P31=Auswahldaten!$A$12,Alapanyagok!B31,"")</f>
        <v/>
      </c>
      <c r="C29" s="116" t="str">
        <f>IF(Alapanyagok!P31=Auswahldaten!$A$12,Alapanyagok!I31,"")</f>
        <v/>
      </c>
      <c r="D29" s="116" t="str">
        <f>IF(Alapanyagok!P31=Auswahldaten!$A$12,Alapanyagok!H31,"")</f>
        <v/>
      </c>
      <c r="E29" s="117"/>
      <c r="F29" s="296"/>
      <c r="G29" s="109" t="str">
        <f>IF(OR(E29=Fordítások!$C$129,E29=Fordítások!$B$129),($C$7*C29*F29/100)/100,IF(OR(E29=Fordítások!$C$130,E29=Fordítások!$B$130),($C$7*(C29/(Alapanyagok!E31/100)))/100,""))</f>
        <v/>
      </c>
      <c r="H29" s="52"/>
      <c r="I29" s="16"/>
      <c r="J29" s="16"/>
      <c r="K29" s="16"/>
      <c r="L29" s="16"/>
      <c r="M29" s="16"/>
      <c r="N29" s="16"/>
      <c r="O29" s="489"/>
      <c r="P29" s="489"/>
      <c r="Q29" s="489"/>
      <c r="R29" s="489"/>
      <c r="S29" s="489"/>
      <c r="T29" s="489"/>
    </row>
    <row r="30" spans="1:20" ht="15.5">
      <c r="A30" s="104">
        <v>21</v>
      </c>
      <c r="B30" s="120" t="str">
        <f>IF(Alapanyagok!P32=Auswahldaten!$A$12,Alapanyagok!B32,"")</f>
        <v/>
      </c>
      <c r="C30" s="116" t="str">
        <f>IF(Alapanyagok!P32=Auswahldaten!$A$12,Alapanyagok!I32,"")</f>
        <v/>
      </c>
      <c r="D30" s="116" t="str">
        <f>IF(Alapanyagok!P32=Auswahldaten!$A$12,Alapanyagok!H32,"")</f>
        <v/>
      </c>
      <c r="E30" s="117"/>
      <c r="F30" s="296"/>
      <c r="G30" s="109" t="str">
        <f>IF(OR(E30=Fordítások!$C$129,E30=Fordítások!$B$129),($C$7*C30*F30/100)/100,IF(OR(E30=Fordítások!$C$130,E30=Fordítások!$B$130),($C$7*(C30/(Alapanyagok!E32/100)))/100,""))</f>
        <v/>
      </c>
      <c r="H30" s="52"/>
      <c r="I30" s="16"/>
      <c r="J30" s="16"/>
      <c r="K30" s="16"/>
      <c r="L30" s="16"/>
      <c r="M30" s="16"/>
      <c r="N30" s="16"/>
      <c r="O30" s="489"/>
      <c r="P30" s="489"/>
      <c r="Q30" s="489"/>
      <c r="R30" s="489"/>
      <c r="S30" s="489"/>
      <c r="T30" s="489"/>
    </row>
    <row r="31" spans="1:20" ht="15.5">
      <c r="A31" s="104">
        <v>22</v>
      </c>
      <c r="B31" s="120" t="str">
        <f>IF(Alapanyagok!P33=Auswahldaten!$A$12,Alapanyagok!B33,"")</f>
        <v/>
      </c>
      <c r="C31" s="116" t="str">
        <f>IF(Alapanyagok!P33=Auswahldaten!$A$12,Alapanyagok!I33,"")</f>
        <v/>
      </c>
      <c r="D31" s="116" t="str">
        <f>IF(Alapanyagok!P33=Auswahldaten!$A$12,Alapanyagok!H33,"")</f>
        <v/>
      </c>
      <c r="E31" s="117"/>
      <c r="F31" s="296"/>
      <c r="G31" s="109" t="str">
        <f>IF(OR(E31=Fordítások!$C$129,E31=Fordítások!$B$129),($C$7*C31*F31/100)/100,IF(OR(E31=Fordítások!$C$130,E31=Fordítások!$B$130),($C$7*(C31/(Alapanyagok!E33/100)))/100,""))</f>
        <v/>
      </c>
      <c r="H31" s="52"/>
      <c r="I31" s="16"/>
      <c r="J31" s="16"/>
      <c r="K31" s="16"/>
      <c r="L31" s="16"/>
      <c r="M31" s="16"/>
      <c r="N31" s="16"/>
      <c r="O31" s="489"/>
      <c r="P31" s="489"/>
      <c r="Q31" s="489"/>
      <c r="R31" s="489"/>
      <c r="S31" s="489"/>
      <c r="T31" s="489"/>
    </row>
    <row r="32" spans="1:20" ht="15.5">
      <c r="A32" s="104">
        <v>23</v>
      </c>
      <c r="B32" s="120" t="str">
        <f>IF(Alapanyagok!P34=Auswahldaten!$A$12,Alapanyagok!B34,"")</f>
        <v/>
      </c>
      <c r="C32" s="116" t="str">
        <f>IF(Alapanyagok!P34=Auswahldaten!$A$12,Alapanyagok!I34,"")</f>
        <v/>
      </c>
      <c r="D32" s="116" t="str">
        <f>IF(Alapanyagok!P34=Auswahldaten!$A$12,Alapanyagok!H34,"")</f>
        <v/>
      </c>
      <c r="E32" s="117"/>
      <c r="F32" s="296"/>
      <c r="G32" s="109" t="str">
        <f>IF(OR(E32=Fordítások!$C$129,E32=Fordítások!$B$129),($C$7*C32*F32/100)/100,IF(OR(E32=Fordítások!$C$130,E32=Fordítások!$B$130),($C$7*(C32/(Alapanyagok!E34/100)))/100,""))</f>
        <v/>
      </c>
      <c r="H32" s="52"/>
      <c r="I32" s="16"/>
      <c r="J32" s="16"/>
      <c r="K32" s="16"/>
      <c r="L32" s="16"/>
      <c r="M32" s="16"/>
      <c r="N32" s="16"/>
      <c r="O32" s="489"/>
      <c r="P32" s="489"/>
      <c r="Q32" s="489"/>
      <c r="R32" s="489"/>
      <c r="S32" s="489"/>
      <c r="T32" s="489"/>
    </row>
    <row r="33" spans="1:20" ht="15.5">
      <c r="A33" s="104">
        <v>24</v>
      </c>
      <c r="B33" s="120" t="str">
        <f>IF(Alapanyagok!P35=Auswahldaten!$A$12,Alapanyagok!B35,"")</f>
        <v/>
      </c>
      <c r="C33" s="116" t="str">
        <f>IF(Alapanyagok!P35=Auswahldaten!$A$12,Alapanyagok!I35,"")</f>
        <v/>
      </c>
      <c r="D33" s="116" t="str">
        <f>IF(Alapanyagok!P35=Auswahldaten!$A$12,Alapanyagok!H35,"")</f>
        <v/>
      </c>
      <c r="E33" s="117"/>
      <c r="F33" s="296"/>
      <c r="G33" s="109" t="str">
        <f>IF(OR(E33=Fordítások!$C$129,E33=Fordítások!$B$129),($C$7*C33*F33/100)/100,IF(OR(E33=Fordítások!$C$130,E33=Fordítások!$B$130),($C$7*(C33/(Alapanyagok!E35/100)))/100,""))</f>
        <v/>
      </c>
      <c r="H33" s="52"/>
      <c r="I33" s="16"/>
      <c r="J33" s="16"/>
      <c r="K33" s="16"/>
      <c r="L33" s="16"/>
      <c r="M33" s="16"/>
      <c r="N33" s="16"/>
      <c r="O33" s="489"/>
      <c r="P33" s="489"/>
      <c r="Q33" s="489"/>
      <c r="R33" s="489"/>
      <c r="S33" s="489"/>
      <c r="T33" s="489"/>
    </row>
    <row r="34" spans="1:20" ht="15.5">
      <c r="A34" s="104">
        <v>25</v>
      </c>
      <c r="B34" s="120" t="str">
        <f>IF(Alapanyagok!P36=Auswahldaten!$A$12,Alapanyagok!B36,"")</f>
        <v/>
      </c>
      <c r="C34" s="116" t="str">
        <f>IF(Alapanyagok!P36=Auswahldaten!$A$12,Alapanyagok!I36,"")</f>
        <v/>
      </c>
      <c r="D34" s="116" t="str">
        <f>IF(Alapanyagok!P36=Auswahldaten!$A$12,Alapanyagok!H36,"")</f>
        <v/>
      </c>
      <c r="E34" s="117"/>
      <c r="F34" s="296"/>
      <c r="G34" s="109" t="str">
        <f>IF(OR(E34=Fordítások!$C$129,E34=Fordítások!$B$129),($C$7*C34*F34/100)/100,IF(OR(E34=Fordítások!$C$130,E34=Fordítások!$B$130),($C$7*(C34/(Alapanyagok!E36/100)))/100,""))</f>
        <v/>
      </c>
      <c r="H34" s="52"/>
      <c r="I34" s="16"/>
      <c r="J34" s="16"/>
      <c r="K34" s="16"/>
      <c r="L34" s="16"/>
      <c r="M34" s="16"/>
      <c r="N34" s="16"/>
      <c r="O34" s="489"/>
      <c r="P34" s="489"/>
      <c r="Q34" s="489"/>
      <c r="R34" s="489"/>
      <c r="S34" s="489"/>
      <c r="T34" s="489"/>
    </row>
    <row r="35" spans="1:20" ht="15.5">
      <c r="A35" s="104">
        <v>26</v>
      </c>
      <c r="B35" s="120" t="str">
        <f>IF(Alapanyagok!P37=Auswahldaten!$A$12,Alapanyagok!B37,"")</f>
        <v/>
      </c>
      <c r="C35" s="116" t="str">
        <f>IF(Alapanyagok!P37=Auswahldaten!$A$12,Alapanyagok!I37,"")</f>
        <v/>
      </c>
      <c r="D35" s="116" t="str">
        <f>IF(Alapanyagok!P37=Auswahldaten!$A$12,Alapanyagok!H37,"")</f>
        <v/>
      </c>
      <c r="E35" s="117"/>
      <c r="F35" s="296"/>
      <c r="G35" s="109" t="str">
        <f>IF(OR(E35=Fordítások!$C$129,E35=Fordítások!$B$129),($C$7*C35*F35/100)/100,IF(OR(E35=Fordítások!$C$130,E35=Fordítások!$B$130),($C$7*(C35/(Alapanyagok!E37/100)))/100,""))</f>
        <v/>
      </c>
      <c r="H35" s="52"/>
      <c r="I35" s="16"/>
      <c r="J35" s="16"/>
      <c r="K35" s="16"/>
      <c r="L35" s="16"/>
      <c r="M35" s="16"/>
      <c r="N35" s="16"/>
      <c r="O35" s="489"/>
      <c r="P35" s="489"/>
      <c r="Q35" s="489"/>
      <c r="R35" s="489"/>
      <c r="S35" s="489"/>
      <c r="T35" s="489"/>
    </row>
    <row r="36" spans="1:20" ht="15.5">
      <c r="A36" s="104">
        <v>27</v>
      </c>
      <c r="B36" s="120" t="str">
        <f>IF(Alapanyagok!P38=Auswahldaten!$A$12,Alapanyagok!B38,"")</f>
        <v/>
      </c>
      <c r="C36" s="116" t="str">
        <f>IF(Alapanyagok!P38=Auswahldaten!$A$12,Alapanyagok!I38,"")</f>
        <v/>
      </c>
      <c r="D36" s="116" t="str">
        <f>IF(Alapanyagok!P38=Auswahldaten!$A$12,Alapanyagok!H38,"")</f>
        <v/>
      </c>
      <c r="E36" s="117"/>
      <c r="F36" s="296"/>
      <c r="G36" s="109" t="str">
        <f>IF(OR(E36=Fordítások!$C$129,E36=Fordítások!$B$129),($C$7*C36*F36/100)/100,IF(OR(E36=Fordítások!$C$130,E36=Fordítások!$B$130),($C$7*(C36/(Alapanyagok!E38/100)))/100,""))</f>
        <v/>
      </c>
      <c r="H36" s="52"/>
      <c r="I36" s="16"/>
      <c r="J36" s="16"/>
      <c r="K36" s="16"/>
      <c r="L36" s="16"/>
      <c r="M36" s="16"/>
      <c r="N36" s="16"/>
      <c r="O36" s="489"/>
      <c r="P36" s="489"/>
      <c r="Q36" s="489"/>
      <c r="R36" s="489"/>
      <c r="S36" s="489"/>
      <c r="T36" s="489"/>
    </row>
    <row r="37" spans="1:20" ht="15.5">
      <c r="A37" s="104">
        <v>28</v>
      </c>
      <c r="B37" s="120" t="str">
        <f>IF(Alapanyagok!P39=Auswahldaten!$A$12,Alapanyagok!B39,"")</f>
        <v/>
      </c>
      <c r="C37" s="116" t="str">
        <f>IF(Alapanyagok!P39=Auswahldaten!$A$12,Alapanyagok!I39,"")</f>
        <v/>
      </c>
      <c r="D37" s="116" t="str">
        <f>IF(Alapanyagok!P39=Auswahldaten!$A$12,Alapanyagok!H39,"")</f>
        <v/>
      </c>
      <c r="E37" s="117"/>
      <c r="F37" s="296"/>
      <c r="G37" s="109" t="str">
        <f>IF(OR(E37=Fordítások!$C$129,E37=Fordítások!$B$129),($C$7*C37*F37/100)/100,IF(OR(E37=Fordítások!$C$130,E37=Fordítások!$B$130),($C$7*(C37/(Alapanyagok!E39/100)))/100,""))</f>
        <v/>
      </c>
      <c r="H37" s="52"/>
      <c r="I37" s="16"/>
      <c r="J37" s="16"/>
      <c r="K37" s="16"/>
      <c r="L37" s="16"/>
      <c r="M37" s="16"/>
      <c r="N37" s="16"/>
      <c r="O37" s="489"/>
      <c r="P37" s="489"/>
      <c r="Q37" s="489"/>
      <c r="R37" s="489"/>
      <c r="S37" s="489"/>
      <c r="T37" s="489"/>
    </row>
    <row r="38" spans="1:20" ht="15.5">
      <c r="A38" s="104">
        <v>29</v>
      </c>
      <c r="B38" s="120" t="str">
        <f>IF(Alapanyagok!P40=Auswahldaten!$A$12,Alapanyagok!B40,"")</f>
        <v/>
      </c>
      <c r="C38" s="116" t="str">
        <f>IF(Alapanyagok!P40=Auswahldaten!$A$12,Alapanyagok!I40,"")</f>
        <v/>
      </c>
      <c r="D38" s="116" t="str">
        <f>IF(Alapanyagok!P40=Auswahldaten!$A$12,Alapanyagok!H40,"")</f>
        <v/>
      </c>
      <c r="E38" s="117"/>
      <c r="F38" s="296"/>
      <c r="G38" s="109" t="str">
        <f>IF(OR(E38=Fordítások!$C$129,E38=Fordítások!$B$129),($C$7*C38*F38/100)/100,IF(OR(E38=Fordítások!$C$130,E38=Fordítások!$B$130),($C$7*(C38/(Alapanyagok!E40/100)))/100,""))</f>
        <v/>
      </c>
      <c r="H38" s="52"/>
      <c r="I38" s="16"/>
      <c r="J38" s="16"/>
      <c r="K38" s="16"/>
      <c r="L38" s="16"/>
      <c r="M38" s="16"/>
      <c r="N38" s="16"/>
      <c r="O38" s="489"/>
      <c r="P38" s="489"/>
      <c r="Q38" s="489"/>
      <c r="R38" s="489"/>
      <c r="S38" s="489"/>
      <c r="T38" s="489"/>
    </row>
    <row r="39" spans="1:20" ht="15.5">
      <c r="A39" s="104">
        <v>30</v>
      </c>
      <c r="B39" s="120" t="str">
        <f>IF(Alapanyagok!P41=Auswahldaten!$A$12,Alapanyagok!B41,"")</f>
        <v/>
      </c>
      <c r="C39" s="116" t="str">
        <f>IF(Alapanyagok!P41=Auswahldaten!$A$12,Alapanyagok!I41,"")</f>
        <v/>
      </c>
      <c r="D39" s="116" t="str">
        <f>IF(Alapanyagok!P41=Auswahldaten!$A$12,Alapanyagok!H41,"")</f>
        <v/>
      </c>
      <c r="E39" s="117"/>
      <c r="F39" s="296"/>
      <c r="G39" s="109" t="str">
        <f>IF(OR(E39=Fordítások!$C$129,E39=Fordítások!$B$129),($C$7*C39*F39/100)/100,IF(OR(E39=Fordítások!$C$130,E39=Fordítások!$B$130),($C$7*(C39/(Alapanyagok!E41/100)))/100,""))</f>
        <v/>
      </c>
      <c r="H39" s="52"/>
      <c r="I39" s="16"/>
      <c r="J39" s="16"/>
      <c r="K39" s="16"/>
      <c r="L39" s="16"/>
      <c r="M39" s="16"/>
      <c r="N39" s="16"/>
      <c r="O39" s="489"/>
      <c r="P39" s="489"/>
      <c r="Q39" s="489"/>
      <c r="R39" s="489"/>
      <c r="S39" s="489"/>
      <c r="T39" s="489"/>
    </row>
    <row r="40" spans="1:20" ht="15.5">
      <c r="A40" s="104">
        <v>31</v>
      </c>
      <c r="B40" s="120" t="str">
        <f>IF(Alapanyagok!P42=Auswahldaten!$A$12,Alapanyagok!B42,"")</f>
        <v/>
      </c>
      <c r="C40" s="116" t="str">
        <f>IF(Alapanyagok!P42=Auswahldaten!$A$12,Alapanyagok!I42,"")</f>
        <v/>
      </c>
      <c r="D40" s="116" t="str">
        <f>IF(Alapanyagok!P42=Auswahldaten!$A$12,Alapanyagok!H42,"")</f>
        <v/>
      </c>
      <c r="E40" s="117"/>
      <c r="F40" s="296"/>
      <c r="G40" s="109" t="str">
        <f>IF(OR(E40=Fordítások!$C$129,E40=Fordítások!$B$129),($C$7*C40*F40/100)/100,IF(OR(E40=Fordítások!$C$130,E40=Fordítások!$B$130),($C$7*(C40/(Alapanyagok!E42/100)))/100,""))</f>
        <v/>
      </c>
      <c r="H40" s="52"/>
      <c r="I40" s="16"/>
      <c r="J40" s="16"/>
      <c r="K40" s="16"/>
      <c r="L40" s="16"/>
      <c r="M40" s="16"/>
      <c r="N40" s="16"/>
      <c r="O40" s="489"/>
      <c r="P40" s="489"/>
      <c r="Q40" s="489"/>
      <c r="R40" s="489"/>
      <c r="S40" s="489"/>
      <c r="T40" s="489"/>
    </row>
    <row r="41" spans="1:20" ht="15.5">
      <c r="A41" s="104">
        <v>32</v>
      </c>
      <c r="B41" s="120" t="str">
        <f>IF(Alapanyagok!P43=Auswahldaten!$A$12,Alapanyagok!B43,"")</f>
        <v/>
      </c>
      <c r="C41" s="116" t="str">
        <f>IF(Alapanyagok!P43=Auswahldaten!$A$12,Alapanyagok!I43,"")</f>
        <v/>
      </c>
      <c r="D41" s="116" t="str">
        <f>IF(Alapanyagok!P43=Auswahldaten!$A$12,Alapanyagok!H43,"")</f>
        <v/>
      </c>
      <c r="E41" s="117"/>
      <c r="F41" s="296"/>
      <c r="G41" s="109" t="str">
        <f>IF(OR(E41=Fordítások!$C$129,E41=Fordítások!$B$129),($C$7*C41*F41/100)/100,IF(OR(E41=Fordítások!$C$130,E41=Fordítások!$B$130),($C$7*(C41/(Alapanyagok!E43/100)))/100,""))</f>
        <v/>
      </c>
      <c r="H41" s="52"/>
      <c r="I41" s="16"/>
      <c r="J41" s="16"/>
      <c r="K41" s="16"/>
      <c r="L41" s="16"/>
      <c r="M41" s="16"/>
      <c r="N41" s="16"/>
      <c r="O41" s="489"/>
      <c r="P41" s="489"/>
      <c r="Q41" s="489"/>
      <c r="R41" s="489"/>
      <c r="S41" s="489"/>
      <c r="T41" s="489"/>
    </row>
    <row r="42" spans="1:20" ht="15.5">
      <c r="A42" s="104">
        <v>33</v>
      </c>
      <c r="B42" s="120" t="str">
        <f>IF(Alapanyagok!P44=Auswahldaten!$A$12,Alapanyagok!B44,"")</f>
        <v/>
      </c>
      <c r="C42" s="116" t="str">
        <f>IF(Alapanyagok!P44=Auswahldaten!$A$12,Alapanyagok!I44,"")</f>
        <v/>
      </c>
      <c r="D42" s="116" t="str">
        <f>IF(Alapanyagok!P44=Auswahldaten!$A$12,Alapanyagok!H44,"")</f>
        <v/>
      </c>
      <c r="E42" s="117"/>
      <c r="F42" s="296"/>
      <c r="G42" s="109" t="str">
        <f>IF(OR(E42=Fordítások!$C$129,E42=Fordítások!$B$129),($C$7*C42*F42/100)/100,IF(OR(E42=Fordítások!$C$130,E42=Fordítások!$B$130),($C$7*(C42/(Alapanyagok!E44/100)))/100,""))</f>
        <v/>
      </c>
      <c r="H42" s="52"/>
      <c r="I42" s="16"/>
      <c r="J42" s="16"/>
      <c r="K42" s="16"/>
      <c r="L42" s="16"/>
      <c r="M42" s="16"/>
      <c r="N42" s="16"/>
      <c r="O42" s="489"/>
      <c r="P42" s="489"/>
      <c r="Q42" s="489"/>
      <c r="R42" s="489"/>
      <c r="S42" s="489"/>
      <c r="T42" s="489"/>
    </row>
    <row r="43" spans="1:20" ht="15.5">
      <c r="A43" s="104">
        <v>34</v>
      </c>
      <c r="B43" s="120" t="str">
        <f>IF(Alapanyagok!P45=Auswahldaten!$A$12,Alapanyagok!B45,"")</f>
        <v/>
      </c>
      <c r="C43" s="116" t="str">
        <f>IF(Alapanyagok!P45=Auswahldaten!$A$12,Alapanyagok!I45,"")</f>
        <v/>
      </c>
      <c r="D43" s="116" t="str">
        <f>IF(Alapanyagok!P45=Auswahldaten!$A$12,Alapanyagok!H45,"")</f>
        <v/>
      </c>
      <c r="E43" s="117"/>
      <c r="F43" s="296"/>
      <c r="G43" s="109" t="str">
        <f>IF(OR(E43=Fordítások!$C$129,E43=Fordítások!$B$129),($C$7*C43*F43/100)/100,IF(OR(E43=Fordítások!$C$130,E43=Fordítások!$B$130),($C$7*(C43/(Alapanyagok!E45/100)))/100,""))</f>
        <v/>
      </c>
      <c r="H43" s="52"/>
      <c r="I43" s="16"/>
      <c r="J43" s="16"/>
      <c r="K43" s="16"/>
      <c r="L43" s="16"/>
      <c r="M43" s="16"/>
      <c r="N43" s="16"/>
      <c r="O43" s="489"/>
      <c r="P43" s="489"/>
      <c r="Q43" s="489"/>
      <c r="R43" s="489"/>
      <c r="S43" s="489"/>
      <c r="T43" s="489"/>
    </row>
    <row r="44" spans="1:20" ht="15.5">
      <c r="A44" s="104">
        <v>35</v>
      </c>
      <c r="B44" s="120"/>
      <c r="C44" s="116" t="str">
        <f>IF(Alapanyagok!P46=Auswahldaten!$A$12,Alapanyagok!I46,"")</f>
        <v/>
      </c>
      <c r="D44" s="116"/>
      <c r="E44" s="117"/>
      <c r="F44" s="296"/>
      <c r="G44" s="109" t="str">
        <f>IF(OR(E44=Fordítások!$C$129,E44=Fordítások!$B$129),($C$7*C44*F44/100)/100,IF(OR(E44=Fordítások!$C$130,E44=Fordítások!$B$130),($C$7*(C44/(Alapanyagok!E46/100)))/100,""))</f>
        <v/>
      </c>
      <c r="H44" s="52"/>
      <c r="I44" s="16"/>
      <c r="J44" s="16"/>
      <c r="K44" s="16"/>
      <c r="L44" s="16"/>
      <c r="M44" s="16"/>
      <c r="N44" s="16"/>
      <c r="O44" s="489"/>
      <c r="P44" s="489"/>
      <c r="Q44" s="489"/>
      <c r="R44" s="489"/>
      <c r="S44" s="489"/>
      <c r="T44" s="489"/>
    </row>
    <row r="45" spans="1:20" ht="15.5">
      <c r="A45" s="104">
        <v>36</v>
      </c>
      <c r="B45" s="120" t="str">
        <f>IF(Alapanyagok!P47=Auswahldaten!$A$12,Alapanyagok!B47,"")</f>
        <v/>
      </c>
      <c r="C45" s="116" t="str">
        <f>IF(Alapanyagok!P47=Auswahldaten!$A$12,Alapanyagok!I47,"")</f>
        <v/>
      </c>
      <c r="D45" s="116" t="str">
        <f>IF(Alapanyagok!P47=Auswahldaten!$A$12,Alapanyagok!H47,"")</f>
        <v/>
      </c>
      <c r="E45" s="117"/>
      <c r="F45" s="296"/>
      <c r="G45" s="109" t="str">
        <f>IF(OR(E45=Fordítások!$C$129,E45=Fordítások!$B$129),($C$7*C45*F45/100)/100,IF(OR(E45=Fordítások!$C$130,E45=Fordítások!$B$130),($C$7*(C45/(Alapanyagok!E47/100)))/100,""))</f>
        <v/>
      </c>
      <c r="H45" s="52"/>
      <c r="I45" s="16"/>
      <c r="J45" s="16"/>
      <c r="K45" s="16"/>
      <c r="L45" s="16"/>
      <c r="M45" s="16"/>
      <c r="N45" s="16"/>
      <c r="O45" s="489"/>
      <c r="P45" s="489"/>
      <c r="Q45" s="489"/>
      <c r="R45" s="489"/>
      <c r="S45" s="489"/>
      <c r="T45" s="489"/>
    </row>
    <row r="46" spans="1:20" ht="15.5">
      <c r="A46" s="104">
        <v>37</v>
      </c>
      <c r="B46" s="120" t="str">
        <f>IF(Alapanyagok!P48=Auswahldaten!$A$12,Alapanyagok!B48,"")</f>
        <v/>
      </c>
      <c r="C46" s="116" t="str">
        <f>IF(Alapanyagok!P48=Auswahldaten!$A$12,Alapanyagok!I48,"")</f>
        <v/>
      </c>
      <c r="D46" s="116" t="str">
        <f>IF(Alapanyagok!P48=Auswahldaten!$A$12,Alapanyagok!H48,"")</f>
        <v/>
      </c>
      <c r="E46" s="117"/>
      <c r="F46" s="296"/>
      <c r="G46" s="109" t="str">
        <f>IF(OR(E46=Fordítások!$C$129,E46=Fordítások!$B$129),($C$7*C46*F46/100)/100,IF(OR(E46=Fordítások!$C$130,E46=Fordítások!$B$130),($C$7*(C46/(Alapanyagok!E48/100)))/100,""))</f>
        <v/>
      </c>
      <c r="H46" s="52"/>
      <c r="I46" s="16"/>
      <c r="J46" s="16"/>
      <c r="K46" s="16"/>
      <c r="L46" s="16"/>
      <c r="M46" s="16"/>
      <c r="N46" s="16"/>
      <c r="O46" s="489"/>
      <c r="P46" s="489"/>
      <c r="Q46" s="489"/>
      <c r="R46" s="489"/>
      <c r="S46" s="489"/>
      <c r="T46" s="489"/>
    </row>
    <row r="47" spans="1:20" ht="15.5">
      <c r="A47" s="104">
        <v>38</v>
      </c>
      <c r="B47" s="120" t="str">
        <f>IF(Alapanyagok!P49=Auswahldaten!$A$12,Alapanyagok!B49,"")</f>
        <v/>
      </c>
      <c r="C47" s="116" t="str">
        <f>IF(Alapanyagok!P49=Auswahldaten!$A$12,Alapanyagok!I49,"")</f>
        <v/>
      </c>
      <c r="D47" s="116" t="str">
        <f>IF(Alapanyagok!P49=Auswahldaten!$A$12,Alapanyagok!H49,"")</f>
        <v/>
      </c>
      <c r="E47" s="117"/>
      <c r="F47" s="296"/>
      <c r="G47" s="109" t="str">
        <f>IF(OR(E47=Fordítások!$C$129,E47=Fordítások!$B$129),($C$7*C47*F47/100)/100,IF(OR(E47=Fordítások!$C$130,E47=Fordítások!$B$130),($C$7*(C47/(Alapanyagok!E49/100)))/100,""))</f>
        <v/>
      </c>
      <c r="H47" s="52"/>
      <c r="I47" s="16"/>
      <c r="J47" s="16"/>
      <c r="K47" s="16"/>
      <c r="L47" s="16"/>
      <c r="M47" s="16"/>
      <c r="N47" s="16"/>
      <c r="O47" s="489"/>
      <c r="P47" s="489"/>
      <c r="Q47" s="489"/>
      <c r="R47" s="489"/>
      <c r="S47" s="489"/>
      <c r="T47" s="489"/>
    </row>
    <row r="48" spans="1:20" ht="15.5">
      <c r="A48" s="104">
        <v>39</v>
      </c>
      <c r="B48" s="120" t="str">
        <f>IF(Alapanyagok!P50=Auswahldaten!$A$12,Alapanyagok!B50,"")</f>
        <v/>
      </c>
      <c r="C48" s="116" t="str">
        <f>IF(Alapanyagok!P50=Auswahldaten!$A$12,Alapanyagok!I50,"")</f>
        <v/>
      </c>
      <c r="D48" s="116" t="str">
        <f>IF(Alapanyagok!P50=Auswahldaten!$A$12,Alapanyagok!H50,"")</f>
        <v/>
      </c>
      <c r="E48" s="117"/>
      <c r="F48" s="296"/>
      <c r="G48" s="109" t="str">
        <f>IF(OR(E48=Fordítások!$C$129,E48=Fordítások!$B$129),($C$7*C48*F48/100)/100,IF(OR(E48=Fordítások!$C$130,E48=Fordítások!$B$130),($C$7*(C48/(Alapanyagok!E50/100)))/100,""))</f>
        <v/>
      </c>
      <c r="H48" s="52"/>
      <c r="I48" s="16"/>
      <c r="J48" s="16"/>
      <c r="K48" s="16"/>
      <c r="L48" s="16"/>
      <c r="M48" s="16"/>
      <c r="N48" s="16"/>
      <c r="O48" s="489"/>
      <c r="P48" s="489"/>
      <c r="Q48" s="489"/>
      <c r="R48" s="489"/>
      <c r="S48" s="489"/>
      <c r="T48" s="489"/>
    </row>
    <row r="49" spans="1:20" ht="15.5">
      <c r="A49" s="104">
        <v>40</v>
      </c>
      <c r="B49" s="120" t="str">
        <f>IF(Alapanyagok!P51=Auswahldaten!$A$12,Alapanyagok!B51,"")</f>
        <v/>
      </c>
      <c r="C49" s="116" t="str">
        <f>IF(Alapanyagok!P51=Auswahldaten!$A$12,Alapanyagok!I51,"")</f>
        <v/>
      </c>
      <c r="D49" s="116" t="str">
        <f>IF(Alapanyagok!P51=Auswahldaten!$A$12,Alapanyagok!H51,"")</f>
        <v/>
      </c>
      <c r="E49" s="117"/>
      <c r="F49" s="296"/>
      <c r="G49" s="109" t="str">
        <f>IF(OR(E49=Fordítások!$C$129,E49=Fordítások!$B$129),($C$7*C49*F49/100)/100,IF(OR(E49=Fordítások!$C$130,E49=Fordítások!$B$130),($C$7*(C49/(Alapanyagok!E51/100)))/100,""))</f>
        <v/>
      </c>
      <c r="H49" s="52"/>
      <c r="I49" s="16"/>
      <c r="J49" s="16"/>
      <c r="K49" s="16"/>
      <c r="L49" s="16"/>
      <c r="M49" s="16"/>
      <c r="N49" s="16"/>
      <c r="O49" s="489"/>
      <c r="P49" s="489"/>
      <c r="Q49" s="489"/>
      <c r="R49" s="489"/>
      <c r="S49" s="489"/>
      <c r="T49" s="489"/>
    </row>
    <row r="50" spans="1:20" ht="15.5">
      <c r="A50" s="104">
        <v>41</v>
      </c>
      <c r="B50" s="120" t="str">
        <f>IF(Alapanyagok!P52=Auswahldaten!$A$12,Alapanyagok!B52,"")</f>
        <v/>
      </c>
      <c r="C50" s="116" t="str">
        <f>IF(Alapanyagok!P52=Auswahldaten!$A$12,Alapanyagok!I52,"")</f>
        <v/>
      </c>
      <c r="D50" s="116" t="str">
        <f>IF(Alapanyagok!P52=Auswahldaten!$A$12,Alapanyagok!H52,"")</f>
        <v/>
      </c>
      <c r="E50" s="117"/>
      <c r="F50" s="296"/>
      <c r="G50" s="109" t="str">
        <f>IF(OR(E50=Fordítások!$C$129,E50=Fordítások!$B$129),($C$7*C50*F50/100)/100,IF(OR(E50=Fordítások!$C$130,E50=Fordítások!$B$130),($C$7*(C50/(Alapanyagok!E52/100)))/100,""))</f>
        <v/>
      </c>
      <c r="H50" s="52"/>
      <c r="I50" s="16"/>
      <c r="J50" s="16"/>
      <c r="K50" s="16"/>
      <c r="L50" s="16"/>
      <c r="M50" s="16"/>
      <c r="N50" s="16"/>
      <c r="O50" s="489"/>
      <c r="P50" s="489"/>
      <c r="Q50" s="489"/>
      <c r="R50" s="489"/>
      <c r="S50" s="489"/>
      <c r="T50" s="489"/>
    </row>
    <row r="51" spans="1:20" ht="15.5">
      <c r="A51" s="104">
        <v>42</v>
      </c>
      <c r="B51" s="120" t="str">
        <f>IF(Alapanyagok!P53=Auswahldaten!$A$12,Alapanyagok!B53,"")</f>
        <v/>
      </c>
      <c r="C51" s="116" t="str">
        <f>IF(Alapanyagok!P53=Auswahldaten!$A$12,Alapanyagok!I53,"")</f>
        <v/>
      </c>
      <c r="D51" s="116" t="str">
        <f>IF(Alapanyagok!P53=Auswahldaten!$A$12,Alapanyagok!H53,"")</f>
        <v/>
      </c>
      <c r="E51" s="117"/>
      <c r="F51" s="296"/>
      <c r="G51" s="109" t="str">
        <f>IF(OR(E51=Fordítások!$C$129,E51=Fordítások!$B$129),($C$7*C51*F51/100)/100,IF(OR(E51=Fordítások!$C$130,E51=Fordítások!$B$130),($C$7*(C51/(Alapanyagok!E53/100)))/100,""))</f>
        <v/>
      </c>
      <c r="H51" s="52"/>
      <c r="I51" s="16"/>
      <c r="J51" s="16"/>
      <c r="K51" s="16"/>
      <c r="L51" s="16"/>
      <c r="M51" s="16"/>
      <c r="N51" s="16"/>
      <c r="O51" s="489"/>
      <c r="P51" s="489"/>
      <c r="Q51" s="489"/>
      <c r="R51" s="489"/>
      <c r="S51" s="489"/>
      <c r="T51" s="489"/>
    </row>
    <row r="52" spans="1:20" ht="15.5">
      <c r="A52" s="104">
        <v>43</v>
      </c>
      <c r="B52" s="120" t="str">
        <f>IF(Alapanyagok!P54=Auswahldaten!$A$12,Alapanyagok!B54,"")</f>
        <v/>
      </c>
      <c r="C52" s="116" t="str">
        <f>IF(Alapanyagok!P54=Auswahldaten!$A$12,Alapanyagok!I54,"")</f>
        <v/>
      </c>
      <c r="D52" s="116" t="str">
        <f>IF(Alapanyagok!P54=Auswahldaten!$A$12,Alapanyagok!H54,"")</f>
        <v/>
      </c>
      <c r="E52" s="117"/>
      <c r="F52" s="296"/>
      <c r="G52" s="109" t="str">
        <f>IF(OR(E52=Fordítások!$C$129,E52=Fordítások!$B$129),($C$7*C52*F52/100)/100,IF(OR(E52=Fordítások!$C$130,E52=Fordítások!$B$130),($C$7*(C52/(Alapanyagok!E54/100)))/100,""))</f>
        <v/>
      </c>
      <c r="H52" s="52"/>
      <c r="I52" s="16"/>
      <c r="J52" s="16"/>
      <c r="K52" s="16"/>
      <c r="L52" s="16"/>
      <c r="M52" s="16"/>
      <c r="N52" s="16"/>
      <c r="O52" s="489"/>
      <c r="P52" s="489"/>
      <c r="Q52" s="489"/>
      <c r="R52" s="489"/>
      <c r="S52" s="489"/>
      <c r="T52" s="489"/>
    </row>
    <row r="53" spans="1:20" ht="15.5">
      <c r="A53" s="104">
        <v>44</v>
      </c>
      <c r="B53" s="120" t="str">
        <f>IF(Alapanyagok!P55=Auswahldaten!$A$12,Alapanyagok!B55,"")</f>
        <v/>
      </c>
      <c r="C53" s="116" t="str">
        <f>IF(Alapanyagok!P55=Auswahldaten!$A$12,Alapanyagok!I55,"")</f>
        <v/>
      </c>
      <c r="D53" s="116" t="str">
        <f>IF(Alapanyagok!P55=Auswahldaten!$A$12,Alapanyagok!H55,"")</f>
        <v/>
      </c>
      <c r="E53" s="117"/>
      <c r="F53" s="296"/>
      <c r="G53" s="109" t="str">
        <f>IF(OR(E53=Fordítások!$C$129,E53=Fordítások!$B$129),($C$7*C53*F53/100)/100,IF(OR(E53=Fordítások!$C$130,E53=Fordítások!$B$130),($C$7*(C53/(Alapanyagok!E55/100)))/100,""))</f>
        <v/>
      </c>
      <c r="H53" s="52"/>
      <c r="I53" s="16"/>
      <c r="J53" s="16"/>
      <c r="K53" s="16"/>
      <c r="L53" s="16"/>
      <c r="M53" s="16"/>
      <c r="N53" s="16"/>
      <c r="O53" s="489"/>
      <c r="P53" s="489"/>
      <c r="Q53" s="489"/>
      <c r="R53" s="489"/>
      <c r="S53" s="489"/>
      <c r="T53" s="489"/>
    </row>
    <row r="54" spans="1:20" ht="15.5">
      <c r="A54" s="104">
        <v>45</v>
      </c>
      <c r="B54" s="120" t="str">
        <f>IF(Alapanyagok!P56=Auswahldaten!$A$12,Alapanyagok!B56,"")</f>
        <v/>
      </c>
      <c r="C54" s="116" t="str">
        <f>IF(Alapanyagok!P56=Auswahldaten!$A$12,Alapanyagok!I56,"")</f>
        <v/>
      </c>
      <c r="D54" s="116" t="str">
        <f>IF(Alapanyagok!P56=Auswahldaten!$A$12,Alapanyagok!H56,"")</f>
        <v/>
      </c>
      <c r="E54" s="117"/>
      <c r="F54" s="296"/>
      <c r="G54" s="109" t="str">
        <f>IF(OR(E54=Fordítások!$C$129,E54=Fordítások!$B$129),($C$7*C54*F54/100)/100,IF(OR(E54=Fordítások!$C$130,E54=Fordítások!$B$130),($C$7*(C54/(Alapanyagok!E56/100)))/100,""))</f>
        <v/>
      </c>
      <c r="H54" s="52"/>
      <c r="I54" s="16"/>
      <c r="J54" s="16"/>
      <c r="K54" s="16"/>
      <c r="L54" s="16"/>
      <c r="M54" s="16"/>
      <c r="N54" s="16"/>
      <c r="O54" s="489"/>
      <c r="P54" s="489"/>
      <c r="Q54" s="489"/>
      <c r="R54" s="489"/>
      <c r="S54" s="489"/>
      <c r="T54" s="489"/>
    </row>
    <row r="55" spans="1:20" ht="15.5">
      <c r="A55" s="104">
        <v>46</v>
      </c>
      <c r="B55" s="120" t="str">
        <f>IF(Alapanyagok!P57=Auswahldaten!$A$12,Alapanyagok!B57,"")</f>
        <v/>
      </c>
      <c r="C55" s="116" t="str">
        <f>IF(Alapanyagok!P57=Auswahldaten!$A$12,Alapanyagok!I57,"")</f>
        <v/>
      </c>
      <c r="D55" s="116" t="str">
        <f>IF(Alapanyagok!P57=Auswahldaten!$A$12,Alapanyagok!H57,"")</f>
        <v/>
      </c>
      <c r="E55" s="117"/>
      <c r="F55" s="296"/>
      <c r="G55" s="109" t="str">
        <f>IF(OR(E55=Fordítások!$C$129,E55=Fordítások!$B$129),($C$7*C55*F55/100)/100,IF(OR(E55=Fordítások!$C$130,E55=Fordítások!$B$130),($C$7*(C55/(Alapanyagok!E57/100)))/100,""))</f>
        <v/>
      </c>
      <c r="H55" s="52"/>
      <c r="I55" s="16"/>
      <c r="J55" s="16"/>
      <c r="K55" s="16"/>
      <c r="L55" s="16"/>
      <c r="M55" s="16"/>
      <c r="N55" s="16"/>
      <c r="O55" s="489"/>
      <c r="P55" s="489"/>
      <c r="Q55" s="489"/>
      <c r="R55" s="489"/>
      <c r="S55" s="489"/>
      <c r="T55" s="489"/>
    </row>
    <row r="56" spans="1:20" ht="15.5">
      <c r="A56" s="104">
        <v>47</v>
      </c>
      <c r="B56" s="120" t="str">
        <f>IF(Alapanyagok!P58=Auswahldaten!$A$12,Alapanyagok!B58,"")</f>
        <v/>
      </c>
      <c r="C56" s="116" t="str">
        <f>IF(Alapanyagok!P58=Auswahldaten!$A$12,Alapanyagok!I58,"")</f>
        <v/>
      </c>
      <c r="D56" s="116" t="str">
        <f>IF(Alapanyagok!P58=Auswahldaten!$A$12,Alapanyagok!H58,"")</f>
        <v/>
      </c>
      <c r="E56" s="117"/>
      <c r="F56" s="296"/>
      <c r="G56" s="109" t="str">
        <f>IF(OR(E56=Fordítások!$C$129,E56=Fordítások!$B$129),($C$7*C56*F56/100)/100,IF(OR(E56=Fordítások!$C$130,E56=Fordítások!$B$130),($C$7*(C56/(Alapanyagok!E58/100)))/100,""))</f>
        <v/>
      </c>
      <c r="H56" s="52"/>
      <c r="I56" s="16"/>
      <c r="J56" s="16"/>
      <c r="K56" s="16"/>
      <c r="L56" s="16"/>
      <c r="M56" s="16"/>
      <c r="N56" s="16"/>
      <c r="O56" s="489"/>
      <c r="P56" s="489"/>
      <c r="Q56" s="489"/>
      <c r="R56" s="489"/>
      <c r="S56" s="489"/>
      <c r="T56" s="489"/>
    </row>
    <row r="57" spans="1:20" ht="15.5">
      <c r="A57" s="104">
        <v>48</v>
      </c>
      <c r="B57" s="120" t="str">
        <f>IF(Alapanyagok!P59=Auswahldaten!$A$12,Alapanyagok!B59,"")</f>
        <v/>
      </c>
      <c r="C57" s="116" t="str">
        <f>IF(Alapanyagok!P59=Auswahldaten!$A$12,Alapanyagok!I59,"")</f>
        <v/>
      </c>
      <c r="D57" s="116" t="str">
        <f>IF(Alapanyagok!P59=Auswahldaten!$A$12,Alapanyagok!H59,"")</f>
        <v/>
      </c>
      <c r="E57" s="117"/>
      <c r="F57" s="296"/>
      <c r="G57" s="109" t="str">
        <f>IF(OR(E57=Fordítások!$C$129,E57=Fordítások!$B$129),($C$7*C57*F57/100)/100,IF(OR(E57=Fordítások!$C$130,E57=Fordítások!$B$130),($C$7*(C57/(Alapanyagok!E59/100)))/100,""))</f>
        <v/>
      </c>
      <c r="H57" s="52"/>
      <c r="I57" s="16"/>
      <c r="J57" s="16"/>
      <c r="K57" s="16"/>
      <c r="L57" s="16"/>
      <c r="M57" s="16"/>
      <c r="N57" s="16"/>
      <c r="O57" s="489"/>
      <c r="P57" s="489"/>
      <c r="Q57" s="489"/>
      <c r="R57" s="489"/>
      <c r="S57" s="489"/>
      <c r="T57" s="489"/>
    </row>
    <row r="58" spans="1:20" ht="15.5">
      <c r="A58" s="104">
        <v>49</v>
      </c>
      <c r="B58" s="120" t="str">
        <f>IF(Alapanyagok!P60=Auswahldaten!$A$12,Alapanyagok!B60,"")</f>
        <v/>
      </c>
      <c r="C58" s="116" t="str">
        <f>IF(Alapanyagok!P60=Auswahldaten!$A$12,Alapanyagok!I60,"")</f>
        <v/>
      </c>
      <c r="D58" s="116" t="str">
        <f>IF(Alapanyagok!P60=Auswahldaten!$A$12,Alapanyagok!H60,"")</f>
        <v/>
      </c>
      <c r="E58" s="117"/>
      <c r="F58" s="296"/>
      <c r="G58" s="109" t="str">
        <f>IF(OR(E58=Fordítások!$C$129,E58=Fordítások!$B$129),($C$7*C58*F58/100)/100,IF(OR(E58=Fordítások!$C$130,E58=Fordítások!$B$130),($C$7*(C58/(Alapanyagok!E60/100)))/100,""))</f>
        <v/>
      </c>
      <c r="H58" s="52"/>
      <c r="I58" s="16"/>
      <c r="J58" s="16"/>
      <c r="K58" s="16"/>
      <c r="L58" s="16"/>
      <c r="M58" s="16"/>
      <c r="N58" s="16"/>
      <c r="O58" s="489"/>
      <c r="P58" s="489"/>
      <c r="Q58" s="489"/>
      <c r="R58" s="489"/>
      <c r="S58" s="489"/>
      <c r="T58" s="489"/>
    </row>
    <row r="59" spans="1:20" ht="15.5">
      <c r="A59" s="104">
        <v>50</v>
      </c>
      <c r="B59" s="120" t="str">
        <f>IF(Alapanyagok!P61=Auswahldaten!$A$12,Alapanyagok!B61,"")</f>
        <v/>
      </c>
      <c r="C59" s="116" t="str">
        <f>IF(Alapanyagok!P61=Auswahldaten!$A$12,Alapanyagok!I61,"")</f>
        <v/>
      </c>
      <c r="D59" s="116" t="str">
        <f>IF(Alapanyagok!P61=Auswahldaten!$A$12,Alapanyagok!H61,"")</f>
        <v/>
      </c>
      <c r="E59" s="117"/>
      <c r="F59" s="296"/>
      <c r="G59" s="109" t="str">
        <f>IF(OR(E59=Fordítások!$C$129,E59=Fordítások!$B$129),($C$7*C59*F59/100)/100,IF(OR(E59=Fordítások!$C$130,E59=Fordítások!$B$130),($C$7*(C59/(Alapanyagok!E61/100)))/100,""))</f>
        <v/>
      </c>
      <c r="H59" s="52"/>
      <c r="I59" s="16"/>
      <c r="J59" s="16"/>
      <c r="K59" s="16"/>
      <c r="L59" s="16"/>
      <c r="M59" s="16"/>
      <c r="N59" s="16"/>
      <c r="O59" s="489"/>
      <c r="P59" s="489"/>
      <c r="Q59" s="489"/>
      <c r="R59" s="489"/>
      <c r="S59" s="489"/>
      <c r="T59" s="489"/>
    </row>
    <row r="60" spans="1:67" s="91" customFormat="1" ht="15.5">
      <c r="A60" s="110"/>
      <c r="B60" s="118" t="str">
        <f>Összetétel!B62</f>
        <v>Összesen:</v>
      </c>
      <c r="C60" s="119">
        <f aca="true" t="shared" si="0" ref="C60">SUM(C11:C59)</f>
        <v>0</v>
      </c>
      <c r="D60" s="111"/>
      <c r="E60" s="112"/>
      <c r="F60" s="112"/>
      <c r="G60" s="112"/>
      <c r="H60" s="113"/>
      <c r="I60" s="78"/>
      <c r="J60" s="78"/>
      <c r="K60" s="78"/>
      <c r="L60" s="78"/>
      <c r="M60" s="78"/>
      <c r="N60" s="78"/>
      <c r="O60" s="860"/>
      <c r="P60" s="860"/>
      <c r="Q60" s="860"/>
      <c r="R60" s="860"/>
      <c r="S60" s="860"/>
      <c r="T60" s="860"/>
      <c r="U60" s="745"/>
      <c r="V60" s="745"/>
      <c r="W60" s="745"/>
      <c r="X60" s="745"/>
      <c r="Y60" s="745"/>
      <c r="Z60" s="745"/>
      <c r="AA60" s="745"/>
      <c r="AB60" s="745"/>
      <c r="AC60" s="745"/>
      <c r="AD60" s="745"/>
      <c r="AE60" s="745"/>
      <c r="AF60" s="745"/>
      <c r="AG60" s="745"/>
      <c r="AH60" s="745"/>
      <c r="AI60" s="745"/>
      <c r="AJ60" s="745"/>
      <c r="AK60" s="745"/>
      <c r="AL60" s="745"/>
      <c r="AM60" s="745"/>
      <c r="AN60" s="745"/>
      <c r="AO60" s="745"/>
      <c r="AP60" s="745"/>
      <c r="AQ60" s="745"/>
      <c r="AR60" s="745"/>
      <c r="AS60" s="745"/>
      <c r="AT60" s="745"/>
      <c r="AU60" s="745"/>
      <c r="AV60" s="745"/>
      <c r="AW60" s="745"/>
      <c r="AX60" s="745"/>
      <c r="AY60" s="745"/>
      <c r="AZ60" s="745"/>
      <c r="BA60" s="745"/>
      <c r="BB60" s="745"/>
      <c r="BC60" s="745"/>
      <c r="BD60" s="745"/>
      <c r="BE60" s="745"/>
      <c r="BF60" s="745"/>
      <c r="BG60" s="745"/>
      <c r="BH60" s="745"/>
      <c r="BI60" s="745"/>
      <c r="BJ60" s="745"/>
      <c r="BK60" s="745"/>
      <c r="BL60" s="745"/>
      <c r="BM60" s="745"/>
      <c r="BN60" s="745"/>
      <c r="BO60" s="745"/>
    </row>
    <row r="61" spans="1:67" s="91" customFormat="1" ht="15.5">
      <c r="A61" s="112"/>
      <c r="B61" s="48" t="str">
        <f>IF(Adatlap!$L$1=Fordítások!C3,Fordítások!C169,Fordítások!B169)</f>
        <v>2) Csak a pálmaolajat / pálmamagolajat tartalmazó alapanyagok láthatók</v>
      </c>
      <c r="C61" s="112"/>
      <c r="D61" s="111"/>
      <c r="E61" s="111"/>
      <c r="F61" s="111"/>
      <c r="G61" s="112"/>
      <c r="H61" s="113"/>
      <c r="I61" s="78"/>
      <c r="J61" s="78"/>
      <c r="K61" s="78"/>
      <c r="L61" s="78"/>
      <c r="M61" s="78"/>
      <c r="N61" s="78"/>
      <c r="O61" s="860"/>
      <c r="P61" s="860"/>
      <c r="Q61" s="860"/>
      <c r="R61" s="860"/>
      <c r="S61" s="860"/>
      <c r="T61" s="860"/>
      <c r="U61" s="745"/>
      <c r="V61" s="745"/>
      <c r="W61" s="745"/>
      <c r="X61" s="745"/>
      <c r="Y61" s="745"/>
      <c r="Z61" s="745"/>
      <c r="AA61" s="745"/>
      <c r="AB61" s="745"/>
      <c r="AC61" s="745"/>
      <c r="AD61" s="745"/>
      <c r="AE61" s="745"/>
      <c r="AF61" s="745"/>
      <c r="AG61" s="745"/>
      <c r="AH61" s="745"/>
      <c r="AI61" s="745"/>
      <c r="AJ61" s="745"/>
      <c r="AK61" s="745"/>
      <c r="AL61" s="745"/>
      <c r="AM61" s="745"/>
      <c r="AN61" s="745"/>
      <c r="AO61" s="745"/>
      <c r="AP61" s="745"/>
      <c r="AQ61" s="745"/>
      <c r="AR61" s="745"/>
      <c r="AS61" s="745"/>
      <c r="AT61" s="745"/>
      <c r="AU61" s="745"/>
      <c r="AV61" s="745"/>
      <c r="AW61" s="745"/>
      <c r="AX61" s="745"/>
      <c r="AY61" s="745"/>
      <c r="AZ61" s="745"/>
      <c r="BA61" s="745"/>
      <c r="BB61" s="745"/>
      <c r="BC61" s="745"/>
      <c r="BD61" s="745"/>
      <c r="BE61" s="745"/>
      <c r="BF61" s="745"/>
      <c r="BG61" s="745"/>
      <c r="BH61" s="745"/>
      <c r="BI61" s="745"/>
      <c r="BJ61" s="745"/>
      <c r="BK61" s="745"/>
      <c r="BL61" s="745"/>
      <c r="BM61" s="745"/>
      <c r="BN61" s="745"/>
      <c r="BO61" s="745"/>
    </row>
    <row r="62" spans="1:67" s="91" customFormat="1" ht="15.5">
      <c r="A62" s="112"/>
      <c r="B62" s="111"/>
      <c r="C62" s="112"/>
      <c r="D62" s="111"/>
      <c r="E62" s="111"/>
      <c r="F62" s="111"/>
      <c r="G62" s="112"/>
      <c r="H62" s="113"/>
      <c r="I62" s="78"/>
      <c r="J62" s="78"/>
      <c r="K62" s="78"/>
      <c r="L62" s="78"/>
      <c r="M62" s="78"/>
      <c r="N62" s="78"/>
      <c r="O62" s="860"/>
      <c r="P62" s="860"/>
      <c r="Q62" s="860"/>
      <c r="R62" s="860"/>
      <c r="S62" s="860"/>
      <c r="T62" s="860"/>
      <c r="U62" s="745"/>
      <c r="V62" s="745"/>
      <c r="W62" s="745"/>
      <c r="X62" s="745"/>
      <c r="Y62" s="745"/>
      <c r="Z62" s="745"/>
      <c r="AA62" s="745"/>
      <c r="AB62" s="745"/>
      <c r="AC62" s="745"/>
      <c r="AD62" s="745"/>
      <c r="AE62" s="745"/>
      <c r="AF62" s="745"/>
      <c r="AG62" s="745"/>
      <c r="AH62" s="745"/>
      <c r="AI62" s="745"/>
      <c r="AJ62" s="745"/>
      <c r="AK62" s="745"/>
      <c r="AL62" s="745"/>
      <c r="AM62" s="745"/>
      <c r="AN62" s="745"/>
      <c r="AO62" s="745"/>
      <c r="AP62" s="745"/>
      <c r="AQ62" s="745"/>
      <c r="AR62" s="745"/>
      <c r="AS62" s="745"/>
      <c r="AT62" s="745"/>
      <c r="AU62" s="745"/>
      <c r="AV62" s="745"/>
      <c r="AW62" s="745"/>
      <c r="AX62" s="745"/>
      <c r="AY62" s="745"/>
      <c r="AZ62" s="745"/>
      <c r="BA62" s="745"/>
      <c r="BB62" s="745"/>
      <c r="BC62" s="745"/>
      <c r="BD62" s="745"/>
      <c r="BE62" s="745"/>
      <c r="BF62" s="745"/>
      <c r="BG62" s="745"/>
      <c r="BH62" s="745"/>
      <c r="BI62" s="745"/>
      <c r="BJ62" s="745"/>
      <c r="BK62" s="745"/>
      <c r="BL62" s="745"/>
      <c r="BM62" s="745"/>
      <c r="BN62" s="745"/>
      <c r="BO62" s="745"/>
    </row>
    <row r="63" spans="1:67" s="91" customFormat="1" ht="46.5" customHeight="1">
      <c r="A63" s="114"/>
      <c r="B63" s="1089" t="str">
        <f>Összetétel!B67:H67</f>
        <v>A pályázó megjegyzései</v>
      </c>
      <c r="C63" s="1090"/>
      <c r="D63" s="1090"/>
      <c r="E63" s="1090"/>
      <c r="F63" s="1090"/>
      <c r="G63" s="1091"/>
      <c r="H63" s="113"/>
      <c r="I63" s="78"/>
      <c r="J63" s="78"/>
      <c r="K63" s="78"/>
      <c r="L63" s="78"/>
      <c r="M63" s="78"/>
      <c r="N63" s="78"/>
      <c r="O63" s="860"/>
      <c r="P63" s="860"/>
      <c r="Q63" s="860"/>
      <c r="R63" s="860"/>
      <c r="S63" s="860"/>
      <c r="T63" s="860"/>
      <c r="U63" s="745"/>
      <c r="V63" s="745"/>
      <c r="W63" s="745"/>
      <c r="X63" s="745"/>
      <c r="Y63" s="745"/>
      <c r="Z63" s="745"/>
      <c r="AA63" s="745"/>
      <c r="AB63" s="745"/>
      <c r="AC63" s="745"/>
      <c r="AD63" s="745"/>
      <c r="AE63" s="745"/>
      <c r="AF63" s="745"/>
      <c r="AG63" s="745"/>
      <c r="AH63" s="745"/>
      <c r="AI63" s="745"/>
      <c r="AJ63" s="745"/>
      <c r="AK63" s="745"/>
      <c r="AL63" s="745"/>
      <c r="AM63" s="745"/>
      <c r="AN63" s="745"/>
      <c r="AO63" s="745"/>
      <c r="AP63" s="745"/>
      <c r="AQ63" s="745"/>
      <c r="AR63" s="745"/>
      <c r="AS63" s="745"/>
      <c r="AT63" s="745"/>
      <c r="AU63" s="745"/>
      <c r="AV63" s="745"/>
      <c r="AW63" s="745"/>
      <c r="AX63" s="745"/>
      <c r="AY63" s="745"/>
      <c r="AZ63" s="745"/>
      <c r="BA63" s="745"/>
      <c r="BB63" s="745"/>
      <c r="BC63" s="745"/>
      <c r="BD63" s="745"/>
      <c r="BE63" s="745"/>
      <c r="BF63" s="745"/>
      <c r="BG63" s="745"/>
      <c r="BH63" s="745"/>
      <c r="BI63" s="745"/>
      <c r="BJ63" s="745"/>
      <c r="BK63" s="745"/>
      <c r="BL63" s="745"/>
      <c r="BM63" s="745"/>
      <c r="BN63" s="745"/>
      <c r="BO63" s="745"/>
    </row>
    <row r="64" spans="1:20" ht="15.5">
      <c r="A64" s="51"/>
      <c r="B64" s="52"/>
      <c r="C64" s="51"/>
      <c r="D64" s="52"/>
      <c r="E64" s="52"/>
      <c r="F64" s="52"/>
      <c r="G64" s="53"/>
      <c r="H64" s="52"/>
      <c r="I64" s="16"/>
      <c r="J64" s="16"/>
      <c r="K64" s="16"/>
      <c r="L64" s="16"/>
      <c r="M64" s="16"/>
      <c r="N64" s="16"/>
      <c r="O64" s="489"/>
      <c r="P64" s="489"/>
      <c r="Q64" s="489"/>
      <c r="R64" s="489"/>
      <c r="S64" s="489"/>
      <c r="T64" s="489"/>
    </row>
    <row r="65" spans="1:20" ht="15.5">
      <c r="A65" s="51"/>
      <c r="B65" s="52"/>
      <c r="C65" s="51"/>
      <c r="D65" s="52"/>
      <c r="E65" s="52"/>
      <c r="F65" s="52"/>
      <c r="G65" s="53"/>
      <c r="H65" s="52"/>
      <c r="I65" s="16"/>
      <c r="J65" s="16"/>
      <c r="K65" s="16"/>
      <c r="L65" s="16"/>
      <c r="M65" s="16"/>
      <c r="N65" s="16"/>
      <c r="O65" s="489"/>
      <c r="P65" s="489"/>
      <c r="Q65" s="489"/>
      <c r="R65" s="489"/>
      <c r="S65" s="489"/>
      <c r="T65" s="489"/>
    </row>
    <row r="66" spans="1:20" ht="15.5">
      <c r="A66" s="51"/>
      <c r="B66" s="52"/>
      <c r="C66" s="51"/>
      <c r="D66" s="52"/>
      <c r="E66" s="52"/>
      <c r="F66" s="52"/>
      <c r="G66" s="53"/>
      <c r="H66" s="52"/>
      <c r="I66" s="16"/>
      <c r="J66" s="16"/>
      <c r="K66" s="16"/>
      <c r="L66" s="16"/>
      <c r="M66" s="16"/>
      <c r="N66" s="16"/>
      <c r="O66" s="489"/>
      <c r="P66" s="489"/>
      <c r="Q66" s="489"/>
      <c r="R66" s="489"/>
      <c r="S66" s="489"/>
      <c r="T66" s="489"/>
    </row>
    <row r="67" spans="1:20" ht="15.5">
      <c r="A67" s="51"/>
      <c r="B67" s="52"/>
      <c r="C67" s="51"/>
      <c r="D67" s="52"/>
      <c r="E67" s="52"/>
      <c r="F67" s="52"/>
      <c r="G67" s="53"/>
      <c r="H67" s="52"/>
      <c r="I67" s="16"/>
      <c r="J67" s="16"/>
      <c r="K67" s="16"/>
      <c r="L67" s="16"/>
      <c r="M67" s="16"/>
      <c r="N67" s="16"/>
      <c r="O67" s="489"/>
      <c r="P67" s="489"/>
      <c r="Q67" s="489"/>
      <c r="R67" s="489"/>
      <c r="S67" s="489"/>
      <c r="T67" s="489"/>
    </row>
    <row r="68" spans="1:20" ht="15.5">
      <c r="A68" s="51"/>
      <c r="B68" s="52"/>
      <c r="C68" s="51"/>
      <c r="D68" s="52"/>
      <c r="E68" s="52"/>
      <c r="F68" s="52"/>
      <c r="G68" s="53"/>
      <c r="H68" s="52"/>
      <c r="I68" s="16"/>
      <c r="J68" s="16"/>
      <c r="K68" s="16"/>
      <c r="L68" s="16"/>
      <c r="M68" s="16"/>
      <c r="N68" s="16"/>
      <c r="O68" s="489"/>
      <c r="P68" s="489"/>
      <c r="Q68" s="489"/>
      <c r="R68" s="489"/>
      <c r="S68" s="489"/>
      <c r="T68" s="489"/>
    </row>
    <row r="69" spans="1:20" ht="15.5">
      <c r="A69" s="51"/>
      <c r="B69" s="52"/>
      <c r="C69" s="51"/>
      <c r="D69" s="52"/>
      <c r="E69" s="52"/>
      <c r="F69" s="52"/>
      <c r="G69" s="53"/>
      <c r="H69" s="52"/>
      <c r="I69" s="16"/>
      <c r="J69" s="16"/>
      <c r="K69" s="16"/>
      <c r="L69" s="16"/>
      <c r="M69" s="16"/>
      <c r="N69" s="16"/>
      <c r="O69" s="489"/>
      <c r="P69" s="489"/>
      <c r="Q69" s="489"/>
      <c r="R69" s="489"/>
      <c r="S69" s="489"/>
      <c r="T69" s="489"/>
    </row>
    <row r="70" spans="1:20" ht="15.5">
      <c r="A70" s="51"/>
      <c r="B70" s="52"/>
      <c r="C70" s="51"/>
      <c r="D70" s="52"/>
      <c r="E70" s="52"/>
      <c r="F70" s="52"/>
      <c r="G70" s="53"/>
      <c r="H70" s="52"/>
      <c r="I70" s="16"/>
      <c r="J70" s="16"/>
      <c r="K70" s="16"/>
      <c r="L70" s="16"/>
      <c r="M70" s="16"/>
      <c r="N70" s="16"/>
      <c r="O70" s="489"/>
      <c r="P70" s="489"/>
      <c r="Q70" s="489"/>
      <c r="R70" s="489"/>
      <c r="S70" s="489"/>
      <c r="T70" s="489"/>
    </row>
    <row r="71" spans="1:20" ht="15.5">
      <c r="A71" s="51"/>
      <c r="B71" s="52"/>
      <c r="C71" s="51"/>
      <c r="D71" s="52"/>
      <c r="E71" s="52"/>
      <c r="F71" s="52"/>
      <c r="G71" s="53"/>
      <c r="H71" s="52"/>
      <c r="I71" s="16"/>
      <c r="J71" s="16"/>
      <c r="K71" s="16"/>
      <c r="L71" s="16"/>
      <c r="M71" s="16"/>
      <c r="N71" s="16"/>
      <c r="O71" s="489"/>
      <c r="P71" s="489"/>
      <c r="Q71" s="489"/>
      <c r="R71" s="489"/>
      <c r="S71" s="489"/>
      <c r="T71" s="489"/>
    </row>
    <row r="72" spans="1:20" ht="15.5">
      <c r="A72" s="51"/>
      <c r="B72" s="52"/>
      <c r="C72" s="51"/>
      <c r="D72" s="52"/>
      <c r="E72" s="52"/>
      <c r="F72" s="52"/>
      <c r="G72" s="53"/>
      <c r="H72" s="52"/>
      <c r="I72" s="16"/>
      <c r="J72" s="16"/>
      <c r="K72" s="16"/>
      <c r="L72" s="16"/>
      <c r="M72" s="16"/>
      <c r="N72" s="16"/>
      <c r="O72" s="489"/>
      <c r="P72" s="489"/>
      <c r="Q72" s="489"/>
      <c r="R72" s="489"/>
      <c r="S72" s="489"/>
      <c r="T72" s="489"/>
    </row>
    <row r="73" spans="1:20" ht="15.5">
      <c r="A73" s="51"/>
      <c r="B73" s="52"/>
      <c r="C73" s="51"/>
      <c r="D73" s="52"/>
      <c r="E73" s="52"/>
      <c r="F73" s="52"/>
      <c r="G73" s="53"/>
      <c r="H73" s="52"/>
      <c r="I73" s="16"/>
      <c r="J73" s="16"/>
      <c r="K73" s="16"/>
      <c r="L73" s="16"/>
      <c r="M73" s="16"/>
      <c r="N73" s="16"/>
      <c r="O73" s="489"/>
      <c r="P73" s="489"/>
      <c r="Q73" s="489"/>
      <c r="R73" s="489"/>
      <c r="S73" s="489"/>
      <c r="T73" s="489"/>
    </row>
    <row r="74" spans="1:20" ht="15.5">
      <c r="A74" s="51"/>
      <c r="B74" s="52"/>
      <c r="C74" s="51"/>
      <c r="D74" s="52"/>
      <c r="E74" s="52"/>
      <c r="F74" s="52"/>
      <c r="G74" s="53"/>
      <c r="H74" s="52"/>
      <c r="I74" s="16"/>
      <c r="J74" s="16"/>
      <c r="K74" s="16"/>
      <c r="L74" s="16"/>
      <c r="M74" s="16"/>
      <c r="N74" s="16"/>
      <c r="O74" s="489"/>
      <c r="P74" s="489"/>
      <c r="Q74" s="489"/>
      <c r="R74" s="489"/>
      <c r="S74" s="489"/>
      <c r="T74" s="489"/>
    </row>
    <row r="75" spans="1:20" ht="15.5">
      <c r="A75" s="51"/>
      <c r="B75" s="52"/>
      <c r="C75" s="51"/>
      <c r="D75" s="52"/>
      <c r="E75" s="52"/>
      <c r="F75" s="52"/>
      <c r="G75" s="53"/>
      <c r="H75" s="52"/>
      <c r="I75" s="16"/>
      <c r="J75" s="16"/>
      <c r="K75" s="16"/>
      <c r="L75" s="16"/>
      <c r="M75" s="16"/>
      <c r="N75" s="16"/>
      <c r="O75" s="489"/>
      <c r="P75" s="489"/>
      <c r="Q75" s="489"/>
      <c r="R75" s="489"/>
      <c r="S75" s="489"/>
      <c r="T75" s="489"/>
    </row>
    <row r="76" spans="1:20" ht="15.5">
      <c r="A76" s="51"/>
      <c r="B76" s="52"/>
      <c r="C76" s="51"/>
      <c r="D76" s="52"/>
      <c r="E76" s="52"/>
      <c r="F76" s="52"/>
      <c r="G76" s="53"/>
      <c r="H76" s="52"/>
      <c r="I76" s="16"/>
      <c r="J76" s="16"/>
      <c r="K76" s="16"/>
      <c r="L76" s="16"/>
      <c r="M76" s="16"/>
      <c r="N76" s="16"/>
      <c r="O76" s="489"/>
      <c r="P76" s="489"/>
      <c r="Q76" s="489"/>
      <c r="R76" s="489"/>
      <c r="S76" s="489"/>
      <c r="T76" s="489"/>
    </row>
    <row r="77" spans="1:20" ht="15.5">
      <c r="A77" s="51"/>
      <c r="B77" s="52"/>
      <c r="C77" s="51"/>
      <c r="D77" s="52"/>
      <c r="E77" s="52"/>
      <c r="F77" s="52"/>
      <c r="G77" s="53"/>
      <c r="H77" s="52"/>
      <c r="I77" s="16"/>
      <c r="J77" s="16"/>
      <c r="K77" s="16"/>
      <c r="L77" s="16"/>
      <c r="M77" s="16"/>
      <c r="N77" s="16"/>
      <c r="O77" s="489"/>
      <c r="P77" s="489"/>
      <c r="Q77" s="489"/>
      <c r="R77" s="489"/>
      <c r="S77" s="489"/>
      <c r="T77" s="489"/>
    </row>
    <row r="78" spans="1:20" ht="15.5">
      <c r="A78" s="51"/>
      <c r="B78" s="52"/>
      <c r="C78" s="51"/>
      <c r="D78" s="52"/>
      <c r="E78" s="52"/>
      <c r="F78" s="52"/>
      <c r="G78" s="53"/>
      <c r="H78" s="52"/>
      <c r="I78" s="16"/>
      <c r="J78" s="16"/>
      <c r="K78" s="16"/>
      <c r="L78" s="16"/>
      <c r="M78" s="16"/>
      <c r="N78" s="16"/>
      <c r="O78" s="489"/>
      <c r="P78" s="489"/>
      <c r="Q78" s="489"/>
      <c r="R78" s="489"/>
      <c r="S78" s="489"/>
      <c r="T78" s="489"/>
    </row>
    <row r="79" spans="1:20" ht="15.5">
      <c r="A79" s="51"/>
      <c r="B79" s="52"/>
      <c r="C79" s="51"/>
      <c r="D79" s="52"/>
      <c r="E79" s="52"/>
      <c r="F79" s="52"/>
      <c r="G79" s="53"/>
      <c r="H79" s="52"/>
      <c r="I79" s="16"/>
      <c r="J79" s="16"/>
      <c r="K79" s="16"/>
      <c r="L79" s="16"/>
      <c r="M79" s="16"/>
      <c r="N79" s="16"/>
      <c r="O79" s="489"/>
      <c r="P79" s="489"/>
      <c r="Q79" s="489"/>
      <c r="R79" s="489"/>
      <c r="S79" s="489"/>
      <c r="T79" s="489"/>
    </row>
    <row r="80" spans="1:20" ht="15.5">
      <c r="A80" s="51"/>
      <c r="B80" s="52"/>
      <c r="C80" s="51"/>
      <c r="D80" s="52"/>
      <c r="E80" s="52"/>
      <c r="F80" s="52"/>
      <c r="G80" s="53"/>
      <c r="H80" s="52"/>
      <c r="I80" s="16"/>
      <c r="J80" s="16"/>
      <c r="K80" s="16"/>
      <c r="L80" s="16"/>
      <c r="M80" s="16"/>
      <c r="N80" s="16"/>
      <c r="O80" s="489"/>
      <c r="P80" s="489"/>
      <c r="Q80" s="489"/>
      <c r="R80" s="489"/>
      <c r="S80" s="489"/>
      <c r="T80" s="489"/>
    </row>
    <row r="81" spans="1:20" ht="15.5">
      <c r="A81" s="51"/>
      <c r="B81" s="52"/>
      <c r="C81" s="51"/>
      <c r="D81" s="52"/>
      <c r="E81" s="52"/>
      <c r="F81" s="52"/>
      <c r="G81" s="53"/>
      <c r="H81" s="52"/>
      <c r="I81" s="16"/>
      <c r="J81" s="16"/>
      <c r="K81" s="16"/>
      <c r="L81" s="16"/>
      <c r="M81" s="16"/>
      <c r="N81" s="16"/>
      <c r="O81" s="489"/>
      <c r="P81" s="489"/>
      <c r="Q81" s="489"/>
      <c r="R81" s="489"/>
      <c r="S81" s="489"/>
      <c r="T81" s="489"/>
    </row>
    <row r="82" spans="1:20" ht="15.5">
      <c r="A82" s="51"/>
      <c r="B82" s="52"/>
      <c r="C82" s="51"/>
      <c r="D82" s="52"/>
      <c r="E82" s="52"/>
      <c r="F82" s="52"/>
      <c r="G82" s="53"/>
      <c r="H82" s="52"/>
      <c r="I82" s="16"/>
      <c r="J82" s="16"/>
      <c r="K82" s="16"/>
      <c r="L82" s="16"/>
      <c r="M82" s="16"/>
      <c r="N82" s="16"/>
      <c r="O82" s="489"/>
      <c r="P82" s="489"/>
      <c r="Q82" s="489"/>
      <c r="R82" s="489"/>
      <c r="S82" s="489"/>
      <c r="T82" s="489"/>
    </row>
    <row r="83" spans="1:20" ht="15.5">
      <c r="A83" s="51"/>
      <c r="B83" s="52"/>
      <c r="C83" s="51"/>
      <c r="D83" s="52"/>
      <c r="E83" s="52"/>
      <c r="F83" s="52"/>
      <c r="G83" s="53"/>
      <c r="H83" s="52"/>
      <c r="I83" s="16"/>
      <c r="J83" s="16"/>
      <c r="K83" s="16"/>
      <c r="L83" s="16"/>
      <c r="M83" s="16"/>
      <c r="N83" s="16"/>
      <c r="O83" s="489"/>
      <c r="P83" s="489"/>
      <c r="Q83" s="489"/>
      <c r="R83" s="489"/>
      <c r="S83" s="489"/>
      <c r="T83" s="489"/>
    </row>
    <row r="84" spans="1:20" ht="15.5">
      <c r="A84" s="51"/>
      <c r="B84" s="52"/>
      <c r="C84" s="51"/>
      <c r="D84" s="52"/>
      <c r="E84" s="52"/>
      <c r="F84" s="52"/>
      <c r="G84" s="53"/>
      <c r="H84" s="52"/>
      <c r="I84" s="16"/>
      <c r="J84" s="16"/>
      <c r="K84" s="16"/>
      <c r="L84" s="16"/>
      <c r="M84" s="16"/>
      <c r="N84" s="16"/>
      <c r="O84" s="489"/>
      <c r="P84" s="489"/>
      <c r="Q84" s="489"/>
      <c r="R84" s="489"/>
      <c r="S84" s="489"/>
      <c r="T84" s="489"/>
    </row>
    <row r="85" spans="1:20" ht="15.5">
      <c r="A85" s="51"/>
      <c r="B85" s="52"/>
      <c r="C85" s="51"/>
      <c r="D85" s="52"/>
      <c r="E85" s="52"/>
      <c r="F85" s="52"/>
      <c r="G85" s="53"/>
      <c r="H85" s="52"/>
      <c r="I85" s="16"/>
      <c r="J85" s="16"/>
      <c r="K85" s="16"/>
      <c r="L85" s="16"/>
      <c r="M85" s="16"/>
      <c r="N85" s="16"/>
      <c r="O85" s="489"/>
      <c r="P85" s="489"/>
      <c r="Q85" s="489"/>
      <c r="R85" s="489"/>
      <c r="S85" s="489"/>
      <c r="T85" s="489"/>
    </row>
    <row r="86" spans="1:20" ht="15.5">
      <c r="A86" s="77"/>
      <c r="B86" s="7"/>
      <c r="C86" s="77"/>
      <c r="D86" s="7"/>
      <c r="E86" s="7"/>
      <c r="F86" s="7"/>
      <c r="G86" s="32"/>
      <c r="H86" s="52"/>
      <c r="I86" s="16"/>
      <c r="J86" s="16"/>
      <c r="K86" s="16"/>
      <c r="L86" s="16"/>
      <c r="M86" s="16"/>
      <c r="N86" s="16"/>
      <c r="O86" s="489"/>
      <c r="P86" s="489"/>
      <c r="Q86" s="489"/>
      <c r="R86" s="489"/>
      <c r="S86" s="489"/>
      <c r="T86" s="489"/>
    </row>
    <row r="87" spans="1:20" ht="15.5">
      <c r="A87" s="77"/>
      <c r="B87" s="7"/>
      <c r="C87" s="77"/>
      <c r="D87" s="7"/>
      <c r="E87" s="7"/>
      <c r="F87" s="7"/>
      <c r="G87" s="32"/>
      <c r="H87" s="52"/>
      <c r="I87" s="16"/>
      <c r="J87" s="16"/>
      <c r="K87" s="16"/>
      <c r="L87" s="16"/>
      <c r="M87" s="16"/>
      <c r="N87" s="16"/>
      <c r="O87" s="489"/>
      <c r="P87" s="489"/>
      <c r="Q87" s="489"/>
      <c r="R87" s="489"/>
      <c r="S87" s="489"/>
      <c r="T87" s="489"/>
    </row>
    <row r="88" spans="1:20" ht="15.5">
      <c r="A88" s="77"/>
      <c r="B88" s="7"/>
      <c r="C88" s="77"/>
      <c r="D88" s="7"/>
      <c r="E88" s="7"/>
      <c r="F88" s="7"/>
      <c r="G88" s="32"/>
      <c r="H88" s="52"/>
      <c r="I88" s="16"/>
      <c r="J88" s="16"/>
      <c r="K88" s="16"/>
      <c r="L88" s="16"/>
      <c r="M88" s="16"/>
      <c r="N88" s="16"/>
      <c r="O88" s="489"/>
      <c r="P88" s="489"/>
      <c r="Q88" s="489"/>
      <c r="R88" s="489"/>
      <c r="S88" s="489"/>
      <c r="T88" s="489"/>
    </row>
    <row r="89" spans="1:20" ht="15.5">
      <c r="A89" s="77"/>
      <c r="B89" s="7"/>
      <c r="C89" s="77"/>
      <c r="D89" s="7"/>
      <c r="E89" s="7"/>
      <c r="F89" s="7"/>
      <c r="G89" s="32"/>
      <c r="H89" s="52"/>
      <c r="I89" s="16"/>
      <c r="J89" s="16"/>
      <c r="K89" s="16"/>
      <c r="L89" s="16"/>
      <c r="M89" s="16"/>
      <c r="N89" s="16"/>
      <c r="O89" s="489"/>
      <c r="P89" s="489"/>
      <c r="Q89" s="489"/>
      <c r="R89" s="489"/>
      <c r="S89" s="489"/>
      <c r="T89" s="489"/>
    </row>
    <row r="90" spans="1:20" ht="15.5">
      <c r="A90" s="77"/>
      <c r="B90" s="7"/>
      <c r="C90" s="77"/>
      <c r="D90" s="7"/>
      <c r="E90" s="7"/>
      <c r="F90" s="7"/>
      <c r="G90" s="32"/>
      <c r="H90" s="52"/>
      <c r="I90" s="16"/>
      <c r="J90" s="16"/>
      <c r="K90" s="16"/>
      <c r="L90" s="16"/>
      <c r="M90" s="16"/>
      <c r="N90" s="16"/>
      <c r="O90" s="489"/>
      <c r="P90" s="489"/>
      <c r="Q90" s="489"/>
      <c r="R90" s="489"/>
      <c r="S90" s="489"/>
      <c r="T90" s="489"/>
    </row>
    <row r="91" spans="1:20" ht="15.5">
      <c r="A91" s="77"/>
      <c r="B91" s="7"/>
      <c r="C91" s="77"/>
      <c r="D91" s="7"/>
      <c r="E91" s="7"/>
      <c r="F91" s="7"/>
      <c r="G91" s="32"/>
      <c r="H91" s="52"/>
      <c r="I91" s="16"/>
      <c r="J91" s="16"/>
      <c r="K91" s="16"/>
      <c r="L91" s="16"/>
      <c r="M91" s="16"/>
      <c r="N91" s="16"/>
      <c r="O91" s="489"/>
      <c r="P91" s="489"/>
      <c r="Q91" s="489"/>
      <c r="R91" s="489"/>
      <c r="S91" s="489"/>
      <c r="T91" s="489"/>
    </row>
    <row r="92" spans="1:20" ht="15.5">
      <c r="A92" s="77"/>
      <c r="B92" s="7"/>
      <c r="C92" s="77"/>
      <c r="D92" s="7"/>
      <c r="E92" s="7"/>
      <c r="F92" s="7"/>
      <c r="G92" s="32"/>
      <c r="H92" s="52"/>
      <c r="I92" s="16"/>
      <c r="J92" s="16"/>
      <c r="K92" s="16"/>
      <c r="L92" s="16"/>
      <c r="M92" s="16"/>
      <c r="N92" s="16"/>
      <c r="O92" s="489"/>
      <c r="P92" s="489"/>
      <c r="Q92" s="489"/>
      <c r="R92" s="489"/>
      <c r="S92" s="489"/>
      <c r="T92" s="489"/>
    </row>
    <row r="93" spans="1:20" ht="15.5">
      <c r="A93" s="77"/>
      <c r="B93" s="7"/>
      <c r="C93" s="77"/>
      <c r="D93" s="7"/>
      <c r="E93" s="7"/>
      <c r="F93" s="7"/>
      <c r="G93" s="32"/>
      <c r="H93" s="52"/>
      <c r="I93" s="16"/>
      <c r="J93" s="16"/>
      <c r="K93" s="16"/>
      <c r="L93" s="16"/>
      <c r="M93" s="16"/>
      <c r="N93" s="16"/>
      <c r="O93" s="489"/>
      <c r="P93" s="489"/>
      <c r="Q93" s="489"/>
      <c r="R93" s="489"/>
      <c r="S93" s="489"/>
      <c r="T93" s="489"/>
    </row>
    <row r="94" spans="1:20" ht="15.5">
      <c r="A94" s="77"/>
      <c r="B94" s="7"/>
      <c r="C94" s="77"/>
      <c r="D94" s="7"/>
      <c r="E94" s="7"/>
      <c r="F94" s="7"/>
      <c r="G94" s="32"/>
      <c r="H94" s="52"/>
      <c r="I94" s="16"/>
      <c r="J94" s="16"/>
      <c r="K94" s="16"/>
      <c r="L94" s="16"/>
      <c r="M94" s="16"/>
      <c r="N94" s="16"/>
      <c r="O94" s="489"/>
      <c r="P94" s="489"/>
      <c r="Q94" s="489"/>
      <c r="R94" s="489"/>
      <c r="S94" s="489"/>
      <c r="T94" s="489"/>
    </row>
    <row r="95" spans="1:20" ht="15.5">
      <c r="A95" s="77"/>
      <c r="B95" s="7"/>
      <c r="C95" s="77"/>
      <c r="D95" s="7"/>
      <c r="E95" s="7"/>
      <c r="F95" s="7"/>
      <c r="G95" s="32"/>
      <c r="H95" s="52"/>
      <c r="I95" s="16"/>
      <c r="J95" s="16"/>
      <c r="K95" s="16"/>
      <c r="L95" s="16"/>
      <c r="M95" s="16"/>
      <c r="N95" s="16"/>
      <c r="O95" s="489"/>
      <c r="P95" s="489"/>
      <c r="Q95" s="489"/>
      <c r="R95" s="489"/>
      <c r="S95" s="489"/>
      <c r="T95" s="489"/>
    </row>
    <row r="96" spans="1:20" ht="15.5">
      <c r="A96" s="77"/>
      <c r="B96" s="7"/>
      <c r="C96" s="77"/>
      <c r="D96" s="7"/>
      <c r="E96" s="7"/>
      <c r="F96" s="7"/>
      <c r="G96" s="32"/>
      <c r="H96" s="52"/>
      <c r="I96" s="16"/>
      <c r="J96" s="16"/>
      <c r="K96" s="16"/>
      <c r="L96" s="16"/>
      <c r="M96" s="16"/>
      <c r="N96" s="16"/>
      <c r="O96" s="489"/>
      <c r="P96" s="489"/>
      <c r="Q96" s="489"/>
      <c r="R96" s="489"/>
      <c r="S96" s="489"/>
      <c r="T96" s="489"/>
    </row>
    <row r="97" spans="1:20" ht="15.5">
      <c r="A97" s="77"/>
      <c r="B97" s="7"/>
      <c r="C97" s="77"/>
      <c r="D97" s="7"/>
      <c r="E97" s="7"/>
      <c r="F97" s="7"/>
      <c r="G97" s="32"/>
      <c r="H97" s="52"/>
      <c r="I97" s="16"/>
      <c r="J97" s="16"/>
      <c r="K97" s="16"/>
      <c r="L97" s="16"/>
      <c r="M97" s="16"/>
      <c r="N97" s="16"/>
      <c r="O97" s="489"/>
      <c r="P97" s="489"/>
      <c r="Q97" s="489"/>
      <c r="R97" s="489"/>
      <c r="S97" s="489"/>
      <c r="T97" s="489"/>
    </row>
    <row r="98" spans="1:20" ht="15.5">
      <c r="A98" s="77"/>
      <c r="B98" s="7"/>
      <c r="C98" s="77"/>
      <c r="D98" s="7"/>
      <c r="E98" s="7"/>
      <c r="F98" s="7"/>
      <c r="G98" s="32"/>
      <c r="H98" s="52"/>
      <c r="I98" s="16"/>
      <c r="J98" s="16"/>
      <c r="K98" s="16"/>
      <c r="L98" s="16"/>
      <c r="M98" s="16"/>
      <c r="N98" s="16"/>
      <c r="O98" s="489"/>
      <c r="P98" s="489"/>
      <c r="Q98" s="489"/>
      <c r="R98" s="489"/>
      <c r="S98" s="489"/>
      <c r="T98" s="489"/>
    </row>
    <row r="99" spans="1:20" ht="15.5">
      <c r="A99" s="77"/>
      <c r="B99" s="7"/>
      <c r="C99" s="77"/>
      <c r="D99" s="7"/>
      <c r="E99" s="7"/>
      <c r="F99" s="7"/>
      <c r="G99" s="32"/>
      <c r="H99" s="52"/>
      <c r="I99" s="16"/>
      <c r="J99" s="16"/>
      <c r="K99" s="16"/>
      <c r="L99" s="16"/>
      <c r="M99" s="16"/>
      <c r="N99" s="16"/>
      <c r="O99" s="489"/>
      <c r="P99" s="489"/>
      <c r="Q99" s="489"/>
      <c r="R99" s="489"/>
      <c r="S99" s="489"/>
      <c r="T99" s="489"/>
    </row>
    <row r="100" spans="1:20" ht="15.5">
      <c r="A100" s="77"/>
      <c r="B100" s="7"/>
      <c r="C100" s="77"/>
      <c r="D100" s="7"/>
      <c r="E100" s="7"/>
      <c r="F100" s="7"/>
      <c r="G100" s="32"/>
      <c r="H100" s="52"/>
      <c r="I100" s="16"/>
      <c r="J100" s="16"/>
      <c r="K100" s="16"/>
      <c r="L100" s="16"/>
      <c r="M100" s="16"/>
      <c r="N100" s="16"/>
      <c r="O100" s="489"/>
      <c r="P100" s="489"/>
      <c r="Q100" s="489"/>
      <c r="R100" s="489"/>
      <c r="S100" s="489"/>
      <c r="T100" s="489"/>
    </row>
    <row r="101" spans="1:20" ht="15.5">
      <c r="A101" s="77"/>
      <c r="B101" s="7"/>
      <c r="C101" s="77"/>
      <c r="D101" s="7"/>
      <c r="E101" s="7"/>
      <c r="F101" s="7"/>
      <c r="G101" s="32"/>
      <c r="H101" s="52"/>
      <c r="I101" s="16"/>
      <c r="J101" s="16"/>
      <c r="K101" s="16"/>
      <c r="L101" s="16"/>
      <c r="M101" s="16"/>
      <c r="N101" s="16"/>
      <c r="O101" s="489"/>
      <c r="P101" s="489"/>
      <c r="Q101" s="489"/>
      <c r="R101" s="489"/>
      <c r="S101" s="489"/>
      <c r="T101" s="489"/>
    </row>
    <row r="102" spans="1:20" ht="15.5">
      <c r="A102" s="77"/>
      <c r="B102" s="7"/>
      <c r="C102" s="77"/>
      <c r="D102" s="7"/>
      <c r="E102" s="7"/>
      <c r="F102" s="7"/>
      <c r="G102" s="32"/>
      <c r="H102" s="52"/>
      <c r="I102" s="16"/>
      <c r="J102" s="16"/>
      <c r="K102" s="16"/>
      <c r="L102" s="16"/>
      <c r="M102" s="16"/>
      <c r="N102" s="16"/>
      <c r="O102" s="489"/>
      <c r="P102" s="489"/>
      <c r="Q102" s="489"/>
      <c r="R102" s="489"/>
      <c r="S102" s="489"/>
      <c r="T102" s="489"/>
    </row>
    <row r="103" spans="1:20" ht="15.5">
      <c r="A103" s="77"/>
      <c r="B103" s="7"/>
      <c r="C103" s="77"/>
      <c r="D103" s="7"/>
      <c r="E103" s="7"/>
      <c r="F103" s="7"/>
      <c r="G103" s="32"/>
      <c r="H103" s="52"/>
      <c r="I103" s="16"/>
      <c r="J103" s="16"/>
      <c r="K103" s="16"/>
      <c r="L103" s="16"/>
      <c r="M103" s="16"/>
      <c r="N103" s="16"/>
      <c r="O103" s="489"/>
      <c r="P103" s="489"/>
      <c r="Q103" s="489"/>
      <c r="R103" s="489"/>
      <c r="S103" s="489"/>
      <c r="T103" s="489"/>
    </row>
    <row r="104" spans="1:20" ht="15.5">
      <c r="A104" s="77"/>
      <c r="B104" s="7"/>
      <c r="C104" s="77"/>
      <c r="D104" s="7"/>
      <c r="E104" s="7"/>
      <c r="F104" s="7"/>
      <c r="G104" s="32"/>
      <c r="H104" s="52"/>
      <c r="I104" s="16"/>
      <c r="J104" s="16"/>
      <c r="K104" s="16"/>
      <c r="L104" s="16"/>
      <c r="M104" s="16"/>
      <c r="N104" s="16"/>
      <c r="O104" s="489"/>
      <c r="P104" s="489"/>
      <c r="Q104" s="489"/>
      <c r="R104" s="489"/>
      <c r="S104" s="489"/>
      <c r="T104" s="489"/>
    </row>
    <row r="105" spans="1:20" ht="15.5">
      <c r="A105" s="77"/>
      <c r="B105" s="7"/>
      <c r="C105" s="77"/>
      <c r="D105" s="7"/>
      <c r="E105" s="7"/>
      <c r="F105" s="7"/>
      <c r="G105" s="32"/>
      <c r="H105" s="52"/>
      <c r="I105" s="16"/>
      <c r="J105" s="16"/>
      <c r="K105" s="16"/>
      <c r="L105" s="16"/>
      <c r="M105" s="16"/>
      <c r="N105" s="16"/>
      <c r="O105" s="489"/>
      <c r="P105" s="489"/>
      <c r="Q105" s="489"/>
      <c r="R105" s="489"/>
      <c r="S105" s="489"/>
      <c r="T105" s="489"/>
    </row>
    <row r="106" spans="1:20" ht="15.5">
      <c r="A106" s="77"/>
      <c r="B106" s="7"/>
      <c r="C106" s="77"/>
      <c r="D106" s="7"/>
      <c r="E106" s="7"/>
      <c r="F106" s="7"/>
      <c r="G106" s="32"/>
      <c r="H106" s="52"/>
      <c r="I106" s="16"/>
      <c r="J106" s="16"/>
      <c r="K106" s="16"/>
      <c r="L106" s="16"/>
      <c r="M106" s="16"/>
      <c r="N106" s="16"/>
      <c r="O106" s="489"/>
      <c r="P106" s="489"/>
      <c r="Q106" s="489"/>
      <c r="R106" s="489"/>
      <c r="S106" s="489"/>
      <c r="T106" s="489"/>
    </row>
    <row r="107" spans="1:20" ht="15.5">
      <c r="A107" s="77"/>
      <c r="B107" s="7"/>
      <c r="C107" s="77"/>
      <c r="D107" s="7"/>
      <c r="E107" s="7"/>
      <c r="F107" s="7"/>
      <c r="G107" s="32"/>
      <c r="H107" s="52"/>
      <c r="I107" s="16"/>
      <c r="J107" s="16"/>
      <c r="K107" s="16"/>
      <c r="L107" s="16"/>
      <c r="M107" s="16"/>
      <c r="N107" s="16"/>
      <c r="O107" s="489"/>
      <c r="P107" s="489"/>
      <c r="Q107" s="489"/>
      <c r="R107" s="489"/>
      <c r="S107" s="489"/>
      <c r="T107" s="489"/>
    </row>
    <row r="108" spans="1:20" ht="15.5">
      <c r="A108" s="77"/>
      <c r="B108" s="7"/>
      <c r="C108" s="77"/>
      <c r="D108" s="7"/>
      <c r="E108" s="7"/>
      <c r="F108" s="7"/>
      <c r="G108" s="32"/>
      <c r="H108" s="52"/>
      <c r="I108" s="16"/>
      <c r="J108" s="16"/>
      <c r="K108" s="16"/>
      <c r="L108" s="16"/>
      <c r="M108" s="16"/>
      <c r="N108" s="16"/>
      <c r="O108" s="489"/>
      <c r="P108" s="489"/>
      <c r="Q108" s="489"/>
      <c r="R108" s="489"/>
      <c r="S108" s="489"/>
      <c r="T108" s="489"/>
    </row>
    <row r="109" spans="1:20" ht="15.5">
      <c r="A109" s="77"/>
      <c r="B109" s="7"/>
      <c r="C109" s="77"/>
      <c r="D109" s="7"/>
      <c r="E109" s="7"/>
      <c r="F109" s="7"/>
      <c r="G109" s="32"/>
      <c r="H109" s="52"/>
      <c r="I109" s="16"/>
      <c r="J109" s="16"/>
      <c r="K109" s="16"/>
      <c r="L109" s="16"/>
      <c r="M109" s="16"/>
      <c r="N109" s="16"/>
      <c r="O109" s="489"/>
      <c r="P109" s="489"/>
      <c r="Q109" s="489"/>
      <c r="R109" s="489"/>
      <c r="S109" s="489"/>
      <c r="T109" s="489"/>
    </row>
    <row r="110" spans="1:20" ht="15.5">
      <c r="A110" s="77"/>
      <c r="B110" s="7"/>
      <c r="C110" s="77"/>
      <c r="D110" s="7"/>
      <c r="E110" s="7"/>
      <c r="F110" s="7"/>
      <c r="G110" s="32"/>
      <c r="H110" s="52"/>
      <c r="I110" s="16"/>
      <c r="J110" s="16"/>
      <c r="K110" s="16"/>
      <c r="L110" s="16"/>
      <c r="M110" s="16"/>
      <c r="N110" s="16"/>
      <c r="O110" s="489"/>
      <c r="P110" s="489"/>
      <c r="Q110" s="489"/>
      <c r="R110" s="489"/>
      <c r="S110" s="489"/>
      <c r="T110" s="489"/>
    </row>
    <row r="111" spans="1:20" ht="15.5">
      <c r="A111" s="77"/>
      <c r="B111" s="7"/>
      <c r="C111" s="77"/>
      <c r="D111" s="7"/>
      <c r="E111" s="7"/>
      <c r="F111" s="7"/>
      <c r="G111" s="32"/>
      <c r="H111" s="52"/>
      <c r="I111" s="16"/>
      <c r="J111" s="16"/>
      <c r="K111" s="16"/>
      <c r="L111" s="16"/>
      <c r="M111" s="16"/>
      <c r="N111" s="16"/>
      <c r="O111" s="489"/>
      <c r="P111" s="489"/>
      <c r="Q111" s="489"/>
      <c r="R111" s="489"/>
      <c r="S111" s="489"/>
      <c r="T111" s="489"/>
    </row>
    <row r="112" spans="1:20" ht="15.5">
      <c r="A112" s="77"/>
      <c r="B112" s="7"/>
      <c r="C112" s="77"/>
      <c r="D112" s="7"/>
      <c r="E112" s="7"/>
      <c r="F112" s="7"/>
      <c r="G112" s="32"/>
      <c r="H112" s="52"/>
      <c r="I112" s="16"/>
      <c r="J112" s="16"/>
      <c r="K112" s="16"/>
      <c r="L112" s="16"/>
      <c r="M112" s="16"/>
      <c r="N112" s="16"/>
      <c r="O112" s="489"/>
      <c r="P112" s="489"/>
      <c r="Q112" s="489"/>
      <c r="R112" s="489"/>
      <c r="S112" s="489"/>
      <c r="T112" s="489"/>
    </row>
    <row r="113" spans="1:20" ht="15.5">
      <c r="A113" s="77"/>
      <c r="B113" s="7"/>
      <c r="C113" s="77"/>
      <c r="D113" s="7"/>
      <c r="E113" s="7"/>
      <c r="F113" s="7"/>
      <c r="G113" s="32"/>
      <c r="H113" s="52"/>
      <c r="I113" s="16"/>
      <c r="J113" s="16"/>
      <c r="K113" s="16"/>
      <c r="L113" s="16"/>
      <c r="M113" s="16"/>
      <c r="N113" s="16"/>
      <c r="O113" s="489"/>
      <c r="P113" s="489"/>
      <c r="Q113" s="489"/>
      <c r="R113" s="489"/>
      <c r="S113" s="489"/>
      <c r="T113" s="489"/>
    </row>
    <row r="114" spans="1:20" ht="15.5">
      <c r="A114" s="77"/>
      <c r="B114" s="7"/>
      <c r="C114" s="77"/>
      <c r="D114" s="7"/>
      <c r="E114" s="7"/>
      <c r="F114" s="7"/>
      <c r="G114" s="32"/>
      <c r="H114" s="52"/>
      <c r="I114" s="16"/>
      <c r="J114" s="16"/>
      <c r="K114" s="16"/>
      <c r="L114" s="16"/>
      <c r="M114" s="16"/>
      <c r="N114" s="16"/>
      <c r="O114" s="489"/>
      <c r="P114" s="489"/>
      <c r="Q114" s="489"/>
      <c r="R114" s="489"/>
      <c r="S114" s="489"/>
      <c r="T114" s="489"/>
    </row>
    <row r="115" spans="8:14" ht="15.5">
      <c r="H115" s="52"/>
      <c r="I115" s="16"/>
      <c r="J115" s="16"/>
      <c r="K115" s="16"/>
      <c r="L115" s="16"/>
      <c r="M115" s="16"/>
      <c r="N115" s="16"/>
    </row>
    <row r="116" spans="8:14" ht="15.5">
      <c r="H116" s="52"/>
      <c r="I116" s="16"/>
      <c r="J116" s="16"/>
      <c r="K116" s="16"/>
      <c r="L116" s="16"/>
      <c r="M116" s="16"/>
      <c r="N116" s="16"/>
    </row>
    <row r="117" spans="8:14" ht="15.5">
      <c r="H117" s="52"/>
      <c r="I117" s="16"/>
      <c r="J117" s="16"/>
      <c r="K117" s="16"/>
      <c r="L117" s="16"/>
      <c r="M117" s="16"/>
      <c r="N117" s="16"/>
    </row>
    <row r="118" spans="8:14" ht="15.5">
      <c r="H118" s="52"/>
      <c r="I118" s="16"/>
      <c r="J118" s="16"/>
      <c r="K118" s="16"/>
      <c r="L118" s="16"/>
      <c r="M118" s="16"/>
      <c r="N118" s="16"/>
    </row>
    <row r="119" spans="8:14" ht="15.5">
      <c r="H119" s="52"/>
      <c r="I119" s="16"/>
      <c r="J119" s="16"/>
      <c r="K119" s="16"/>
      <c r="L119" s="16"/>
      <c r="M119" s="16"/>
      <c r="N119" s="16"/>
    </row>
    <row r="120" spans="8:14" ht="15.5">
      <c r="H120" s="52"/>
      <c r="I120" s="16"/>
      <c r="J120" s="16"/>
      <c r="K120" s="16"/>
      <c r="L120" s="16"/>
      <c r="M120" s="16"/>
      <c r="N120" s="16"/>
    </row>
    <row r="121" spans="8:14" ht="15.5">
      <c r="H121" s="52"/>
      <c r="I121" s="16"/>
      <c r="J121" s="16"/>
      <c r="K121" s="16"/>
      <c r="L121" s="16"/>
      <c r="M121" s="16"/>
      <c r="N121" s="16"/>
    </row>
    <row r="122" spans="8:14" ht="15.5">
      <c r="H122" s="52"/>
      <c r="I122" s="16"/>
      <c r="J122" s="16"/>
      <c r="K122" s="16"/>
      <c r="L122" s="16"/>
      <c r="M122" s="16"/>
      <c r="N122" s="16"/>
    </row>
    <row r="123" spans="8:14" ht="15.5">
      <c r="H123" s="52"/>
      <c r="I123" s="16"/>
      <c r="J123" s="16"/>
      <c r="K123" s="16"/>
      <c r="L123" s="16"/>
      <c r="M123" s="16"/>
      <c r="N123" s="16"/>
    </row>
    <row r="124" spans="8:14" ht="15.5">
      <c r="H124" s="52"/>
      <c r="I124" s="16"/>
      <c r="J124" s="16"/>
      <c r="K124" s="16"/>
      <c r="L124" s="16"/>
      <c r="M124" s="16"/>
      <c r="N124" s="16"/>
    </row>
    <row r="125" spans="8:14" ht="15.5">
      <c r="H125" s="52"/>
      <c r="I125" s="16"/>
      <c r="J125" s="16"/>
      <c r="K125" s="16"/>
      <c r="L125" s="16"/>
      <c r="M125" s="16"/>
      <c r="N125" s="16"/>
    </row>
    <row r="126" spans="8:14" ht="15.5">
      <c r="H126" s="52"/>
      <c r="I126" s="16"/>
      <c r="J126" s="16"/>
      <c r="K126" s="16"/>
      <c r="L126" s="16"/>
      <c r="M126" s="16"/>
      <c r="N126" s="16"/>
    </row>
    <row r="127" spans="8:14" ht="15.5">
      <c r="H127" s="52"/>
      <c r="I127" s="16"/>
      <c r="J127" s="16"/>
      <c r="K127" s="16"/>
      <c r="L127" s="16"/>
      <c r="M127" s="16"/>
      <c r="N127" s="16"/>
    </row>
    <row r="128" spans="8:14" ht="15.5">
      <c r="H128" s="52"/>
      <c r="I128" s="16"/>
      <c r="J128" s="16"/>
      <c r="K128" s="16"/>
      <c r="L128" s="16"/>
      <c r="M128" s="16"/>
      <c r="N128" s="16"/>
    </row>
    <row r="129" spans="8:14" ht="15.5">
      <c r="H129" s="52"/>
      <c r="I129" s="16"/>
      <c r="J129" s="16"/>
      <c r="K129" s="16"/>
      <c r="L129" s="16"/>
      <c r="M129" s="16"/>
      <c r="N129" s="16"/>
    </row>
    <row r="130" spans="8:14" ht="15.5">
      <c r="H130" s="52"/>
      <c r="I130" s="16"/>
      <c r="J130" s="16"/>
      <c r="K130" s="16"/>
      <c r="L130" s="16"/>
      <c r="M130" s="16"/>
      <c r="N130" s="16"/>
    </row>
    <row r="131" spans="8:14" ht="15.5">
      <c r="H131" s="52"/>
      <c r="I131" s="16"/>
      <c r="J131" s="16"/>
      <c r="K131" s="16"/>
      <c r="L131" s="16"/>
      <c r="M131" s="16"/>
      <c r="N131" s="16"/>
    </row>
    <row r="132" spans="8:14" ht="15.5">
      <c r="H132" s="52"/>
      <c r="I132" s="16"/>
      <c r="J132" s="16"/>
      <c r="K132" s="16"/>
      <c r="L132" s="16"/>
      <c r="M132" s="16"/>
      <c r="N132" s="16"/>
    </row>
    <row r="133" spans="8:14" ht="15.5">
      <c r="H133" s="52"/>
      <c r="I133" s="16"/>
      <c r="J133" s="16"/>
      <c r="K133" s="16"/>
      <c r="L133" s="16"/>
      <c r="M133" s="16"/>
      <c r="N133" s="16"/>
    </row>
    <row r="134" spans="8:14" ht="15.5">
      <c r="H134" s="52"/>
      <c r="I134" s="16"/>
      <c r="J134" s="16"/>
      <c r="K134" s="16"/>
      <c r="L134" s="16"/>
      <c r="M134" s="16"/>
      <c r="N134" s="16"/>
    </row>
    <row r="135" spans="8:14" ht="15.5">
      <c r="H135" s="52"/>
      <c r="I135" s="16"/>
      <c r="J135" s="16"/>
      <c r="K135" s="16"/>
      <c r="L135" s="16"/>
      <c r="M135" s="16"/>
      <c r="N135" s="16"/>
    </row>
    <row r="136" spans="8:14" ht="15.5">
      <c r="H136" s="52"/>
      <c r="I136" s="16"/>
      <c r="J136" s="16"/>
      <c r="K136" s="16"/>
      <c r="L136" s="16"/>
      <c r="M136" s="16"/>
      <c r="N136" s="16"/>
    </row>
    <row r="137" spans="8:14" ht="15.5">
      <c r="H137" s="52"/>
      <c r="I137" s="16"/>
      <c r="J137" s="16"/>
      <c r="K137" s="16"/>
      <c r="L137" s="16"/>
      <c r="M137" s="16"/>
      <c r="N137" s="16"/>
    </row>
    <row r="138" spans="8:14" ht="15.5">
      <c r="H138" s="52"/>
      <c r="I138" s="16"/>
      <c r="J138" s="16"/>
      <c r="K138" s="16"/>
      <c r="L138" s="16"/>
      <c r="M138" s="16"/>
      <c r="N138" s="16"/>
    </row>
    <row r="139" spans="8:14" ht="15.5">
      <c r="H139" s="52"/>
      <c r="I139" s="16"/>
      <c r="J139" s="16"/>
      <c r="K139" s="16"/>
      <c r="L139" s="16"/>
      <c r="M139" s="16"/>
      <c r="N139" s="16"/>
    </row>
    <row r="140" spans="8:14" ht="15.5">
      <c r="H140" s="52"/>
      <c r="I140" s="16"/>
      <c r="J140" s="16"/>
      <c r="K140" s="16"/>
      <c r="L140" s="16"/>
      <c r="M140" s="16"/>
      <c r="N140" s="16"/>
    </row>
    <row r="141" spans="8:14" ht="15.5">
      <c r="H141" s="52"/>
      <c r="I141" s="16"/>
      <c r="J141" s="16"/>
      <c r="K141" s="16"/>
      <c r="L141" s="16"/>
      <c r="M141" s="16"/>
      <c r="N141" s="16"/>
    </row>
    <row r="142" spans="8:14" ht="15.5">
      <c r="H142" s="52"/>
      <c r="I142" s="16"/>
      <c r="J142" s="16"/>
      <c r="K142" s="16"/>
      <c r="L142" s="16"/>
      <c r="M142" s="16"/>
      <c r="N142" s="16"/>
    </row>
    <row r="143" spans="8:14" ht="15.5">
      <c r="H143" s="52"/>
      <c r="I143" s="16"/>
      <c r="J143" s="16"/>
      <c r="K143" s="16"/>
      <c r="L143" s="16"/>
      <c r="M143" s="16"/>
      <c r="N143" s="16"/>
    </row>
    <row r="144" spans="8:14" ht="15.5">
      <c r="H144" s="52"/>
      <c r="I144" s="16"/>
      <c r="J144" s="16"/>
      <c r="K144" s="16"/>
      <c r="L144" s="16"/>
      <c r="M144" s="16"/>
      <c r="N144" s="16"/>
    </row>
    <row r="145" spans="8:14" ht="15.5">
      <c r="H145" s="52"/>
      <c r="I145" s="16"/>
      <c r="J145" s="16"/>
      <c r="K145" s="16"/>
      <c r="L145" s="16"/>
      <c r="M145" s="16"/>
      <c r="N145" s="16"/>
    </row>
    <row r="146" spans="8:14" ht="15.5">
      <c r="H146" s="52"/>
      <c r="K146" s="16"/>
      <c r="L146" s="16"/>
      <c r="M146" s="16"/>
      <c r="N146" s="16"/>
    </row>
    <row r="147" spans="8:14" ht="15.5">
      <c r="H147" s="52"/>
      <c r="K147" s="16"/>
      <c r="L147" s="16"/>
      <c r="M147" s="16"/>
      <c r="N147" s="16"/>
    </row>
    <row r="148" spans="8:14" ht="15.5">
      <c r="H148" s="52"/>
      <c r="K148" s="16"/>
      <c r="L148" s="16"/>
      <c r="M148" s="16"/>
      <c r="N148" s="16"/>
    </row>
    <row r="149" ht="12.75">
      <c r="H149" s="52"/>
    </row>
    <row r="150" ht="12.75">
      <c r="H150" s="52"/>
    </row>
    <row r="151" ht="12.75">
      <c r="H151" s="52"/>
    </row>
    <row r="152" ht="12.75">
      <c r="H152" s="52"/>
    </row>
    <row r="153" ht="12.75">
      <c r="H153" s="52"/>
    </row>
    <row r="154" ht="12.75">
      <c r="H154" s="52"/>
    </row>
  </sheetData>
  <sheetProtection algorithmName="SHA-512" hashValue="ZMCZ0BiXoc/fjL4nSuTvSkOd8jh0eEvC4MdQAu7IYbNBfB+Lq1bW+PPpNPaOxf472qc2vdkMDXYLzaNjHmA0eQ==" saltValue="5K2M+jLAnVywRoXrueNKYw==" spinCount="100000" sheet="1" objects="1" scenarios="1" selectLockedCells="1"/>
  <autoFilter ref="B8:B60"/>
  <mergeCells count="12">
    <mergeCell ref="C1:D1"/>
    <mergeCell ref="E1:G1"/>
    <mergeCell ref="B63:G63"/>
    <mergeCell ref="A6:B6"/>
    <mergeCell ref="C6:D6"/>
    <mergeCell ref="A7:B7"/>
    <mergeCell ref="A3:B3"/>
    <mergeCell ref="A4:B4"/>
    <mergeCell ref="A5:B5"/>
    <mergeCell ref="C3:E3"/>
    <mergeCell ref="C4:E4"/>
    <mergeCell ref="C5:E5"/>
  </mergeCells>
  <conditionalFormatting sqref="G11:G59">
    <cfRule type="cellIs" priority="11" dxfId="595" operator="between">
      <formula>0</formula>
      <formula>1000000000</formula>
    </cfRule>
  </conditionalFormatting>
  <conditionalFormatting sqref="E11:E59">
    <cfRule type="expression" priority="2" dxfId="594">
      <formula>VALUE(C11)&gt;0</formula>
    </cfRule>
  </conditionalFormatting>
  <conditionalFormatting sqref="F11:F59">
    <cfRule type="expression" priority="1" dxfId="593">
      <formula>D11=""</formula>
    </cfRule>
  </conditionalFormatting>
  <dataValidations count="3">
    <dataValidation type="list" allowBlank="1" showInputMessage="1" showErrorMessage="1" error="please select" sqref="E11:E59">
      <formula1>Nachweis</formula1>
    </dataValidation>
    <dataValidation type="decimal" allowBlank="1" showInputMessage="1" showErrorMessage="1" sqref="F11:F59">
      <formula1>0</formula1>
      <formula2>100</formula2>
    </dataValidation>
    <dataValidation allowBlank="1" showInputMessage="1" showErrorMessage="1" errorTitle="Please select" sqref="E1"/>
  </dataValidation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90" r:id="rId3"/>
  <drawing r:id="rId2"/>
  <legacyDrawing r:id="rId1"/>
  <mc:AlternateContent xmlns:mc="http://schemas.openxmlformats.org/markup-compatibility/2006">
    <mc:Choice Requires="x14">
      <controls>
        <mc:AlternateContent>
          <mc:Choice Requires="x14">
            <control xmlns:r="http://schemas.openxmlformats.org/officeDocument/2006/relationships" shapeId="41985" r:id="rId4" name="Button 1">
              <controlPr defaultSize="0" print="0" autoFill="0" autoPict="0" macro="[0]!Eredmények2_törlés">
                <anchor moveWithCells="1" sizeWithCells="1">
                  <from>
                    <xdr:col>2</xdr:col>
                    <xdr:colOff>857250</xdr:colOff>
                    <xdr:row>64</xdr:row>
                    <xdr:rowOff>152400</xdr:rowOff>
                  </from>
                  <to>
                    <xdr:col>3</xdr:col>
                    <xdr:colOff>1219200</xdr:colOff>
                    <xdr:row>66</xdr:row>
                    <xdr:rowOff>95250</xdr:rowOff>
                  </to>
                </anchor>
              </controlPr>
            </control>
          </mc:Choice>
        </mc:AlternateContent>
        <mc:AlternateContent>
          <mc:Choice Requires="x14">
            <control xmlns:r="http://schemas.openxmlformats.org/officeDocument/2006/relationships" shapeId="41986" r:id="rId5" name="Button 2">
              <controlPr defaultSize="0" print="0" autoFill="0" autoPict="0" macro="[0]!Eredmények2_további">
                <anchor moveWithCells="1" sizeWithCells="1">
                  <from>
                    <xdr:col>4</xdr:col>
                    <xdr:colOff>819150</xdr:colOff>
                    <xdr:row>64</xdr:row>
                    <xdr:rowOff>146050</xdr:rowOff>
                  </from>
                  <to>
                    <xdr:col>5</xdr:col>
                    <xdr:colOff>1028700</xdr:colOff>
                    <xdr:row>66</xdr:row>
                    <xdr:rowOff>88900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tabColor rgb="FF92D050"/>
    <pageSetUpPr fitToPage="1"/>
  </sheetPr>
  <dimension ref="A1:AF156"/>
  <sheetViews>
    <sheetView workbookViewId="0" topLeftCell="A13">
      <selection activeCell="C13" sqref="C13:F13"/>
    </sheetView>
  </sheetViews>
  <sheetFormatPr defaultColWidth="11.421875" defaultRowHeight="12.75"/>
  <cols>
    <col min="1" max="1" width="26.7109375" style="130" customWidth="1"/>
    <col min="2" max="3" width="14.28125" style="130" customWidth="1"/>
    <col min="4" max="4" width="12.7109375" style="130" customWidth="1"/>
    <col min="5" max="5" width="15.7109375" style="130" customWidth="1"/>
    <col min="6" max="6" width="12.28125" style="130" customWidth="1"/>
    <col min="7" max="7" width="4.28125" style="130" customWidth="1"/>
    <col min="8" max="8" width="26.7109375" style="130" customWidth="1"/>
    <col min="9" max="10" width="14.28125" style="130" customWidth="1"/>
    <col min="11" max="11" width="12.7109375" style="130" customWidth="1"/>
    <col min="12" max="12" width="15.7109375" style="130" customWidth="1"/>
    <col min="13" max="13" width="12.28125" style="130" customWidth="1"/>
    <col min="14" max="14" width="4.00390625" style="130" customWidth="1"/>
    <col min="15" max="16" width="11.421875" style="130" customWidth="1"/>
    <col min="17" max="32" width="11.421875" style="862" customWidth="1"/>
    <col min="33" max="16384" width="11.421875" style="130" customWidth="1"/>
  </cols>
  <sheetData>
    <row r="1" spans="1:32" s="138" customFormat="1" ht="17.25" customHeight="1">
      <c r="A1" s="153"/>
      <c r="B1" s="83"/>
      <c r="C1" s="154"/>
      <c r="D1" s="153"/>
      <c r="E1" s="152"/>
      <c r="F1" s="156"/>
      <c r="G1" s="156"/>
      <c r="H1" s="1036" t="str">
        <f>Termék!A1</f>
        <v>A BIZOTTSÁG HATÁROZATA</v>
      </c>
      <c r="I1" s="1037"/>
      <c r="J1" s="1094" t="str">
        <f>Termék!C1</f>
        <v>2017/1214/EU a kézi mosogatószerek uniós ökocímke kritériumairól</v>
      </c>
      <c r="K1" s="1095"/>
      <c r="L1" s="1095"/>
      <c r="M1" s="1096"/>
      <c r="N1" s="155"/>
      <c r="O1" s="155"/>
      <c r="P1" s="155"/>
      <c r="Q1" s="861"/>
      <c r="R1" s="861"/>
      <c r="S1" s="861"/>
      <c r="T1" s="861"/>
      <c r="U1" s="861"/>
      <c r="V1" s="861"/>
      <c r="W1" s="861"/>
      <c r="X1" s="861"/>
      <c r="Y1" s="861"/>
      <c r="Z1" s="861"/>
      <c r="AA1" s="861"/>
      <c r="AB1" s="861"/>
      <c r="AC1" s="861"/>
      <c r="AD1" s="861"/>
      <c r="AE1" s="861"/>
      <c r="AF1" s="861"/>
    </row>
    <row r="2" spans="1:32" s="138" customFormat="1" ht="15.5">
      <c r="A2" s="157"/>
      <c r="B2" s="158"/>
      <c r="C2" s="158"/>
      <c r="D2" s="157"/>
      <c r="E2" s="158"/>
      <c r="F2" s="158"/>
      <c r="G2" s="158"/>
      <c r="H2" s="140"/>
      <c r="I2" s="140"/>
      <c r="J2" s="155"/>
      <c r="K2" s="243"/>
      <c r="L2" s="155"/>
      <c r="M2" s="155"/>
      <c r="N2" s="155"/>
      <c r="O2" s="155"/>
      <c r="P2" s="155"/>
      <c r="Q2" s="861"/>
      <c r="R2" s="861"/>
      <c r="S2" s="861"/>
      <c r="T2" s="861"/>
      <c r="U2" s="861"/>
      <c r="V2" s="861"/>
      <c r="W2" s="861"/>
      <c r="X2" s="861"/>
      <c r="Y2" s="861"/>
      <c r="Z2" s="861"/>
      <c r="AA2" s="861"/>
      <c r="AB2" s="861"/>
      <c r="AC2" s="861"/>
      <c r="AD2" s="861"/>
      <c r="AE2" s="861"/>
      <c r="AF2" s="861"/>
    </row>
    <row r="3" spans="1:32" s="138" customFormat="1" ht="15.75" customHeight="1">
      <c r="A3" s="1126" t="str">
        <f>Termék!A6</f>
        <v>Szerződés száma:</v>
      </c>
      <c r="B3" s="1127"/>
      <c r="C3" s="1128">
        <f>Termék!C6</f>
        <v>0</v>
      </c>
      <c r="D3" s="1129"/>
      <c r="E3" s="1129"/>
      <c r="F3" s="1129"/>
      <c r="G3" s="1130"/>
      <c r="H3" s="140"/>
      <c r="I3" s="140"/>
      <c r="J3" s="155"/>
      <c r="K3" s="205" t="str">
        <f>Termék!A3</f>
        <v>Dátum:</v>
      </c>
      <c r="L3" s="762" t="str">
        <f>IF(Termék!B3="","",Termék!B3)</f>
        <v/>
      </c>
      <c r="M3" s="155"/>
      <c r="N3" s="155"/>
      <c r="O3" s="155"/>
      <c r="P3" s="155"/>
      <c r="Q3" s="861"/>
      <c r="R3" s="861"/>
      <c r="S3" s="861"/>
      <c r="T3" s="861"/>
      <c r="U3" s="861"/>
      <c r="V3" s="861"/>
      <c r="W3" s="861"/>
      <c r="X3" s="861"/>
      <c r="Y3" s="861"/>
      <c r="Z3" s="861"/>
      <c r="AA3" s="861"/>
      <c r="AB3" s="861"/>
      <c r="AC3" s="861"/>
      <c r="AD3" s="861"/>
      <c r="AE3" s="861"/>
      <c r="AF3" s="861"/>
    </row>
    <row r="4" spans="1:32" s="138" customFormat="1" ht="15.75" customHeight="1">
      <c r="A4" s="1126" t="str">
        <f>Termék!A7</f>
        <v>Védjegyhasználó</v>
      </c>
      <c r="B4" s="1127"/>
      <c r="C4" s="1128" t="str">
        <f>Termék!C7</f>
        <v/>
      </c>
      <c r="D4" s="1129"/>
      <c r="E4" s="1129"/>
      <c r="F4" s="1129"/>
      <c r="G4" s="1130"/>
      <c r="H4" s="140"/>
      <c r="I4" s="140"/>
      <c r="J4" s="155"/>
      <c r="K4" s="205" t="str">
        <f>Termék!A4</f>
        <v>Verziószám:</v>
      </c>
      <c r="L4" s="762" t="str">
        <f>IF(Termék!B4="","",Termék!B4)</f>
        <v/>
      </c>
      <c r="M4" s="155"/>
      <c r="N4" s="155"/>
      <c r="O4" s="155"/>
      <c r="P4" s="155"/>
      <c r="Q4" s="861"/>
      <c r="R4" s="861"/>
      <c r="S4" s="861"/>
      <c r="T4" s="861"/>
      <c r="U4" s="861"/>
      <c r="V4" s="861"/>
      <c r="W4" s="861"/>
      <c r="X4" s="861"/>
      <c r="Y4" s="861"/>
      <c r="Z4" s="861"/>
      <c r="AA4" s="861"/>
      <c r="AB4" s="861"/>
      <c r="AC4" s="861"/>
      <c r="AD4" s="861"/>
      <c r="AE4" s="861"/>
      <c r="AF4" s="861"/>
    </row>
    <row r="5" spans="1:32" s="138" customFormat="1" ht="15.75" customHeight="1">
      <c r="A5" s="1126" t="str">
        <f>Termék!A24</f>
        <v>A termék fajtája:</v>
      </c>
      <c r="B5" s="1127"/>
      <c r="C5" s="1128">
        <f>Termék!C24</f>
        <v>0</v>
      </c>
      <c r="D5" s="1129"/>
      <c r="E5" s="1129"/>
      <c r="F5" s="1129"/>
      <c r="G5" s="1130"/>
      <c r="H5" s="140"/>
      <c r="I5" s="140"/>
      <c r="J5" s="155"/>
      <c r="K5" s="155"/>
      <c r="L5" s="155"/>
      <c r="M5" s="155"/>
      <c r="N5" s="155"/>
      <c r="O5" s="155"/>
      <c r="P5" s="155"/>
      <c r="Q5" s="861"/>
      <c r="R5" s="861"/>
      <c r="S5" s="861"/>
      <c r="T5" s="861"/>
      <c r="U5" s="861"/>
      <c r="V5" s="861"/>
      <c r="W5" s="861"/>
      <c r="X5" s="861"/>
      <c r="Y5" s="861"/>
      <c r="Z5" s="861"/>
      <c r="AA5" s="861"/>
      <c r="AB5" s="861"/>
      <c r="AC5" s="861"/>
      <c r="AD5" s="861"/>
      <c r="AE5" s="861"/>
      <c r="AF5" s="861"/>
    </row>
    <row r="6" spans="1:32" s="138" customFormat="1" ht="15.75" customHeight="1">
      <c r="A6" s="1126" t="str">
        <f>Termék!A26</f>
        <v>A termék halmazállapota:</v>
      </c>
      <c r="B6" s="1127"/>
      <c r="C6" s="1128">
        <f>Termék!C26</f>
        <v>0</v>
      </c>
      <c r="D6" s="1129"/>
      <c r="E6" s="1129"/>
      <c r="F6" s="1129"/>
      <c r="G6" s="1130"/>
      <c r="H6" s="140"/>
      <c r="I6" s="140"/>
      <c r="J6" s="155"/>
      <c r="K6" s="155"/>
      <c r="L6" s="155"/>
      <c r="M6" s="155"/>
      <c r="N6" s="155"/>
      <c r="O6" s="155"/>
      <c r="P6" s="155"/>
      <c r="Q6" s="861"/>
      <c r="R6" s="861"/>
      <c r="S6" s="861"/>
      <c r="T6" s="861"/>
      <c r="U6" s="861"/>
      <c r="V6" s="861"/>
      <c r="W6" s="861"/>
      <c r="X6" s="861"/>
      <c r="Y6" s="861"/>
      <c r="Z6" s="861"/>
      <c r="AA6" s="861"/>
      <c r="AB6" s="861"/>
      <c r="AC6" s="861"/>
      <c r="AD6" s="861"/>
      <c r="AE6" s="861"/>
      <c r="AF6" s="861"/>
    </row>
    <row r="7" spans="1:32" s="138" customFormat="1" ht="15.5">
      <c r="A7" s="1111" t="str">
        <f>IF(Adatlap!$L$1=Fordítások!C3,Fordítások!C299,Fordítások!B299)</f>
        <v>Referenciaadag:</v>
      </c>
      <c r="B7" s="1111"/>
      <c r="C7" s="1128">
        <f>Termék!C38</f>
        <v>0</v>
      </c>
      <c r="D7" s="1129"/>
      <c r="E7" s="1129"/>
      <c r="F7" s="1129"/>
      <c r="G7" s="1130"/>
      <c r="H7" s="1097">
        <f>Termék!C39</f>
        <v>0</v>
      </c>
      <c r="I7" s="1097"/>
      <c r="J7" s="155"/>
      <c r="K7" s="155"/>
      <c r="L7" s="155"/>
      <c r="M7" s="155"/>
      <c r="N7" s="155"/>
      <c r="O7" s="155"/>
      <c r="P7" s="155"/>
      <c r="Q7" s="861"/>
      <c r="R7" s="861"/>
      <c r="S7" s="861"/>
      <c r="T7" s="861"/>
      <c r="U7" s="861"/>
      <c r="V7" s="861"/>
      <c r="W7" s="861"/>
      <c r="X7" s="861"/>
      <c r="Y7" s="861"/>
      <c r="Z7" s="861"/>
      <c r="AA7" s="861"/>
      <c r="AB7" s="861"/>
      <c r="AC7" s="861"/>
      <c r="AD7" s="861"/>
      <c r="AE7" s="861"/>
      <c r="AF7" s="861"/>
    </row>
    <row r="8" spans="1:32" s="138" customFormat="1" ht="15.75" customHeight="1">
      <c r="A8" s="156"/>
      <c r="B8" s="156"/>
      <c r="C8" s="156"/>
      <c r="D8" s="156"/>
      <c r="E8" s="156"/>
      <c r="F8" s="156"/>
      <c r="G8" s="156"/>
      <c r="H8" s="155"/>
      <c r="I8" s="155"/>
      <c r="J8" s="159"/>
      <c r="K8" s="159"/>
      <c r="L8" s="159"/>
      <c r="M8" s="159"/>
      <c r="N8" s="159"/>
      <c r="O8" s="159"/>
      <c r="P8" s="159"/>
      <c r="Q8" s="861"/>
      <c r="R8" s="861"/>
      <c r="S8" s="861"/>
      <c r="T8" s="861"/>
      <c r="U8" s="861"/>
      <c r="V8" s="861"/>
      <c r="W8" s="861"/>
      <c r="X8" s="861"/>
      <c r="Y8" s="861"/>
      <c r="Z8" s="861"/>
      <c r="AA8" s="861"/>
      <c r="AB8" s="861"/>
      <c r="AC8" s="861"/>
      <c r="AD8" s="861"/>
      <c r="AE8" s="861"/>
      <c r="AF8" s="861"/>
    </row>
    <row r="9" spans="1:32" s="138" customFormat="1" ht="15.75" customHeight="1" thickBot="1">
      <c r="A9" s="156"/>
      <c r="B9" s="156"/>
      <c r="C9" s="156"/>
      <c r="D9" s="156"/>
      <c r="E9" s="156"/>
      <c r="F9" s="156"/>
      <c r="G9" s="156"/>
      <c r="H9" s="155"/>
      <c r="I9" s="155"/>
      <c r="J9" s="159"/>
      <c r="K9" s="159"/>
      <c r="L9" s="159"/>
      <c r="M9" s="159"/>
      <c r="N9" s="159"/>
      <c r="O9" s="159"/>
      <c r="P9" s="159"/>
      <c r="Q9" s="861"/>
      <c r="R9" s="861"/>
      <c r="S9" s="861"/>
      <c r="T9" s="861"/>
      <c r="U9" s="861"/>
      <c r="V9" s="861"/>
      <c r="W9" s="861"/>
      <c r="X9" s="861"/>
      <c r="Y9" s="861"/>
      <c r="Z9" s="861"/>
      <c r="AA9" s="861"/>
      <c r="AB9" s="861"/>
      <c r="AC9" s="861"/>
      <c r="AD9" s="861"/>
      <c r="AE9" s="861"/>
      <c r="AF9" s="861"/>
    </row>
    <row r="10" spans="1:32" s="138" customFormat="1" ht="15.75" customHeight="1">
      <c r="A10" s="244"/>
      <c r="B10" s="245"/>
      <c r="C10" s="1123" t="str">
        <f>IF(Adatlap!$L$1=Fordítások!C3,Fordítások!C196,Fordítások!B196)</f>
        <v>1. kiszerelés</v>
      </c>
      <c r="D10" s="1124" t="e">
        <f>IF(Adatlap!$L$1=Fordítások!A12,Fordítások!A115,Fordítások!#REF!)</f>
        <v>#REF!</v>
      </c>
      <c r="E10" s="1124" t="e">
        <f>IF(Adatlap!$L$1=Fordítások!#REF!,Fordítások!#REF!,Fordítások!D115)</f>
        <v>#REF!</v>
      </c>
      <c r="F10" s="1125">
        <f>IF(Adatlap!$L$1=Fordítások!D12,Fordítások!D115,Fordítások!E115)</f>
        <v>0</v>
      </c>
      <c r="G10" s="143"/>
      <c r="H10" s="244"/>
      <c r="I10" s="245"/>
      <c r="J10" s="1123" t="str">
        <f>IF(Adatlap!$L$1=Fordítások!C3,Fordítások!C198,Fordítások!B198)</f>
        <v>3. kiszerelés</v>
      </c>
      <c r="K10" s="1124">
        <f>IF(Adatlap!$L$1=Fordítások!I12,Fordítások!I115,Fordítások!J115)</f>
        <v>0</v>
      </c>
      <c r="L10" s="1124">
        <f>IF(Adatlap!$L$1=Fordítások!J12,Fordítások!J115,Fordítások!K115)</f>
        <v>0</v>
      </c>
      <c r="M10" s="1125">
        <f>IF(Adatlap!$L$1=Fordítások!K12,Fordítások!K115,Fordítások!L115)</f>
        <v>0</v>
      </c>
      <c r="N10" s="159"/>
      <c r="O10" s="159"/>
      <c r="P10" s="159"/>
      <c r="Q10" s="861"/>
      <c r="R10" s="861"/>
      <c r="S10" s="861"/>
      <c r="T10" s="861"/>
      <c r="U10" s="861"/>
      <c r="V10" s="861"/>
      <c r="W10" s="861"/>
      <c r="X10" s="861"/>
      <c r="Y10" s="861"/>
      <c r="Z10" s="861"/>
      <c r="AA10" s="861"/>
      <c r="AB10" s="861"/>
      <c r="AC10" s="861"/>
      <c r="AD10" s="861"/>
      <c r="AE10" s="861"/>
      <c r="AF10" s="861"/>
    </row>
    <row r="11" spans="1:32" s="138" customFormat="1" ht="19.5" customHeight="1">
      <c r="A11" s="1110" t="str">
        <f>IF(Adatlap!$L$1=Fordítások!C3,Fordítások!C184,Fordítások!B184)</f>
        <v>A csomagolás leírása:</v>
      </c>
      <c r="B11" s="1111"/>
      <c r="C11" s="1105"/>
      <c r="D11" s="1106"/>
      <c r="E11" s="1106"/>
      <c r="F11" s="1107"/>
      <c r="G11" s="143"/>
      <c r="H11" s="1121" t="str">
        <f>A11</f>
        <v>A csomagolás leírása:</v>
      </c>
      <c r="I11" s="1122"/>
      <c r="J11" s="1105"/>
      <c r="K11" s="1106"/>
      <c r="L11" s="1106"/>
      <c r="M11" s="1107"/>
      <c r="N11" s="159"/>
      <c r="O11" s="159"/>
      <c r="P11" s="159"/>
      <c r="Q11" s="861"/>
      <c r="R11" s="861"/>
      <c r="S11" s="861"/>
      <c r="T11" s="861"/>
      <c r="U11" s="861"/>
      <c r="V11" s="861"/>
      <c r="W11" s="861"/>
      <c r="X11" s="861"/>
      <c r="Y11" s="861"/>
      <c r="Z11" s="861"/>
      <c r="AA11" s="861"/>
      <c r="AB11" s="861"/>
      <c r="AC11" s="861"/>
      <c r="AD11" s="861"/>
      <c r="AE11" s="861"/>
      <c r="AF11" s="861"/>
    </row>
    <row r="12" spans="1:32" s="138" customFormat="1" ht="30.75" customHeight="1">
      <c r="A12" s="1103" t="str">
        <f>IF(Adatlap!$L$1=Fordítások!C3,Fordítások!C300,Fordítások!B300)</f>
        <v>A THA számítás szempontjából kivételt jelent? (Válasszon)</v>
      </c>
      <c r="B12" s="1104"/>
      <c r="C12" s="1100"/>
      <c r="D12" s="1101"/>
      <c r="E12" s="1101"/>
      <c r="F12" s="1102"/>
      <c r="G12" s="143"/>
      <c r="H12" s="1103" t="str">
        <f>A12</f>
        <v>A THA számítás szempontjából kivételt jelent? (Válasszon)</v>
      </c>
      <c r="I12" s="1104"/>
      <c r="J12" s="1100"/>
      <c r="K12" s="1101"/>
      <c r="L12" s="1101"/>
      <c r="M12" s="1102"/>
      <c r="N12" s="159"/>
      <c r="O12" s="159"/>
      <c r="P12" s="159"/>
      <c r="Q12" s="861"/>
      <c r="R12" s="861"/>
      <c r="S12" s="861"/>
      <c r="T12" s="861"/>
      <c r="U12" s="861"/>
      <c r="V12" s="861"/>
      <c r="W12" s="861"/>
      <c r="X12" s="861"/>
      <c r="Y12" s="861"/>
      <c r="Z12" s="861"/>
      <c r="AA12" s="861"/>
      <c r="AB12" s="861"/>
      <c r="AC12" s="861"/>
      <c r="AD12" s="861"/>
      <c r="AE12" s="861"/>
      <c r="AF12" s="861"/>
    </row>
    <row r="13" spans="1:32" s="138" customFormat="1" ht="72.75" customHeight="1">
      <c r="A13" s="1103" t="str">
        <f>IF(Adatlap!$L$1=Fordítások!C3,Fordítások!C186,Fordítások!B186)</f>
        <v>Az elsődleges csomagolásban található  termék tömege (ha a referenciaadag ml-ben lett megadva, itt a tömeget literben, ha a referenciaadag g-ban volt megadva, itt a tömeget kg-ban kell megadni)</v>
      </c>
      <c r="B13" s="1104"/>
      <c r="C13" s="1105"/>
      <c r="D13" s="1106"/>
      <c r="E13" s="1106"/>
      <c r="F13" s="1107"/>
      <c r="G13" s="143"/>
      <c r="H13" s="1098" t="str">
        <f aca="true" t="shared" si="0" ref="H13">A13</f>
        <v>Az elsődleges csomagolásban található  termék tömege (ha a referenciaadag ml-ben lett megadva, itt a tömeget literben, ha a referenciaadag g-ban volt megadva, itt a tömeget kg-ban kell megadni)</v>
      </c>
      <c r="I13" s="1099"/>
      <c r="J13" s="1105"/>
      <c r="K13" s="1106"/>
      <c r="L13" s="1106"/>
      <c r="M13" s="1107"/>
      <c r="N13" s="159"/>
      <c r="O13" s="159"/>
      <c r="P13" s="159"/>
      <c r="Q13" s="861"/>
      <c r="R13" s="861"/>
      <c r="S13" s="861"/>
      <c r="T13" s="861"/>
      <c r="U13" s="861"/>
      <c r="V13" s="861"/>
      <c r="W13" s="861"/>
      <c r="X13" s="861"/>
      <c r="Y13" s="861"/>
      <c r="Z13" s="861"/>
      <c r="AA13" s="861"/>
      <c r="AB13" s="861"/>
      <c r="AC13" s="861"/>
      <c r="AD13" s="861"/>
      <c r="AE13" s="861"/>
      <c r="AF13" s="861"/>
    </row>
    <row r="14" spans="1:32" s="138" customFormat="1" ht="13.5" thickBot="1">
      <c r="A14" s="246"/>
      <c r="B14" s="158"/>
      <c r="C14" s="158"/>
      <c r="D14" s="158"/>
      <c r="E14" s="158"/>
      <c r="F14" s="247"/>
      <c r="G14" s="156"/>
      <c r="H14" s="246"/>
      <c r="I14" s="158"/>
      <c r="J14" s="158"/>
      <c r="K14" s="158"/>
      <c r="L14" s="158"/>
      <c r="M14" s="247"/>
      <c r="N14" s="159"/>
      <c r="O14" s="159"/>
      <c r="P14" s="159"/>
      <c r="Q14" s="861"/>
      <c r="R14" s="861"/>
      <c r="S14" s="861"/>
      <c r="T14" s="861"/>
      <c r="U14" s="861"/>
      <c r="V14" s="861"/>
      <c r="W14" s="861"/>
      <c r="X14" s="861"/>
      <c r="Y14" s="861"/>
      <c r="Z14" s="861"/>
      <c r="AA14" s="861"/>
      <c r="AB14" s="861"/>
      <c r="AC14" s="861"/>
      <c r="AD14" s="861"/>
      <c r="AE14" s="861"/>
      <c r="AF14" s="861"/>
    </row>
    <row r="15" spans="1:16" ht="171.75" customHeight="1">
      <c r="A15" s="210" t="str">
        <f>IF(Adatlap!$L$1=Fordítások!C3,Fordítások!C188,Fordítások!B188)</f>
        <v>Az elsődleges csomagolás (i) része
(Kérjük, nevezze meg!)</v>
      </c>
      <c r="B15" s="211" t="str">
        <f>IF(Adatlap!$L$1=Fordítások!C3,Fordítások!C189,Fordítások!B189)</f>
        <v>Az (i) rész súlya, gramm (Ti)</v>
      </c>
      <c r="C15" s="211" t="str">
        <f>IF(Adatlap!$L$1=Fordítások!C3,Fordítások!C190,Fordítások!B190)</f>
        <v>az i elsődleges csomagolás nem fogyasztóktól visszavett csomagolóanyag-hulladék  újrahasznosításából származó részének tömege, gramm (Hi)</v>
      </c>
      <c r="D15" s="211" t="str">
        <f>IF(Adatlap!$L$1=Fordítások!C3,Fordítások!C191,Fordítások!B191)</f>
        <v>Újratöltési mutató (Ri)</v>
      </c>
      <c r="E15" s="211" t="s">
        <v>559</v>
      </c>
      <c r="F15" s="212" t="str">
        <f>IF(Adatlap!L1=Fordítások!C3,Fordítások!C308,Fordítások!B308)</f>
        <v>=( Ti + Hi ) /
 ( Di x Ri )</v>
      </c>
      <c r="G15" s="156"/>
      <c r="H15" s="210" t="str">
        <f>A15</f>
        <v>Az elsődleges csomagolás (i) része
(Kérjük, nevezze meg!)</v>
      </c>
      <c r="I15" s="211" t="str">
        <f aca="true" t="shared" si="1" ref="I15:M15">B15</f>
        <v>Az (i) rész súlya, gramm (Ti)</v>
      </c>
      <c r="J15" s="211" t="str">
        <f t="shared" si="1"/>
        <v>az i elsődleges csomagolás nem fogyasztóktól visszavett csomagolóanyag-hulladék  újrahasznosításából származó részének tömege, gramm (Hi)</v>
      </c>
      <c r="K15" s="211" t="str">
        <f t="shared" si="1"/>
        <v>Újratöltési mutató (Ri)</v>
      </c>
      <c r="L15" s="211" t="str">
        <f t="shared" si="1"/>
        <v>(Di)</v>
      </c>
      <c r="M15" s="213" t="str">
        <f t="shared" si="1"/>
        <v>=( Ti + Hi ) /
 ( Di x Ri )</v>
      </c>
      <c r="N15" s="159"/>
      <c r="O15" s="159"/>
      <c r="P15" s="159"/>
    </row>
    <row r="16" spans="1:16" ht="15" customHeight="1">
      <c r="A16" s="144"/>
      <c r="B16" s="150"/>
      <c r="C16" s="150"/>
      <c r="D16" s="145"/>
      <c r="E16" s="214" t="str">
        <f>IF(A16="","",$C$13*1000/Termék!$C$38)</f>
        <v/>
      </c>
      <c r="F16" s="215" t="str">
        <f>IF(A16="","",((B16+C16)/(E16*D16)))</f>
        <v/>
      </c>
      <c r="G16" s="156"/>
      <c r="H16" s="144"/>
      <c r="I16" s="150"/>
      <c r="J16" s="150"/>
      <c r="K16" s="145"/>
      <c r="L16" s="214" t="str">
        <f>IF(H16="","",$J$13*1000/Termék!$C$38)</f>
        <v/>
      </c>
      <c r="M16" s="215" t="str">
        <f>IF(H16="","",((I16+J16)/(L16*K16)))</f>
        <v/>
      </c>
      <c r="N16" s="159"/>
      <c r="O16" s="159"/>
      <c r="P16" s="159"/>
    </row>
    <row r="17" spans="1:16" ht="15" customHeight="1">
      <c r="A17" s="146"/>
      <c r="B17" s="150"/>
      <c r="C17" s="150"/>
      <c r="D17" s="145"/>
      <c r="E17" s="214" t="str">
        <f>IF(A17="","",$C$13*1000/Termék!$C$38)</f>
        <v/>
      </c>
      <c r="F17" s="215" t="str">
        <f>IF(A17="","",((B17+C17)/(E17*D17)))</f>
        <v/>
      </c>
      <c r="G17" s="156"/>
      <c r="H17" s="146"/>
      <c r="I17" s="150"/>
      <c r="J17" s="150"/>
      <c r="K17" s="145"/>
      <c r="L17" s="214" t="str">
        <f>IF(H17="","",$J$13*1000/Termék!$C$38)</f>
        <v/>
      </c>
      <c r="M17" s="215" t="str">
        <f>IF(H17="","",((I17+J17)/(L17*K17)))</f>
        <v/>
      </c>
      <c r="N17" s="159"/>
      <c r="O17" s="159"/>
      <c r="P17" s="159"/>
    </row>
    <row r="18" spans="1:16" ht="15" customHeight="1">
      <c r="A18" s="146"/>
      <c r="B18" s="150"/>
      <c r="C18" s="150"/>
      <c r="D18" s="145"/>
      <c r="E18" s="214" t="str">
        <f>IF(A18="","",$C$13*1000/Termék!$C$38)</f>
        <v/>
      </c>
      <c r="F18" s="215" t="str">
        <f>IF(A18="","",((B18+C18)/(E18*D18)))</f>
        <v/>
      </c>
      <c r="G18" s="156"/>
      <c r="H18" s="146"/>
      <c r="I18" s="150"/>
      <c r="J18" s="150"/>
      <c r="K18" s="145"/>
      <c r="L18" s="214" t="str">
        <f>IF(H18="","",$J$13*1000/Termék!$C$38)</f>
        <v/>
      </c>
      <c r="M18" s="215" t="str">
        <f>IF(H18="","",((I18+J18)/(L18*K18)))</f>
        <v/>
      </c>
      <c r="N18" s="159"/>
      <c r="O18" s="159"/>
      <c r="P18" s="159"/>
    </row>
    <row r="19" spans="1:16" ht="15" customHeight="1">
      <c r="A19" s="146"/>
      <c r="B19" s="150"/>
      <c r="C19" s="150"/>
      <c r="D19" s="145"/>
      <c r="E19" s="214" t="str">
        <f>IF(A19="","",$C$13*1000/Termék!$C$38)</f>
        <v/>
      </c>
      <c r="F19" s="215" t="str">
        <f>IF(A19="","",((B19+C19)/(E19*D19)))</f>
        <v/>
      </c>
      <c r="G19" s="156"/>
      <c r="H19" s="146"/>
      <c r="I19" s="150"/>
      <c r="J19" s="150"/>
      <c r="K19" s="145"/>
      <c r="L19" s="214" t="str">
        <f>IF(H19="","",$J$13*1000/Termék!$C$38)</f>
        <v/>
      </c>
      <c r="M19" s="215" t="str">
        <f>IF(H19="","",((I19+J19)/(L19*K19)))</f>
        <v/>
      </c>
      <c r="N19" s="159"/>
      <c r="O19" s="159"/>
      <c r="P19" s="159"/>
    </row>
    <row r="20" spans="1:16" ht="15" customHeight="1" thickBot="1">
      <c r="A20" s="147"/>
      <c r="B20" s="151"/>
      <c r="C20" s="151"/>
      <c r="D20" s="148"/>
      <c r="E20" s="216" t="str">
        <f>IF(A20="","",$C$13*1000/Termék!$C$38)</f>
        <v/>
      </c>
      <c r="F20" s="217" t="str">
        <f>IF(A20="","",((B20+C20)/(E20*D20)))</f>
        <v/>
      </c>
      <c r="G20" s="156"/>
      <c r="H20" s="147"/>
      <c r="I20" s="151"/>
      <c r="J20" s="151"/>
      <c r="K20" s="148"/>
      <c r="L20" s="216" t="str">
        <f>IF(H20="","",$J$13*1000/Termék!$C$38)</f>
        <v/>
      </c>
      <c r="M20" s="217" t="str">
        <f>IF(H20="","",((I20+J20)/(L20*K20)))</f>
        <v/>
      </c>
      <c r="N20" s="159"/>
      <c r="O20" s="159"/>
      <c r="P20" s="159"/>
    </row>
    <row r="21" spans="1:16" ht="17.25" customHeight="1">
      <c r="A21" s="246"/>
      <c r="B21" s="158"/>
      <c r="C21" s="158"/>
      <c r="D21" s="218" t="str">
        <f>IF(Adatlap!$L$1=Fordítások!C3,Fordítások!C24,Fordítások!B24)</f>
        <v>Összesen:</v>
      </c>
      <c r="E21" s="219" t="str">
        <f>IF(Adatlap!$L$1=Fordítások!C3,Fordítások!C195,Fordítások!B195)</f>
        <v>=THA</v>
      </c>
      <c r="F21" s="248">
        <f>SUM(F16:F20)</f>
        <v>0</v>
      </c>
      <c r="G21" s="156"/>
      <c r="H21" s="246"/>
      <c r="I21" s="158"/>
      <c r="J21" s="158"/>
      <c r="K21" s="218" t="str">
        <f>D21</f>
        <v>Összesen:</v>
      </c>
      <c r="L21" s="219" t="str">
        <f>E21</f>
        <v>=THA</v>
      </c>
      <c r="M21" s="248">
        <f>SUM(M16:M20)</f>
        <v>0</v>
      </c>
      <c r="N21" s="159"/>
      <c r="O21" s="159"/>
      <c r="P21" s="159"/>
    </row>
    <row r="22" spans="1:16" ht="17.25" customHeight="1">
      <c r="A22" s="1108"/>
      <c r="B22" s="1109"/>
      <c r="C22" s="1109"/>
      <c r="D22" s="249"/>
      <c r="E22" s="220" t="str">
        <f>IF(Adatlap!$L$1=Fordítások!C3,Fordítások!C204,Fordítások!B204)</f>
        <v>Határérték</v>
      </c>
      <c r="F22" s="250" t="e">
        <f>IF(OR(C12=Fordítások!$C301,C12=Fordítások!$B301),200,IF(OR(C12=Fordítások!$C302,C12=Fordítások!$B302),150,IF(OR(C12=Fordítások!$C303,C12=Fordítások!$B303),1.2,VLOOKUP(Termék!$C$24,Auswahldaten!$A$113:$G$137,7,FALSE))))</f>
        <v>#N/A</v>
      </c>
      <c r="G22" s="156"/>
      <c r="H22" s="1108"/>
      <c r="I22" s="1109"/>
      <c r="J22" s="1109"/>
      <c r="K22" s="249"/>
      <c r="L22" s="220" t="str">
        <f>E22</f>
        <v>Határérték</v>
      </c>
      <c r="M22" s="250" t="e">
        <f>IF(OR(J12=Fordítások!$C301,J12=Fordítások!$B301),200,IF(OR(J12=Fordítások!$C302,J12=Fordítások!$B302),150,IF(OR(J12=Fordítások!$C303,J12=Fordítások!$B303),1.2,VLOOKUP(Termék!$C$24,Auswahldaten!$A$113:$G$137,7,FALSE))))</f>
        <v>#N/A</v>
      </c>
      <c r="N22" s="159"/>
      <c r="O22" s="159"/>
      <c r="P22" s="159"/>
    </row>
    <row r="23" spans="1:16" ht="25.5" customHeight="1" thickBot="1">
      <c r="A23" s="1098" t="str">
        <f>IF(Adatlap!$L$1=Fordítások!C3,Fordítások!C304,Fordítások!B304)</f>
        <v>Újrahasznosított anyagok aránya az elsődleges csomagolásban:</v>
      </c>
      <c r="B23" s="1099"/>
      <c r="C23" s="221" t="str">
        <f>IF(C13="","",(SUM(B16:B20)-SUM(C16:C20))/SUM(B16:B20))</f>
        <v/>
      </c>
      <c r="D23" s="158"/>
      <c r="E23" s="222" t="str">
        <f>IF(Adatlap!$L$1=Fordítások!C3,Fordítások!C205,Fordítások!B205)</f>
        <v>Eredmény</v>
      </c>
      <c r="F23" s="251" t="e">
        <f>IF(OR(F21&lt;=F22,C23&gt;0.8),"ok","not ok")</f>
        <v>#N/A</v>
      </c>
      <c r="G23" s="156"/>
      <c r="H23" s="1098" t="str">
        <f>A23</f>
        <v>Újrahasznosított anyagok aránya az elsődleges csomagolásban:</v>
      </c>
      <c r="I23" s="1099"/>
      <c r="J23" s="221" t="str">
        <f>IF(J13="","",(SUM(I16:I20)-SUM(J16:J20))/SUM(I16:I20))</f>
        <v/>
      </c>
      <c r="K23" s="158"/>
      <c r="L23" s="222" t="str">
        <f>E23</f>
        <v>Eredmény</v>
      </c>
      <c r="M23" s="251" t="e">
        <f>IF(OR(M21&lt;=M22,J23&gt;0.8),"ok","not ok")</f>
        <v>#N/A</v>
      </c>
      <c r="N23" s="159"/>
      <c r="O23" s="159"/>
      <c r="P23" s="159"/>
    </row>
    <row r="24" spans="1:16" ht="9.75" customHeight="1" thickTop="1">
      <c r="A24" s="252"/>
      <c r="B24" s="158"/>
      <c r="C24" s="224"/>
      <c r="D24" s="224"/>
      <c r="E24" s="225"/>
      <c r="F24" s="253"/>
      <c r="G24" s="156"/>
      <c r="H24" s="252"/>
      <c r="I24" s="158"/>
      <c r="J24" s="224"/>
      <c r="K24" s="224"/>
      <c r="L24" s="225"/>
      <c r="M24" s="253"/>
      <c r="N24" s="159"/>
      <c r="O24" s="159"/>
      <c r="P24" s="159"/>
    </row>
    <row r="25" spans="1:32" s="6" customFormat="1" ht="28.5" customHeight="1">
      <c r="A25" s="1119" t="str">
        <f>IF(Adatlap!$L$1=Fordítások!C3,Fordítások!C143,Fordítások!B143)</f>
        <v>Csomagoláselem ( a pumpa kivételével - a permetezett anyagoknál is)</v>
      </c>
      <c r="B25" s="1120"/>
      <c r="C25" s="1120"/>
      <c r="D25" s="16"/>
      <c r="E25" s="16"/>
      <c r="F25" s="254"/>
      <c r="G25" s="16"/>
      <c r="H25" s="1119" t="str">
        <f>A25</f>
        <v>Csomagoláselem ( a pumpa kivételével - a permetezett anyagoknál is)</v>
      </c>
      <c r="I25" s="1120"/>
      <c r="J25" s="1120"/>
      <c r="K25" s="16"/>
      <c r="L25" s="16"/>
      <c r="M25" s="254"/>
      <c r="N25" s="52"/>
      <c r="O25" s="52"/>
      <c r="P25" s="52"/>
      <c r="Q25" s="467"/>
      <c r="R25" s="467"/>
      <c r="S25" s="467"/>
      <c r="T25" s="467"/>
      <c r="U25" s="467"/>
      <c r="V25" s="467"/>
      <c r="W25" s="467"/>
      <c r="X25" s="467"/>
      <c r="Y25" s="467"/>
      <c r="Z25" s="467"/>
      <c r="AA25" s="467"/>
      <c r="AB25" s="467"/>
      <c r="AC25" s="467"/>
      <c r="AD25" s="467"/>
      <c r="AE25" s="467"/>
      <c r="AF25" s="467"/>
    </row>
    <row r="26" spans="1:32" s="6" customFormat="1" ht="15" customHeight="1">
      <c r="A26" s="1119" t="str">
        <f>IF(Adatlap!$L$1=Fordítások!C3,Fordítások!C144,Fordítások!B144)</f>
        <v>A tartály vagy palack anyaga</v>
      </c>
      <c r="B26" s="1120"/>
      <c r="C26" s="1120"/>
      <c r="D26" s="1115"/>
      <c r="E26" s="1115"/>
      <c r="F26" s="1116"/>
      <c r="G26" s="16"/>
      <c r="H26" s="1119" t="str">
        <f aca="true" t="shared" si="2" ref="H26:H29">A26</f>
        <v>A tartály vagy palack anyaga</v>
      </c>
      <c r="I26" s="1120"/>
      <c r="J26" s="1120"/>
      <c r="K26" s="1115"/>
      <c r="L26" s="1115"/>
      <c r="M26" s="1116"/>
      <c r="N26" s="52"/>
      <c r="O26" s="52"/>
      <c r="P26" s="52"/>
      <c r="Q26" s="467"/>
      <c r="R26" s="467"/>
      <c r="S26" s="467"/>
      <c r="T26" s="467"/>
      <c r="U26" s="467"/>
      <c r="V26" s="467"/>
      <c r="W26" s="467"/>
      <c r="X26" s="467"/>
      <c r="Y26" s="467"/>
      <c r="Z26" s="467"/>
      <c r="AA26" s="467"/>
      <c r="AB26" s="467"/>
      <c r="AC26" s="467"/>
      <c r="AD26" s="467"/>
      <c r="AE26" s="467"/>
      <c r="AF26" s="467"/>
    </row>
    <row r="27" spans="1:32" s="6" customFormat="1" ht="15" customHeight="1">
      <c r="A27" s="1119" t="str">
        <f>IF(Adatlap!$L$1=Fordítások!C3,Fordítások!C145,Fordítások!B145)</f>
        <v>A címke/ráhúzható címke anyaga</v>
      </c>
      <c r="B27" s="1120"/>
      <c r="C27" s="1120"/>
      <c r="D27" s="1115"/>
      <c r="E27" s="1115"/>
      <c r="F27" s="1116"/>
      <c r="G27" s="16"/>
      <c r="H27" s="1119" t="str">
        <f t="shared" si="2"/>
        <v>A címke/ráhúzható címke anyaga</v>
      </c>
      <c r="I27" s="1120"/>
      <c r="J27" s="1120"/>
      <c r="K27" s="1115"/>
      <c r="L27" s="1115"/>
      <c r="M27" s="1116"/>
      <c r="N27" s="52"/>
      <c r="O27" s="52"/>
      <c r="P27" s="52"/>
      <c r="Q27" s="467"/>
      <c r="R27" s="467"/>
      <c r="S27" s="467"/>
      <c r="T27" s="467"/>
      <c r="U27" s="467"/>
      <c r="V27" s="467"/>
      <c r="W27" s="467"/>
      <c r="X27" s="467"/>
      <c r="Y27" s="467"/>
      <c r="Z27" s="467"/>
      <c r="AA27" s="467"/>
      <c r="AB27" s="467"/>
      <c r="AC27" s="467"/>
      <c r="AD27" s="467"/>
      <c r="AE27" s="467"/>
      <c r="AF27" s="467"/>
    </row>
    <row r="28" spans="1:32" s="6" customFormat="1" ht="15" customHeight="1">
      <c r="A28" s="1119" t="str">
        <f>IF(Adatlap!$L$1=Fordítások!C3,Fordítások!C146,Fordítások!B146)</f>
        <v>A záróelem anyaga</v>
      </c>
      <c r="B28" s="1120"/>
      <c r="C28" s="1120"/>
      <c r="D28" s="1115"/>
      <c r="E28" s="1115"/>
      <c r="F28" s="1116"/>
      <c r="G28" s="16"/>
      <c r="H28" s="1119" t="str">
        <f t="shared" si="2"/>
        <v>A záróelem anyaga</v>
      </c>
      <c r="I28" s="1120"/>
      <c r="J28" s="1120"/>
      <c r="K28" s="1115"/>
      <c r="L28" s="1115"/>
      <c r="M28" s="1116"/>
      <c r="N28" s="52"/>
      <c r="O28" s="52"/>
      <c r="P28" s="52"/>
      <c r="Q28" s="467"/>
      <c r="R28" s="467"/>
      <c r="S28" s="467"/>
      <c r="T28" s="467"/>
      <c r="U28" s="467"/>
      <c r="V28" s="467"/>
      <c r="W28" s="467"/>
      <c r="X28" s="467"/>
      <c r="Y28" s="467"/>
      <c r="Z28" s="467"/>
      <c r="AA28" s="467"/>
      <c r="AB28" s="467"/>
      <c r="AC28" s="467"/>
      <c r="AD28" s="467"/>
      <c r="AE28" s="467"/>
      <c r="AF28" s="467"/>
    </row>
    <row r="29" spans="1:32" s="6" customFormat="1" ht="15" customHeight="1" thickBot="1">
      <c r="A29" s="1131" t="str">
        <f>IF(Adatlap!$L$1=Fordítások!C3,Fordítások!C147,Fordítások!B147)</f>
        <v>A záróréteg-bevonat anyaga</v>
      </c>
      <c r="B29" s="1132"/>
      <c r="C29" s="1132"/>
      <c r="D29" s="1117"/>
      <c r="E29" s="1117"/>
      <c r="F29" s="1118"/>
      <c r="G29" s="16"/>
      <c r="H29" s="1131" t="str">
        <f t="shared" si="2"/>
        <v>A záróréteg-bevonat anyaga</v>
      </c>
      <c r="I29" s="1132"/>
      <c r="J29" s="1132"/>
      <c r="K29" s="1117"/>
      <c r="L29" s="1117"/>
      <c r="M29" s="1118"/>
      <c r="N29" s="52"/>
      <c r="O29" s="52"/>
      <c r="P29" s="52"/>
      <c r="Q29" s="467"/>
      <c r="R29" s="467"/>
      <c r="S29" s="467"/>
      <c r="T29" s="467"/>
      <c r="U29" s="467"/>
      <c r="V29" s="467"/>
      <c r="W29" s="467"/>
      <c r="X29" s="467"/>
      <c r="Y29" s="467"/>
      <c r="Z29" s="467"/>
      <c r="AA29" s="467"/>
      <c r="AB29" s="467"/>
      <c r="AC29" s="467"/>
      <c r="AD29" s="467"/>
      <c r="AE29" s="467"/>
      <c r="AF29" s="467"/>
    </row>
    <row r="30" spans="1:16" ht="10.5" customHeight="1" thickBot="1">
      <c r="A30" s="223"/>
      <c r="B30" s="159"/>
      <c r="C30" s="224"/>
      <c r="D30" s="224"/>
      <c r="E30" s="225"/>
      <c r="F30" s="226"/>
      <c r="G30" s="156"/>
      <c r="H30" s="223"/>
      <c r="I30" s="159"/>
      <c r="J30" s="224"/>
      <c r="K30" s="224"/>
      <c r="L30" s="225"/>
      <c r="M30" s="226"/>
      <c r="N30" s="159"/>
      <c r="O30" s="159"/>
      <c r="P30" s="159"/>
    </row>
    <row r="31" spans="1:32" s="138" customFormat="1" ht="15.75" customHeight="1">
      <c r="A31" s="244"/>
      <c r="B31" s="245"/>
      <c r="C31" s="1123" t="str">
        <f>IF(Adatlap!$L$1=Fordítások!C3,Fordítások!C197,Fordítások!B197)</f>
        <v>2. kiszerelés</v>
      </c>
      <c r="D31" s="1124" t="e">
        <f>IF(Adatlap!$L$1=Fordítások!A27,Fordítások!A130,Fordítások!#REF!)</f>
        <v>#REF!</v>
      </c>
      <c r="E31" s="1124" t="e">
        <f>IF(Adatlap!$L$1=Fordítások!#REF!,Fordítások!#REF!,Fordítások!D130)</f>
        <v>#REF!</v>
      </c>
      <c r="F31" s="1125">
        <f>IF(Adatlap!$L$1=Fordítások!D27,Fordítások!D130,Fordítások!E130)</f>
        <v>0</v>
      </c>
      <c r="G31" s="143"/>
      <c r="H31" s="258"/>
      <c r="I31" s="259"/>
      <c r="J31" s="1123" t="str">
        <f>IF(Adatlap!$L$1=Fordítások!C3,Fordítások!C199,Fordítások!B199)</f>
        <v>4. kiszerelés</v>
      </c>
      <c r="K31" s="1124">
        <f>IF(Adatlap!$L$1=Fordítások!I27,Fordítások!I130,Fordítások!J130)</f>
        <v>0</v>
      </c>
      <c r="L31" s="1124">
        <f>IF(Adatlap!$L$1=Fordítások!J27,Fordítások!J130,Fordítások!K130)</f>
        <v>0</v>
      </c>
      <c r="M31" s="1125">
        <f>IF(Adatlap!$L$1=Fordítások!K27,Fordítások!K130,Fordítások!L130)</f>
        <v>0</v>
      </c>
      <c r="N31" s="159"/>
      <c r="O31" s="159"/>
      <c r="P31" s="159"/>
      <c r="Q31" s="861"/>
      <c r="R31" s="861"/>
      <c r="S31" s="861"/>
      <c r="T31" s="861"/>
      <c r="U31" s="861"/>
      <c r="V31" s="861"/>
      <c r="W31" s="861"/>
      <c r="X31" s="861"/>
      <c r="Y31" s="861"/>
      <c r="Z31" s="861"/>
      <c r="AA31" s="861"/>
      <c r="AB31" s="861"/>
      <c r="AC31" s="861"/>
      <c r="AD31" s="861"/>
      <c r="AE31" s="861"/>
      <c r="AF31" s="861"/>
    </row>
    <row r="32" spans="1:32" s="138" customFormat="1" ht="19.5" customHeight="1">
      <c r="A32" s="1121" t="str">
        <f>A11</f>
        <v>A csomagolás leírása:</v>
      </c>
      <c r="B32" s="1122"/>
      <c r="C32" s="1105"/>
      <c r="D32" s="1106"/>
      <c r="E32" s="1106"/>
      <c r="F32" s="1107"/>
      <c r="G32" s="143"/>
      <c r="H32" s="1121" t="str">
        <f>H11</f>
        <v>A csomagolás leírása:</v>
      </c>
      <c r="I32" s="1122"/>
      <c r="J32" s="1105"/>
      <c r="K32" s="1106"/>
      <c r="L32" s="1106"/>
      <c r="M32" s="1107"/>
      <c r="N32" s="159"/>
      <c r="O32" s="159"/>
      <c r="P32" s="159"/>
      <c r="Q32" s="861"/>
      <c r="R32" s="861"/>
      <c r="S32" s="861"/>
      <c r="T32" s="861"/>
      <c r="U32" s="861"/>
      <c r="V32" s="861"/>
      <c r="W32" s="861"/>
      <c r="X32" s="861"/>
      <c r="Y32" s="861"/>
      <c r="Z32" s="861"/>
      <c r="AA32" s="861"/>
      <c r="AB32" s="861"/>
      <c r="AC32" s="861"/>
      <c r="AD32" s="861"/>
      <c r="AE32" s="861"/>
      <c r="AF32" s="861"/>
    </row>
    <row r="33" spans="1:32" s="138" customFormat="1" ht="30.75" customHeight="1">
      <c r="A33" s="1098" t="str">
        <f>A12</f>
        <v>A THA számítás szempontjából kivételt jelent? (Válasszon)</v>
      </c>
      <c r="B33" s="1099"/>
      <c r="C33" s="1100"/>
      <c r="D33" s="1101"/>
      <c r="E33" s="1101"/>
      <c r="F33" s="1102"/>
      <c r="G33" s="143"/>
      <c r="H33" s="1098" t="str">
        <f>H12</f>
        <v>A THA számítás szempontjából kivételt jelent? (Válasszon)</v>
      </c>
      <c r="I33" s="1099"/>
      <c r="J33" s="1100"/>
      <c r="K33" s="1101"/>
      <c r="L33" s="1101"/>
      <c r="M33" s="1102"/>
      <c r="N33" s="159"/>
      <c r="O33" s="159"/>
      <c r="P33" s="159"/>
      <c r="Q33" s="861"/>
      <c r="R33" s="861"/>
      <c r="S33" s="861"/>
      <c r="T33" s="861"/>
      <c r="U33" s="861"/>
      <c r="V33" s="861"/>
      <c r="W33" s="861"/>
      <c r="X33" s="861"/>
      <c r="Y33" s="861"/>
      <c r="Z33" s="861"/>
      <c r="AA33" s="861"/>
      <c r="AB33" s="861"/>
      <c r="AC33" s="861"/>
      <c r="AD33" s="861"/>
      <c r="AE33" s="861"/>
      <c r="AF33" s="861"/>
    </row>
    <row r="34" spans="1:32" s="138" customFormat="1" ht="75.75" customHeight="1">
      <c r="A34" s="1098" t="str">
        <f>A13</f>
        <v>Az elsődleges csomagolásban található  termék tömege (ha a referenciaadag ml-ben lett megadva, itt a tömeget literben, ha a referenciaadag g-ban volt megadva, itt a tömeget kg-ban kell megadni)</v>
      </c>
      <c r="B34" s="1099"/>
      <c r="C34" s="1105"/>
      <c r="D34" s="1106"/>
      <c r="E34" s="1106"/>
      <c r="F34" s="1107"/>
      <c r="G34" s="143"/>
      <c r="H34" s="1098" t="str">
        <f>H13</f>
        <v>Az elsődleges csomagolásban található  termék tömege (ha a referenciaadag ml-ben lett megadva, itt a tömeget literben, ha a referenciaadag g-ban volt megadva, itt a tömeget kg-ban kell megadni)</v>
      </c>
      <c r="I34" s="1099"/>
      <c r="J34" s="1105"/>
      <c r="K34" s="1106"/>
      <c r="L34" s="1106"/>
      <c r="M34" s="1107"/>
      <c r="N34" s="159"/>
      <c r="O34" s="159"/>
      <c r="P34" s="159"/>
      <c r="Q34" s="861"/>
      <c r="R34" s="861"/>
      <c r="S34" s="861"/>
      <c r="T34" s="861"/>
      <c r="U34" s="861"/>
      <c r="V34" s="861"/>
      <c r="W34" s="861"/>
      <c r="X34" s="861"/>
      <c r="Y34" s="861"/>
      <c r="Z34" s="861"/>
      <c r="AA34" s="861"/>
      <c r="AB34" s="861"/>
      <c r="AC34" s="861"/>
      <c r="AD34" s="861"/>
      <c r="AE34" s="861"/>
      <c r="AF34" s="861"/>
    </row>
    <row r="35" spans="1:32" s="138" customFormat="1" ht="13.5" thickBot="1">
      <c r="A35" s="246"/>
      <c r="B35" s="158"/>
      <c r="C35" s="158"/>
      <c r="D35" s="158"/>
      <c r="E35" s="158"/>
      <c r="F35" s="247"/>
      <c r="G35" s="156"/>
      <c r="H35" s="246"/>
      <c r="I35" s="158"/>
      <c r="J35" s="158"/>
      <c r="K35" s="158"/>
      <c r="L35" s="158"/>
      <c r="M35" s="247"/>
      <c r="N35" s="159"/>
      <c r="O35" s="159"/>
      <c r="P35" s="159"/>
      <c r="Q35" s="861"/>
      <c r="R35" s="861"/>
      <c r="S35" s="861"/>
      <c r="T35" s="861"/>
      <c r="U35" s="861"/>
      <c r="V35" s="861"/>
      <c r="W35" s="861"/>
      <c r="X35" s="861"/>
      <c r="Y35" s="861"/>
      <c r="Z35" s="861"/>
      <c r="AA35" s="861"/>
      <c r="AB35" s="861"/>
      <c r="AC35" s="861"/>
      <c r="AD35" s="861"/>
      <c r="AE35" s="861"/>
      <c r="AF35" s="861"/>
    </row>
    <row r="36" spans="1:16" ht="172.5" customHeight="1">
      <c r="A36" s="210" t="str">
        <f aca="true" t="shared" si="3" ref="A36:F36">A15</f>
        <v>Az elsődleges csomagolás (i) része
(Kérjük, nevezze meg!)</v>
      </c>
      <c r="B36" s="227" t="str">
        <f t="shared" si="3"/>
        <v>Az (i) rész súlya, gramm (Ti)</v>
      </c>
      <c r="C36" s="227" t="str">
        <f t="shared" si="3"/>
        <v>az i elsődleges csomagolás nem fogyasztóktól visszavett csomagolóanyag-hulladék  újrahasznosításából származó részének tömege, gramm (Hi)</v>
      </c>
      <c r="D36" s="228" t="str">
        <f t="shared" si="3"/>
        <v>Újratöltési mutató (Ri)</v>
      </c>
      <c r="E36" s="211" t="str">
        <f t="shared" si="3"/>
        <v>(Di)</v>
      </c>
      <c r="F36" s="212" t="str">
        <f t="shared" si="3"/>
        <v>=( Ti + Hi ) /
 ( Di x Ri )</v>
      </c>
      <c r="G36" s="156"/>
      <c r="H36" s="210" t="str">
        <f aca="true" t="shared" si="4" ref="H36:M36">H15</f>
        <v>Az elsődleges csomagolás (i) része
(Kérjük, nevezze meg!)</v>
      </c>
      <c r="I36" s="227" t="str">
        <f t="shared" si="4"/>
        <v>Az (i) rész súlya, gramm (Ti)</v>
      </c>
      <c r="J36" s="227" t="str">
        <f t="shared" si="4"/>
        <v>az i elsődleges csomagolás nem fogyasztóktól visszavett csomagolóanyag-hulladék  újrahasznosításából származó részének tömege, gramm (Hi)</v>
      </c>
      <c r="K36" s="228" t="str">
        <f t="shared" si="4"/>
        <v>Újratöltési mutató (Ri)</v>
      </c>
      <c r="L36" s="211" t="str">
        <f t="shared" si="4"/>
        <v>(Di)</v>
      </c>
      <c r="M36" s="212" t="str">
        <f t="shared" si="4"/>
        <v>=( Ti + Hi ) /
 ( Di x Ri )</v>
      </c>
      <c r="N36" s="159"/>
      <c r="O36" s="159"/>
      <c r="P36" s="159"/>
    </row>
    <row r="37" spans="1:16" ht="15" customHeight="1">
      <c r="A37" s="149"/>
      <c r="B37" s="150"/>
      <c r="C37" s="150"/>
      <c r="D37" s="145"/>
      <c r="E37" s="214" t="str">
        <f>IF(A37="","",$C$34*1000/Termék!$C$38)</f>
        <v/>
      </c>
      <c r="F37" s="215" t="str">
        <f>IF(A37="","",((B37+C37)/(E37*D37)))</f>
        <v/>
      </c>
      <c r="G37" s="156"/>
      <c r="H37" s="149"/>
      <c r="I37" s="150"/>
      <c r="J37" s="150"/>
      <c r="K37" s="145"/>
      <c r="L37" s="214" t="str">
        <f>IF(H37="","",$J$34*1000/Termék!$C$38)</f>
        <v/>
      </c>
      <c r="M37" s="215" t="str">
        <f>IF(H37="","",((I37+J37)/(L37*K37)))</f>
        <v/>
      </c>
      <c r="N37" s="159"/>
      <c r="O37" s="159"/>
      <c r="P37" s="159"/>
    </row>
    <row r="38" spans="1:16" ht="15" customHeight="1">
      <c r="A38" s="146"/>
      <c r="B38" s="150"/>
      <c r="C38" s="150"/>
      <c r="D38" s="145"/>
      <c r="E38" s="214" t="str">
        <f>IF(A38="","",$C$34*1000/Termék!$C$38)</f>
        <v/>
      </c>
      <c r="F38" s="215" t="str">
        <f aca="true" t="shared" si="5" ref="F38:F41">IF(A38="","",((B38+C38)/(E38*D38)))</f>
        <v/>
      </c>
      <c r="G38" s="156"/>
      <c r="H38" s="146"/>
      <c r="I38" s="150"/>
      <c r="J38" s="150"/>
      <c r="K38" s="145"/>
      <c r="L38" s="214" t="str">
        <f>IF(H38="","",$J$34*1000/Termék!$C$38)</f>
        <v/>
      </c>
      <c r="M38" s="215" t="str">
        <f aca="true" t="shared" si="6" ref="M38:M41">IF(H38="","",((I38+J38)/(L38*K38)))</f>
        <v/>
      </c>
      <c r="N38" s="159"/>
      <c r="O38" s="159"/>
      <c r="P38" s="159"/>
    </row>
    <row r="39" spans="1:16" ht="15" customHeight="1">
      <c r="A39" s="146"/>
      <c r="B39" s="150"/>
      <c r="C39" s="150"/>
      <c r="D39" s="145"/>
      <c r="E39" s="214" t="str">
        <f>IF(A39="","",$C$34*1000/Termék!$C$38)</f>
        <v/>
      </c>
      <c r="F39" s="215" t="str">
        <f t="shared" si="5"/>
        <v/>
      </c>
      <c r="G39" s="156"/>
      <c r="H39" s="146"/>
      <c r="I39" s="150"/>
      <c r="J39" s="150"/>
      <c r="K39" s="145"/>
      <c r="L39" s="214" t="str">
        <f>IF(H39="","",$J$34*1000/Termék!$C$38)</f>
        <v/>
      </c>
      <c r="M39" s="215" t="str">
        <f t="shared" si="6"/>
        <v/>
      </c>
      <c r="N39" s="159"/>
      <c r="O39" s="159"/>
      <c r="P39" s="159"/>
    </row>
    <row r="40" spans="1:16" ht="15" customHeight="1">
      <c r="A40" s="146"/>
      <c r="B40" s="150"/>
      <c r="C40" s="150"/>
      <c r="D40" s="145"/>
      <c r="E40" s="214" t="str">
        <f>IF(A40="","",$C$34*1000/Termék!$C$38)</f>
        <v/>
      </c>
      <c r="F40" s="215" t="str">
        <f t="shared" si="5"/>
        <v/>
      </c>
      <c r="G40" s="156"/>
      <c r="H40" s="146"/>
      <c r="I40" s="150"/>
      <c r="J40" s="150"/>
      <c r="K40" s="145"/>
      <c r="L40" s="214" t="str">
        <f>IF(H40="","",$J$34*1000/Termék!$C$38)</f>
        <v/>
      </c>
      <c r="M40" s="215" t="str">
        <f t="shared" si="6"/>
        <v/>
      </c>
      <c r="N40" s="159"/>
      <c r="O40" s="159"/>
      <c r="P40" s="159"/>
    </row>
    <row r="41" spans="1:16" ht="15" customHeight="1" thickBot="1">
      <c r="A41" s="147"/>
      <c r="B41" s="151"/>
      <c r="C41" s="151"/>
      <c r="D41" s="148"/>
      <c r="E41" s="216" t="str">
        <f>IF(A41="","",$C$34*1000/Termék!$C$38)</f>
        <v/>
      </c>
      <c r="F41" s="217" t="str">
        <f t="shared" si="5"/>
        <v/>
      </c>
      <c r="G41" s="156"/>
      <c r="H41" s="147"/>
      <c r="I41" s="151"/>
      <c r="J41" s="151"/>
      <c r="K41" s="148"/>
      <c r="L41" s="216" t="str">
        <f>IF(H41="","",$J$34*1000/Termék!$C$38)</f>
        <v/>
      </c>
      <c r="M41" s="217" t="str">
        <f t="shared" si="6"/>
        <v/>
      </c>
      <c r="N41" s="159"/>
      <c r="O41" s="159"/>
      <c r="P41" s="159"/>
    </row>
    <row r="42" spans="1:16" ht="17.25" customHeight="1">
      <c r="A42" s="246"/>
      <c r="B42" s="158"/>
      <c r="C42" s="158"/>
      <c r="D42" s="260" t="str">
        <f>D21</f>
        <v>Összesen:</v>
      </c>
      <c r="E42" s="219" t="str">
        <f>E21</f>
        <v>=THA</v>
      </c>
      <c r="F42" s="255">
        <f>SUM(F37:F41)</f>
        <v>0</v>
      </c>
      <c r="G42" s="156"/>
      <c r="H42" s="246"/>
      <c r="I42" s="158"/>
      <c r="J42" s="158"/>
      <c r="K42" s="260" t="str">
        <f>K21</f>
        <v>Összesen:</v>
      </c>
      <c r="L42" s="219" t="str">
        <f>L21</f>
        <v>=THA</v>
      </c>
      <c r="M42" s="255">
        <f>SUM(M37:M41)</f>
        <v>0</v>
      </c>
      <c r="N42" s="159"/>
      <c r="O42" s="159"/>
      <c r="P42" s="159"/>
    </row>
    <row r="43" spans="1:16" ht="17.25" customHeight="1">
      <c r="A43" s="1108"/>
      <c r="B43" s="1109"/>
      <c r="C43" s="1109"/>
      <c r="D43" s="249"/>
      <c r="E43" s="220" t="str">
        <f>E22</f>
        <v>Határérték</v>
      </c>
      <c r="F43" s="250" t="e">
        <f>IF(OR(C33=Fordítások!$C301,C33=Fordítások!$B301),200,IF(OR(C33=Fordítások!$C302,C33=Fordítások!$B302),150,IF(OR(C33=Fordítások!$C303,C33=Fordítások!$B303),1.2,VLOOKUP(Termék!$C$24,Auswahldaten!$A$113:$G$137,7,FALSE))))</f>
        <v>#N/A</v>
      </c>
      <c r="G43" s="156"/>
      <c r="H43" s="1108"/>
      <c r="I43" s="1109"/>
      <c r="J43" s="1109"/>
      <c r="K43" s="249"/>
      <c r="L43" s="220" t="str">
        <f>L22</f>
        <v>Határérték</v>
      </c>
      <c r="M43" s="250" t="e">
        <f>IF(OR(J33=Fordítások!$C301,J33=Fordítások!$B301),200,IF(OR(J33=Fordítások!$C302,J33=Fordítások!$B302),150,IF(OR(J33=Fordítások!$C303,J33=Fordítások!$B303),1.2,VLOOKUP(Termék!$C$24,Auswahldaten!$A$113:$G$137,7,FALSE))))</f>
        <v>#N/A</v>
      </c>
      <c r="N43" s="159"/>
      <c r="O43" s="159"/>
      <c r="P43" s="159"/>
    </row>
    <row r="44" spans="1:16" ht="25.5" customHeight="1" thickBot="1">
      <c r="A44" s="1098" t="str">
        <f>A23</f>
        <v>Újrahasznosított anyagok aránya az elsődleges csomagolásban:</v>
      </c>
      <c r="B44" s="1099"/>
      <c r="C44" s="221" t="str">
        <f>IF(C34="","",(SUM(B37:B41)-SUM(C37:C41))/SUM(B37:B41))</f>
        <v/>
      </c>
      <c r="D44" s="158"/>
      <c r="E44" s="222" t="str">
        <f>E23</f>
        <v>Eredmény</v>
      </c>
      <c r="F44" s="251" t="e">
        <f>IF(OR(F42&lt;=F43,C44&gt;0.8),"ok","not ok")</f>
        <v>#N/A</v>
      </c>
      <c r="G44" s="156"/>
      <c r="H44" s="1098" t="str">
        <f>A23</f>
        <v>Újrahasznosított anyagok aránya az elsődleges csomagolásban:</v>
      </c>
      <c r="I44" s="1099"/>
      <c r="J44" s="221" t="str">
        <f>IF(J34="","",(SUM(I37:I41)-SUM(J37:J41))/SUM(I37:I41))</f>
        <v/>
      </c>
      <c r="K44" s="158"/>
      <c r="L44" s="222" t="str">
        <f>L23</f>
        <v>Eredmény</v>
      </c>
      <c r="M44" s="251" t="e">
        <f>IF(OR(M42&lt;=M43,J44&gt;0.8),"ok","not ok")</f>
        <v>#N/A</v>
      </c>
      <c r="N44" s="159"/>
      <c r="O44" s="159"/>
      <c r="P44" s="159"/>
    </row>
    <row r="45" spans="1:16" ht="16" thickTop="1">
      <c r="A45" s="256"/>
      <c r="B45" s="155"/>
      <c r="C45" s="155"/>
      <c r="D45" s="155"/>
      <c r="E45" s="155"/>
      <c r="F45" s="257"/>
      <c r="G45" s="156"/>
      <c r="H45" s="256"/>
      <c r="I45" s="155"/>
      <c r="J45" s="155"/>
      <c r="K45" s="155"/>
      <c r="L45" s="155"/>
      <c r="M45" s="257"/>
      <c r="N45" s="155"/>
      <c r="O45" s="155"/>
      <c r="P45" s="155"/>
    </row>
    <row r="46" spans="1:32" s="6" customFormat="1" ht="28.5" customHeight="1">
      <c r="A46" s="1119" t="str">
        <f>A25</f>
        <v>Csomagoláselem ( a pumpa kivételével - a permetezett anyagoknál is)</v>
      </c>
      <c r="B46" s="1120"/>
      <c r="C46" s="1120"/>
      <c r="D46" s="16"/>
      <c r="E46" s="16"/>
      <c r="F46" s="254"/>
      <c r="G46" s="16"/>
      <c r="H46" s="1119" t="str">
        <f>A25</f>
        <v>Csomagoláselem ( a pumpa kivételével - a permetezett anyagoknál is)</v>
      </c>
      <c r="I46" s="1120"/>
      <c r="J46" s="1120"/>
      <c r="K46" s="16"/>
      <c r="L46" s="16"/>
      <c r="M46" s="254"/>
      <c r="N46" s="52"/>
      <c r="O46" s="52"/>
      <c r="P46" s="52"/>
      <c r="Q46" s="467"/>
      <c r="R46" s="467"/>
      <c r="S46" s="467"/>
      <c r="T46" s="467"/>
      <c r="U46" s="467"/>
      <c r="V46" s="467"/>
      <c r="W46" s="467"/>
      <c r="X46" s="467"/>
      <c r="Y46" s="467"/>
      <c r="Z46" s="467"/>
      <c r="AA46" s="467"/>
      <c r="AB46" s="467"/>
      <c r="AC46" s="467"/>
      <c r="AD46" s="467"/>
      <c r="AE46" s="467"/>
      <c r="AF46" s="467"/>
    </row>
    <row r="47" spans="1:32" s="6" customFormat="1" ht="15" customHeight="1">
      <c r="A47" s="1119" t="str">
        <f aca="true" t="shared" si="7" ref="A47:A50">A26</f>
        <v>A tartály vagy palack anyaga</v>
      </c>
      <c r="B47" s="1120"/>
      <c r="C47" s="1120"/>
      <c r="D47" s="1115"/>
      <c r="E47" s="1115"/>
      <c r="F47" s="1116"/>
      <c r="G47" s="16"/>
      <c r="H47" s="1119" t="str">
        <f aca="true" t="shared" si="8" ref="H47:H50">A26</f>
        <v>A tartály vagy palack anyaga</v>
      </c>
      <c r="I47" s="1120"/>
      <c r="J47" s="1120"/>
      <c r="K47" s="1115"/>
      <c r="L47" s="1115"/>
      <c r="M47" s="1116"/>
      <c r="N47" s="52"/>
      <c r="O47" s="52"/>
      <c r="P47" s="52"/>
      <c r="Q47" s="467"/>
      <c r="R47" s="467"/>
      <c r="S47" s="467"/>
      <c r="T47" s="467"/>
      <c r="U47" s="467"/>
      <c r="V47" s="467"/>
      <c r="W47" s="467"/>
      <c r="X47" s="467"/>
      <c r="Y47" s="467"/>
      <c r="Z47" s="467"/>
      <c r="AA47" s="467"/>
      <c r="AB47" s="467"/>
      <c r="AC47" s="467"/>
      <c r="AD47" s="467"/>
      <c r="AE47" s="467"/>
      <c r="AF47" s="467"/>
    </row>
    <row r="48" spans="1:32" s="6" customFormat="1" ht="15" customHeight="1">
      <c r="A48" s="1119" t="str">
        <f t="shared" si="7"/>
        <v>A címke/ráhúzható címke anyaga</v>
      </c>
      <c r="B48" s="1120"/>
      <c r="C48" s="1120"/>
      <c r="D48" s="1115"/>
      <c r="E48" s="1115"/>
      <c r="F48" s="1116"/>
      <c r="G48" s="16"/>
      <c r="H48" s="1119" t="str">
        <f t="shared" si="8"/>
        <v>A címke/ráhúzható címke anyaga</v>
      </c>
      <c r="I48" s="1120"/>
      <c r="J48" s="1120"/>
      <c r="K48" s="1115"/>
      <c r="L48" s="1115"/>
      <c r="M48" s="1116"/>
      <c r="N48" s="52"/>
      <c r="O48" s="52"/>
      <c r="P48" s="52"/>
      <c r="Q48" s="467"/>
      <c r="R48" s="467"/>
      <c r="S48" s="467"/>
      <c r="T48" s="467"/>
      <c r="U48" s="467"/>
      <c r="V48" s="467"/>
      <c r="W48" s="467"/>
      <c r="X48" s="467"/>
      <c r="Y48" s="467"/>
      <c r="Z48" s="467"/>
      <c r="AA48" s="467"/>
      <c r="AB48" s="467"/>
      <c r="AC48" s="467"/>
      <c r="AD48" s="467"/>
      <c r="AE48" s="467"/>
      <c r="AF48" s="467"/>
    </row>
    <row r="49" spans="1:32" s="6" customFormat="1" ht="15" customHeight="1">
      <c r="A49" s="1119" t="str">
        <f t="shared" si="7"/>
        <v>A záróelem anyaga</v>
      </c>
      <c r="B49" s="1120"/>
      <c r="C49" s="1120"/>
      <c r="D49" s="1115"/>
      <c r="E49" s="1115"/>
      <c r="F49" s="1116"/>
      <c r="G49" s="16"/>
      <c r="H49" s="1119" t="str">
        <f t="shared" si="8"/>
        <v>A záróelem anyaga</v>
      </c>
      <c r="I49" s="1120"/>
      <c r="J49" s="1120"/>
      <c r="K49" s="1115"/>
      <c r="L49" s="1115"/>
      <c r="M49" s="1116"/>
      <c r="N49" s="52"/>
      <c r="O49" s="52"/>
      <c r="P49" s="52"/>
      <c r="Q49" s="467"/>
      <c r="R49" s="467"/>
      <c r="S49" s="467"/>
      <c r="T49" s="467"/>
      <c r="U49" s="467"/>
      <c r="V49" s="467"/>
      <c r="W49" s="467"/>
      <c r="X49" s="467"/>
      <c r="Y49" s="467"/>
      <c r="Z49" s="467"/>
      <c r="AA49" s="467"/>
      <c r="AB49" s="467"/>
      <c r="AC49" s="467"/>
      <c r="AD49" s="467"/>
      <c r="AE49" s="467"/>
      <c r="AF49" s="467"/>
    </row>
    <row r="50" spans="1:32" s="6" customFormat="1" ht="15" customHeight="1" thickBot="1">
      <c r="A50" s="1131" t="str">
        <f t="shared" si="7"/>
        <v>A záróréteg-bevonat anyaga</v>
      </c>
      <c r="B50" s="1132"/>
      <c r="C50" s="1132"/>
      <c r="D50" s="1117"/>
      <c r="E50" s="1117"/>
      <c r="F50" s="1118"/>
      <c r="G50" s="16"/>
      <c r="H50" s="1131" t="str">
        <f t="shared" si="8"/>
        <v>A záróréteg-bevonat anyaga</v>
      </c>
      <c r="I50" s="1132"/>
      <c r="J50" s="1132"/>
      <c r="K50" s="1117"/>
      <c r="L50" s="1117"/>
      <c r="M50" s="1118"/>
      <c r="N50" s="52"/>
      <c r="O50" s="52"/>
      <c r="P50" s="52"/>
      <c r="Q50" s="467"/>
      <c r="R50" s="467"/>
      <c r="S50" s="467"/>
      <c r="T50" s="467"/>
      <c r="U50" s="467"/>
      <c r="V50" s="467"/>
      <c r="W50" s="467"/>
      <c r="X50" s="467"/>
      <c r="Y50" s="467"/>
      <c r="Z50" s="467"/>
      <c r="AA50" s="467"/>
      <c r="AB50" s="467"/>
      <c r="AC50" s="467"/>
      <c r="AD50" s="467"/>
      <c r="AE50" s="467"/>
      <c r="AF50" s="467"/>
    </row>
    <row r="51" spans="1:16" ht="15.5">
      <c r="A51" s="155"/>
      <c r="B51" s="155"/>
      <c r="C51" s="155"/>
      <c r="D51" s="155"/>
      <c r="E51" s="155"/>
      <c r="F51" s="155"/>
      <c r="G51" s="156"/>
      <c r="H51" s="155"/>
      <c r="I51" s="155"/>
      <c r="J51" s="155"/>
      <c r="K51" s="155"/>
      <c r="L51" s="155"/>
      <c r="M51" s="155"/>
      <c r="N51" s="155"/>
      <c r="O51" s="155"/>
      <c r="P51" s="155"/>
    </row>
    <row r="52" spans="1:16" ht="34.5" customHeight="1">
      <c r="A52" s="1112" t="str">
        <f>Összetétel!B67</f>
        <v>A pályázó megjegyzései</v>
      </c>
      <c r="B52" s="1113"/>
      <c r="C52" s="1113"/>
      <c r="D52" s="1113"/>
      <c r="E52" s="1113"/>
      <c r="F52" s="1113"/>
      <c r="G52" s="1113"/>
      <c r="H52" s="1113"/>
      <c r="I52" s="1113"/>
      <c r="J52" s="1113"/>
      <c r="K52" s="1113"/>
      <c r="L52" s="1113"/>
      <c r="M52" s="1114"/>
      <c r="N52" s="155"/>
      <c r="O52" s="155"/>
      <c r="P52" s="155"/>
    </row>
    <row r="53" spans="1:16" ht="15.5">
      <c r="A53" s="155"/>
      <c r="B53" s="155"/>
      <c r="C53" s="155"/>
      <c r="D53" s="155"/>
      <c r="E53" s="155"/>
      <c r="F53" s="155"/>
      <c r="G53" s="156"/>
      <c r="H53" s="155"/>
      <c r="I53" s="155"/>
      <c r="J53" s="155"/>
      <c r="K53" s="155"/>
      <c r="L53" s="155"/>
      <c r="M53" s="155"/>
      <c r="N53" s="155"/>
      <c r="O53" s="155"/>
      <c r="P53" s="155"/>
    </row>
    <row r="54" spans="1:16" ht="15.5">
      <c r="A54" s="155"/>
      <c r="B54" s="155"/>
      <c r="C54" s="155"/>
      <c r="D54" s="155"/>
      <c r="E54" s="155"/>
      <c r="F54" s="155"/>
      <c r="G54" s="156"/>
      <c r="H54" s="155"/>
      <c r="I54" s="155"/>
      <c r="J54" s="155"/>
      <c r="K54" s="155"/>
      <c r="L54" s="155"/>
      <c r="M54" s="155"/>
      <c r="N54" s="155"/>
      <c r="O54" s="155"/>
      <c r="P54" s="155"/>
    </row>
    <row r="55" spans="1:16" ht="15.5">
      <c r="A55" s="155"/>
      <c r="B55" s="155"/>
      <c r="C55" s="155"/>
      <c r="D55" s="155"/>
      <c r="E55" s="155"/>
      <c r="F55" s="155"/>
      <c r="G55" s="156"/>
      <c r="H55" s="155"/>
      <c r="I55" s="155"/>
      <c r="J55" s="155"/>
      <c r="K55" s="155"/>
      <c r="L55" s="155"/>
      <c r="M55" s="155"/>
      <c r="N55" s="155"/>
      <c r="O55" s="155"/>
      <c r="P55" s="155"/>
    </row>
    <row r="56" spans="1:16" ht="15.5">
      <c r="A56" s="155"/>
      <c r="B56" s="155"/>
      <c r="C56" s="155"/>
      <c r="D56" s="155"/>
      <c r="E56" s="155"/>
      <c r="F56" s="155"/>
      <c r="G56" s="156"/>
      <c r="H56" s="155"/>
      <c r="I56" s="155"/>
      <c r="J56" s="155"/>
      <c r="K56" s="155"/>
      <c r="L56" s="155"/>
      <c r="M56" s="155"/>
      <c r="N56" s="155"/>
      <c r="O56" s="155"/>
      <c r="P56" s="155"/>
    </row>
    <row r="57" spans="1:16" ht="15.5">
      <c r="A57" s="155"/>
      <c r="B57" s="155"/>
      <c r="C57" s="155"/>
      <c r="D57" s="155"/>
      <c r="E57" s="155"/>
      <c r="F57" s="155"/>
      <c r="G57" s="156"/>
      <c r="H57" s="155"/>
      <c r="I57" s="155"/>
      <c r="J57" s="155"/>
      <c r="K57" s="155"/>
      <c r="L57" s="155"/>
      <c r="M57" s="155"/>
      <c r="N57" s="155"/>
      <c r="O57" s="155"/>
      <c r="P57" s="155"/>
    </row>
    <row r="58" spans="1:16" ht="15.5">
      <c r="A58" s="155"/>
      <c r="B58" s="155"/>
      <c r="C58" s="155"/>
      <c r="D58" s="155"/>
      <c r="E58" s="155"/>
      <c r="F58" s="155"/>
      <c r="G58" s="156"/>
      <c r="H58" s="155"/>
      <c r="I58" s="155"/>
      <c r="J58" s="155"/>
      <c r="K58" s="155"/>
      <c r="L58" s="155"/>
      <c r="M58" s="155"/>
      <c r="N58" s="155"/>
      <c r="O58" s="155"/>
      <c r="P58" s="155"/>
    </row>
    <row r="59" spans="1:16" ht="15.5">
      <c r="A59" s="155"/>
      <c r="B59" s="155"/>
      <c r="C59" s="155"/>
      <c r="D59" s="155"/>
      <c r="E59" s="155"/>
      <c r="F59" s="155"/>
      <c r="G59" s="156"/>
      <c r="H59" s="155"/>
      <c r="I59" s="155"/>
      <c r="J59" s="155"/>
      <c r="K59" s="155"/>
      <c r="L59" s="155"/>
      <c r="M59" s="155"/>
      <c r="N59" s="155"/>
      <c r="O59" s="155"/>
      <c r="P59" s="155"/>
    </row>
    <row r="60" spans="1:16" ht="15.5">
      <c r="A60" s="155"/>
      <c r="B60" s="155"/>
      <c r="C60" s="155"/>
      <c r="D60" s="155"/>
      <c r="E60" s="155"/>
      <c r="F60" s="155"/>
      <c r="G60" s="156"/>
      <c r="H60" s="155"/>
      <c r="I60" s="155"/>
      <c r="J60" s="155"/>
      <c r="K60" s="155"/>
      <c r="L60" s="155"/>
      <c r="M60" s="155"/>
      <c r="N60" s="155"/>
      <c r="O60" s="155"/>
      <c r="P60" s="155"/>
    </row>
    <row r="61" spans="1:16" ht="15.5">
      <c r="A61" s="155"/>
      <c r="B61" s="155"/>
      <c r="C61" s="155"/>
      <c r="D61" s="155"/>
      <c r="E61" s="155"/>
      <c r="F61" s="155"/>
      <c r="G61" s="156"/>
      <c r="H61" s="155"/>
      <c r="I61" s="155"/>
      <c r="J61" s="155"/>
      <c r="K61" s="155"/>
      <c r="L61" s="155"/>
      <c r="M61" s="155"/>
      <c r="N61" s="155"/>
      <c r="O61" s="155"/>
      <c r="P61" s="155"/>
    </row>
    <row r="62" spans="1:16" ht="15.5">
      <c r="A62" s="155"/>
      <c r="B62" s="155"/>
      <c r="C62" s="155"/>
      <c r="D62" s="155"/>
      <c r="E62" s="155"/>
      <c r="F62" s="155"/>
      <c r="G62" s="156"/>
      <c r="H62" s="155"/>
      <c r="I62" s="155"/>
      <c r="J62" s="155"/>
      <c r="K62" s="155"/>
      <c r="L62" s="155"/>
      <c r="M62" s="155"/>
      <c r="N62" s="155"/>
      <c r="O62" s="155"/>
      <c r="P62" s="155"/>
    </row>
    <row r="63" spans="1:16" ht="15.5">
      <c r="A63" s="141"/>
      <c r="B63" s="141"/>
      <c r="C63" s="141"/>
      <c r="D63" s="141"/>
      <c r="E63" s="141"/>
      <c r="F63" s="141"/>
      <c r="G63" s="139"/>
      <c r="H63" s="141"/>
      <c r="I63" s="141"/>
      <c r="J63" s="141"/>
      <c r="K63" s="141"/>
      <c r="L63" s="141"/>
      <c r="M63" s="141"/>
      <c r="N63" s="141"/>
      <c r="O63" s="141"/>
      <c r="P63" s="141"/>
    </row>
    <row r="64" spans="1:16" ht="15.5">
      <c r="A64" s="141"/>
      <c r="B64" s="141"/>
      <c r="C64" s="141"/>
      <c r="D64" s="141"/>
      <c r="E64" s="141"/>
      <c r="F64" s="141"/>
      <c r="G64" s="139"/>
      <c r="H64" s="141"/>
      <c r="I64" s="141"/>
      <c r="J64" s="141"/>
      <c r="K64" s="141"/>
      <c r="L64" s="141"/>
      <c r="M64" s="141"/>
      <c r="N64" s="141"/>
      <c r="O64" s="141"/>
      <c r="P64" s="141"/>
    </row>
    <row r="65" spans="1:16" ht="15.5">
      <c r="A65" s="141"/>
      <c r="B65" s="141"/>
      <c r="C65" s="141"/>
      <c r="D65" s="141"/>
      <c r="E65" s="141"/>
      <c r="F65" s="141"/>
      <c r="G65" s="139"/>
      <c r="H65" s="141"/>
      <c r="I65" s="141"/>
      <c r="J65" s="141"/>
      <c r="K65" s="141"/>
      <c r="L65" s="141"/>
      <c r="M65" s="141"/>
      <c r="N65" s="141"/>
      <c r="O65" s="141"/>
      <c r="P65" s="141"/>
    </row>
    <row r="66" spans="1:16" ht="15.5">
      <c r="A66" s="141"/>
      <c r="B66" s="141"/>
      <c r="C66" s="141"/>
      <c r="D66" s="141"/>
      <c r="E66" s="141"/>
      <c r="F66" s="141"/>
      <c r="G66" s="141"/>
      <c r="H66" s="141"/>
      <c r="I66" s="141"/>
      <c r="J66" s="141"/>
      <c r="K66" s="141"/>
      <c r="L66" s="141"/>
      <c r="M66" s="141"/>
      <c r="N66" s="141"/>
      <c r="O66" s="141"/>
      <c r="P66" s="141"/>
    </row>
    <row r="67" spans="1:16" ht="15.5">
      <c r="A67" s="141"/>
      <c r="B67" s="141"/>
      <c r="C67" s="141"/>
      <c r="D67" s="141"/>
      <c r="E67" s="141"/>
      <c r="F67" s="141"/>
      <c r="G67" s="141"/>
      <c r="H67" s="141"/>
      <c r="I67" s="141"/>
      <c r="J67" s="141"/>
      <c r="K67" s="141"/>
      <c r="L67" s="141"/>
      <c r="M67" s="141"/>
      <c r="N67" s="141"/>
      <c r="O67" s="141"/>
      <c r="P67" s="141"/>
    </row>
    <row r="68" spans="1:16" ht="15.5">
      <c r="A68" s="141"/>
      <c r="B68" s="141"/>
      <c r="C68" s="141"/>
      <c r="D68" s="141"/>
      <c r="E68" s="141"/>
      <c r="F68" s="141"/>
      <c r="G68" s="141"/>
      <c r="H68" s="141"/>
      <c r="I68" s="141"/>
      <c r="J68" s="141"/>
      <c r="K68" s="141"/>
      <c r="L68" s="141"/>
      <c r="M68" s="141"/>
      <c r="N68" s="141"/>
      <c r="O68" s="141"/>
      <c r="P68" s="141"/>
    </row>
    <row r="69" spans="1:16" ht="15.5">
      <c r="A69" s="141"/>
      <c r="B69" s="141"/>
      <c r="C69" s="141"/>
      <c r="D69" s="141"/>
      <c r="E69" s="141"/>
      <c r="F69" s="141"/>
      <c r="G69" s="141"/>
      <c r="H69" s="141"/>
      <c r="I69" s="141"/>
      <c r="J69" s="141"/>
      <c r="K69" s="141"/>
      <c r="L69" s="141"/>
      <c r="M69" s="141"/>
      <c r="N69" s="141"/>
      <c r="O69" s="141"/>
      <c r="P69" s="141"/>
    </row>
    <row r="70" spans="1:16" ht="15.5">
      <c r="A70" s="141"/>
      <c r="B70" s="141"/>
      <c r="C70" s="141"/>
      <c r="D70" s="141"/>
      <c r="E70" s="141"/>
      <c r="F70" s="141"/>
      <c r="G70" s="141"/>
      <c r="H70" s="141"/>
      <c r="I70" s="141"/>
      <c r="J70" s="141"/>
      <c r="K70" s="141"/>
      <c r="L70" s="141"/>
      <c r="M70" s="141"/>
      <c r="N70" s="141"/>
      <c r="O70" s="141"/>
      <c r="P70" s="141"/>
    </row>
    <row r="71" spans="1:16" ht="15.5">
      <c r="A71" s="141"/>
      <c r="B71" s="141"/>
      <c r="C71" s="141"/>
      <c r="D71" s="141"/>
      <c r="E71" s="141"/>
      <c r="F71" s="141"/>
      <c r="G71" s="141"/>
      <c r="H71" s="141"/>
      <c r="I71" s="141"/>
      <c r="J71" s="141"/>
      <c r="K71" s="141"/>
      <c r="L71" s="141"/>
      <c r="M71" s="141"/>
      <c r="N71" s="141"/>
      <c r="O71" s="141"/>
      <c r="P71" s="141"/>
    </row>
    <row r="72" spans="1:16" ht="15.5">
      <c r="A72" s="141"/>
      <c r="B72" s="141"/>
      <c r="C72" s="141"/>
      <c r="D72" s="141"/>
      <c r="E72" s="141"/>
      <c r="F72" s="141"/>
      <c r="G72" s="141"/>
      <c r="H72" s="141"/>
      <c r="I72" s="141"/>
      <c r="J72" s="141"/>
      <c r="K72" s="141"/>
      <c r="L72" s="141"/>
      <c r="M72" s="141"/>
      <c r="N72" s="141"/>
      <c r="O72" s="141"/>
      <c r="P72" s="141"/>
    </row>
    <row r="73" spans="1:16" ht="15.5">
      <c r="A73" s="141"/>
      <c r="B73" s="141"/>
      <c r="C73" s="141"/>
      <c r="D73" s="141"/>
      <c r="E73" s="141"/>
      <c r="F73" s="141"/>
      <c r="G73" s="141"/>
      <c r="H73" s="141"/>
      <c r="I73" s="141"/>
      <c r="J73" s="141"/>
      <c r="K73" s="141"/>
      <c r="L73" s="141"/>
      <c r="M73" s="141"/>
      <c r="N73" s="141"/>
      <c r="O73" s="141"/>
      <c r="P73" s="141"/>
    </row>
    <row r="74" spans="1:16" ht="15.5">
      <c r="A74" s="141"/>
      <c r="B74" s="141"/>
      <c r="C74" s="141"/>
      <c r="D74" s="141"/>
      <c r="E74" s="141"/>
      <c r="F74" s="141"/>
      <c r="G74" s="141"/>
      <c r="H74" s="141"/>
      <c r="I74" s="141"/>
      <c r="J74" s="141"/>
      <c r="K74" s="141"/>
      <c r="L74" s="141"/>
      <c r="M74" s="141"/>
      <c r="N74" s="141"/>
      <c r="O74" s="141"/>
      <c r="P74" s="141"/>
    </row>
    <row r="75" spans="1:16" ht="15.5">
      <c r="A75" s="141"/>
      <c r="B75" s="141"/>
      <c r="C75" s="141"/>
      <c r="D75" s="141"/>
      <c r="E75" s="141"/>
      <c r="F75" s="141"/>
      <c r="G75" s="141"/>
      <c r="H75" s="141"/>
      <c r="I75" s="141"/>
      <c r="J75" s="141"/>
      <c r="K75" s="141"/>
      <c r="L75" s="141"/>
      <c r="M75" s="141"/>
      <c r="N75" s="141"/>
      <c r="O75" s="141"/>
      <c r="P75" s="141"/>
    </row>
    <row r="76" spans="1:16" ht="15.5">
      <c r="A76" s="141"/>
      <c r="B76" s="141"/>
      <c r="C76" s="141"/>
      <c r="D76" s="141"/>
      <c r="E76" s="141"/>
      <c r="F76" s="141"/>
      <c r="G76" s="141"/>
      <c r="H76" s="141"/>
      <c r="I76" s="141"/>
      <c r="J76" s="141"/>
      <c r="K76" s="141"/>
      <c r="L76" s="141"/>
      <c r="M76" s="141"/>
      <c r="N76" s="141"/>
      <c r="O76" s="141"/>
      <c r="P76" s="141"/>
    </row>
    <row r="77" spans="1:16" ht="15.5">
      <c r="A77" s="141"/>
      <c r="B77" s="141"/>
      <c r="C77" s="141"/>
      <c r="D77" s="141"/>
      <c r="E77" s="141"/>
      <c r="F77" s="141"/>
      <c r="G77" s="141"/>
      <c r="H77" s="141"/>
      <c r="I77" s="141"/>
      <c r="J77" s="141"/>
      <c r="K77" s="141"/>
      <c r="L77" s="141"/>
      <c r="M77" s="141"/>
      <c r="N77" s="141"/>
      <c r="O77" s="141"/>
      <c r="P77" s="141"/>
    </row>
    <row r="78" spans="1:16" ht="15.5">
      <c r="A78" s="141"/>
      <c r="B78" s="141"/>
      <c r="C78" s="141"/>
      <c r="D78" s="141"/>
      <c r="E78" s="141"/>
      <c r="F78" s="141"/>
      <c r="G78" s="141"/>
      <c r="H78" s="141"/>
      <c r="I78" s="141"/>
      <c r="J78" s="141"/>
      <c r="K78" s="141"/>
      <c r="L78" s="141"/>
      <c r="M78" s="141"/>
      <c r="N78" s="141"/>
      <c r="O78" s="141"/>
      <c r="P78" s="141"/>
    </row>
    <row r="79" spans="8:16" ht="15.5">
      <c r="H79" s="141"/>
      <c r="I79" s="141"/>
      <c r="J79" s="141"/>
      <c r="K79" s="141"/>
      <c r="L79" s="141"/>
      <c r="M79" s="141"/>
      <c r="N79" s="141"/>
      <c r="O79" s="141"/>
      <c r="P79" s="141"/>
    </row>
    <row r="80" spans="8:16" ht="15.5">
      <c r="H80" s="141"/>
      <c r="I80" s="141"/>
      <c r="J80" s="141"/>
      <c r="K80" s="141"/>
      <c r="L80" s="141"/>
      <c r="M80" s="141"/>
      <c r="N80" s="141"/>
      <c r="O80" s="141"/>
      <c r="P80" s="141"/>
    </row>
    <row r="81" spans="8:16" ht="15.5">
      <c r="H81" s="141"/>
      <c r="I81" s="141"/>
      <c r="J81" s="141"/>
      <c r="K81" s="141"/>
      <c r="L81" s="141"/>
      <c r="M81" s="141"/>
      <c r="N81" s="141"/>
      <c r="O81" s="141"/>
      <c r="P81" s="141"/>
    </row>
    <row r="82" spans="8:16" ht="15.5">
      <c r="H82" s="141"/>
      <c r="I82" s="141"/>
      <c r="J82" s="141"/>
      <c r="K82" s="141"/>
      <c r="L82" s="141"/>
      <c r="M82" s="141"/>
      <c r="N82" s="141"/>
      <c r="O82" s="141"/>
      <c r="P82" s="141"/>
    </row>
    <row r="83" spans="13:16" ht="12.75">
      <c r="M83" s="142"/>
      <c r="N83" s="142"/>
      <c r="O83" s="142"/>
      <c r="P83" s="142"/>
    </row>
    <row r="84" spans="13:16" ht="12.75">
      <c r="M84" s="142"/>
      <c r="N84" s="142"/>
      <c r="O84" s="142"/>
      <c r="P84" s="142"/>
    </row>
    <row r="85" spans="13:16" ht="12.75">
      <c r="M85" s="142"/>
      <c r="N85" s="142"/>
      <c r="O85" s="142"/>
      <c r="P85" s="142"/>
    </row>
    <row r="86" spans="13:16" ht="12.75">
      <c r="M86" s="142"/>
      <c r="N86" s="142"/>
      <c r="O86" s="142"/>
      <c r="P86" s="142"/>
    </row>
    <row r="87" spans="13:16" ht="12.75">
      <c r="M87" s="142"/>
      <c r="N87" s="142"/>
      <c r="O87" s="142"/>
      <c r="P87" s="142"/>
    </row>
    <row r="88" spans="13:16" ht="12.75">
      <c r="M88" s="142"/>
      <c r="N88" s="142"/>
      <c r="O88" s="142"/>
      <c r="P88" s="142"/>
    </row>
    <row r="89" spans="13:16" ht="12.75">
      <c r="M89" s="142"/>
      <c r="N89" s="142"/>
      <c r="O89" s="142"/>
      <c r="P89" s="142"/>
    </row>
    <row r="90" spans="13:16" ht="12.75">
      <c r="M90" s="142"/>
      <c r="N90" s="142"/>
      <c r="O90" s="142"/>
      <c r="P90" s="142"/>
    </row>
    <row r="91" spans="13:16" ht="12.75">
      <c r="M91" s="142"/>
      <c r="N91" s="142"/>
      <c r="O91" s="142"/>
      <c r="P91" s="142"/>
    </row>
    <row r="92" spans="13:16" ht="12.75">
      <c r="M92" s="142"/>
      <c r="N92" s="142"/>
      <c r="O92" s="142"/>
      <c r="P92" s="142"/>
    </row>
    <row r="93" spans="13:16" ht="12.75">
      <c r="M93" s="142"/>
      <c r="N93" s="142"/>
      <c r="O93" s="142"/>
      <c r="P93" s="142"/>
    </row>
    <row r="94" spans="13:16" ht="12.75">
      <c r="M94" s="142"/>
      <c r="N94" s="142"/>
      <c r="O94" s="142"/>
      <c r="P94" s="142"/>
    </row>
    <row r="95" spans="13:16" ht="12.75">
      <c r="M95" s="142"/>
      <c r="N95" s="142"/>
      <c r="O95" s="142"/>
      <c r="P95" s="142"/>
    </row>
    <row r="96" spans="13:16" ht="12.75">
      <c r="M96" s="142"/>
      <c r="N96" s="142"/>
      <c r="O96" s="142"/>
      <c r="P96" s="142"/>
    </row>
    <row r="97" spans="13:16" ht="12.75">
      <c r="M97" s="142"/>
      <c r="N97" s="142"/>
      <c r="O97" s="142"/>
      <c r="P97" s="142"/>
    </row>
    <row r="98" spans="13:16" ht="12.75">
      <c r="M98" s="142"/>
      <c r="N98" s="142"/>
      <c r="O98" s="142"/>
      <c r="P98" s="142"/>
    </row>
    <row r="99" spans="13:16" ht="12.75">
      <c r="M99" s="142"/>
      <c r="N99" s="142"/>
      <c r="O99" s="142"/>
      <c r="P99" s="142"/>
    </row>
    <row r="100" spans="13:16" ht="12.75">
      <c r="M100" s="142"/>
      <c r="N100" s="142"/>
      <c r="O100" s="142"/>
      <c r="P100" s="142"/>
    </row>
    <row r="101" spans="13:16" ht="12.75">
      <c r="M101" s="142"/>
      <c r="N101" s="142"/>
      <c r="O101" s="142"/>
      <c r="P101" s="142"/>
    </row>
    <row r="102" spans="13:16" ht="12.75">
      <c r="M102" s="142"/>
      <c r="N102" s="142"/>
      <c r="O102" s="142"/>
      <c r="P102" s="142"/>
    </row>
    <row r="103" spans="13:16" ht="12.75">
      <c r="M103" s="142"/>
      <c r="N103" s="142"/>
      <c r="O103" s="142"/>
      <c r="P103" s="142"/>
    </row>
    <row r="104" spans="13:16" ht="12.75">
      <c r="M104" s="142"/>
      <c r="N104" s="142"/>
      <c r="O104" s="142"/>
      <c r="P104" s="142"/>
    </row>
    <row r="105" spans="13:16" ht="12.75">
      <c r="M105" s="142"/>
      <c r="N105" s="142"/>
      <c r="O105" s="142"/>
      <c r="P105" s="142"/>
    </row>
    <row r="106" spans="13:16" ht="12.75">
      <c r="M106" s="142"/>
      <c r="N106" s="142"/>
      <c r="O106" s="142"/>
      <c r="P106" s="142"/>
    </row>
    <row r="107" spans="13:16" ht="12.75">
      <c r="M107" s="142"/>
      <c r="N107" s="142"/>
      <c r="O107" s="142"/>
      <c r="P107" s="142"/>
    </row>
    <row r="108" spans="13:16" ht="12.75">
      <c r="M108" s="142"/>
      <c r="N108" s="142"/>
      <c r="O108" s="142"/>
      <c r="P108" s="142"/>
    </row>
    <row r="109" spans="13:16" ht="12.75">
      <c r="M109" s="142"/>
      <c r="N109" s="142"/>
      <c r="O109" s="142"/>
      <c r="P109" s="142"/>
    </row>
    <row r="110" spans="13:16" ht="12.75">
      <c r="M110" s="142"/>
      <c r="N110" s="142"/>
      <c r="O110" s="142"/>
      <c r="P110" s="142"/>
    </row>
    <row r="111" spans="13:16" ht="12.75">
      <c r="M111" s="142"/>
      <c r="N111" s="142"/>
      <c r="O111" s="142"/>
      <c r="P111" s="142"/>
    </row>
    <row r="112" spans="13:16" ht="12.75">
      <c r="M112" s="142"/>
      <c r="N112" s="142"/>
      <c r="O112" s="142"/>
      <c r="P112" s="142"/>
    </row>
    <row r="113" spans="13:16" ht="12.75">
      <c r="M113" s="142"/>
      <c r="N113" s="142"/>
      <c r="O113" s="142"/>
      <c r="P113" s="142"/>
    </row>
    <row r="114" spans="13:16" ht="12.75">
      <c r="M114" s="142"/>
      <c r="N114" s="142"/>
      <c r="O114" s="142"/>
      <c r="P114" s="142"/>
    </row>
    <row r="115" spans="13:16" ht="12.75">
      <c r="M115" s="142"/>
      <c r="N115" s="142"/>
      <c r="O115" s="142"/>
      <c r="P115" s="142"/>
    </row>
    <row r="116" spans="13:16" ht="12.75">
      <c r="M116" s="142"/>
      <c r="N116" s="142"/>
      <c r="O116" s="142"/>
      <c r="P116" s="142"/>
    </row>
    <row r="117" spans="13:16" ht="12.75">
      <c r="M117" s="142"/>
      <c r="N117" s="142"/>
      <c r="O117" s="142"/>
      <c r="P117" s="142"/>
    </row>
    <row r="118" spans="13:16" ht="12.75">
      <c r="M118" s="142"/>
      <c r="N118" s="142"/>
      <c r="O118" s="142"/>
      <c r="P118" s="142"/>
    </row>
    <row r="119" spans="13:16" ht="12.75">
      <c r="M119" s="142"/>
      <c r="N119" s="142"/>
      <c r="O119" s="142"/>
      <c r="P119" s="142"/>
    </row>
    <row r="120" spans="13:16" ht="12.75">
      <c r="M120" s="142"/>
      <c r="N120" s="142"/>
      <c r="O120" s="142"/>
      <c r="P120" s="142"/>
    </row>
    <row r="121" spans="13:16" ht="12.75">
      <c r="M121" s="142"/>
      <c r="N121" s="142"/>
      <c r="O121" s="142"/>
      <c r="P121" s="142"/>
    </row>
    <row r="122" spans="13:16" ht="12.75">
      <c r="M122" s="142"/>
      <c r="N122" s="142"/>
      <c r="O122" s="142"/>
      <c r="P122" s="142"/>
    </row>
    <row r="123" spans="13:16" ht="12.75">
      <c r="M123" s="142"/>
      <c r="N123" s="142"/>
      <c r="O123" s="142"/>
      <c r="P123" s="142"/>
    </row>
    <row r="124" spans="13:16" ht="12.75">
      <c r="M124" s="142"/>
      <c r="N124" s="142"/>
      <c r="O124" s="142"/>
      <c r="P124" s="142"/>
    </row>
    <row r="125" spans="13:16" ht="12.75">
      <c r="M125" s="142"/>
      <c r="N125" s="142"/>
      <c r="O125" s="142"/>
      <c r="P125" s="142"/>
    </row>
    <row r="126" spans="13:16" ht="12.75">
      <c r="M126" s="142"/>
      <c r="N126" s="142"/>
      <c r="O126" s="142"/>
      <c r="P126" s="142"/>
    </row>
    <row r="127" spans="13:16" ht="12.75">
      <c r="M127" s="142"/>
      <c r="N127" s="142"/>
      <c r="O127" s="142"/>
      <c r="P127" s="142"/>
    </row>
    <row r="128" spans="13:16" ht="12.75">
      <c r="M128" s="142"/>
      <c r="N128" s="142"/>
      <c r="O128" s="142"/>
      <c r="P128" s="142"/>
    </row>
    <row r="129" spans="13:16" ht="12.75">
      <c r="M129" s="142"/>
      <c r="N129" s="142"/>
      <c r="O129" s="142"/>
      <c r="P129" s="142"/>
    </row>
    <row r="130" spans="13:16" ht="12.75">
      <c r="M130" s="142"/>
      <c r="N130" s="142"/>
      <c r="O130" s="142"/>
      <c r="P130" s="142"/>
    </row>
    <row r="131" spans="13:16" ht="12.75">
      <c r="M131" s="142"/>
      <c r="N131" s="142"/>
      <c r="O131" s="142"/>
      <c r="P131" s="142"/>
    </row>
    <row r="132" spans="13:16" ht="12.75">
      <c r="M132" s="142"/>
      <c r="N132" s="142"/>
      <c r="O132" s="142"/>
      <c r="P132" s="142"/>
    </row>
    <row r="133" spans="13:16" ht="12.75">
      <c r="M133" s="142"/>
      <c r="N133" s="142"/>
      <c r="O133" s="142"/>
      <c r="P133" s="142"/>
    </row>
    <row r="134" spans="13:16" ht="12.75">
      <c r="M134" s="142"/>
      <c r="N134" s="142"/>
      <c r="O134" s="142"/>
      <c r="P134" s="142"/>
    </row>
    <row r="135" spans="13:16" ht="12.75">
      <c r="M135" s="142"/>
      <c r="N135" s="142"/>
      <c r="O135" s="142"/>
      <c r="P135" s="142"/>
    </row>
    <row r="136" spans="13:16" ht="12.75">
      <c r="M136" s="142"/>
      <c r="N136" s="142"/>
      <c r="O136" s="142"/>
      <c r="P136" s="142"/>
    </row>
    <row r="137" spans="13:16" ht="12.75">
      <c r="M137" s="142"/>
      <c r="N137" s="142"/>
      <c r="O137" s="142"/>
      <c r="P137" s="142"/>
    </row>
    <row r="138" spans="13:16" ht="12.75">
      <c r="M138" s="142"/>
      <c r="N138" s="142"/>
      <c r="O138" s="142"/>
      <c r="P138" s="142"/>
    </row>
    <row r="139" spans="13:16" ht="12.75">
      <c r="M139" s="142"/>
      <c r="N139" s="142"/>
      <c r="O139" s="142"/>
      <c r="P139" s="142"/>
    </row>
    <row r="140" spans="13:16" ht="12.75">
      <c r="M140" s="142"/>
      <c r="N140" s="142"/>
      <c r="O140" s="142"/>
      <c r="P140" s="142"/>
    </row>
    <row r="141" spans="13:16" ht="12.75">
      <c r="M141" s="142"/>
      <c r="N141" s="142"/>
      <c r="O141" s="142"/>
      <c r="P141" s="142"/>
    </row>
    <row r="142" spans="13:16" ht="12.75">
      <c r="M142" s="142"/>
      <c r="N142" s="142"/>
      <c r="O142" s="142"/>
      <c r="P142" s="142"/>
    </row>
    <row r="143" spans="13:16" ht="12.75">
      <c r="M143" s="142"/>
      <c r="N143" s="142"/>
      <c r="O143" s="142"/>
      <c r="P143" s="142"/>
    </row>
    <row r="144" spans="13:16" ht="12.75">
      <c r="M144" s="142"/>
      <c r="N144" s="142"/>
      <c r="O144" s="142"/>
      <c r="P144" s="142"/>
    </row>
    <row r="145" spans="13:16" ht="12.75">
      <c r="M145" s="142"/>
      <c r="N145" s="142"/>
      <c r="O145" s="142"/>
      <c r="P145" s="142"/>
    </row>
    <row r="146" spans="13:16" ht="12.75">
      <c r="M146" s="142"/>
      <c r="N146" s="142"/>
      <c r="O146" s="142"/>
      <c r="P146" s="142"/>
    </row>
    <row r="147" spans="13:16" ht="12.75">
      <c r="M147" s="142"/>
      <c r="N147" s="142"/>
      <c r="O147" s="142"/>
      <c r="P147" s="142"/>
    </row>
    <row r="148" spans="13:16" ht="12.75">
      <c r="M148" s="142"/>
      <c r="N148" s="142"/>
      <c r="O148" s="142"/>
      <c r="P148" s="142"/>
    </row>
    <row r="149" spans="13:16" ht="12.75">
      <c r="M149" s="142"/>
      <c r="N149" s="142"/>
      <c r="O149" s="142"/>
      <c r="P149" s="142"/>
    </row>
    <row r="150" spans="13:16" ht="12.75">
      <c r="M150" s="142"/>
      <c r="N150" s="142"/>
      <c r="O150" s="142"/>
      <c r="P150" s="142"/>
    </row>
    <row r="151" spans="13:16" ht="12.75">
      <c r="M151" s="142"/>
      <c r="N151" s="142"/>
      <c r="O151" s="142"/>
      <c r="P151" s="142"/>
    </row>
    <row r="152" spans="13:16" ht="12.75">
      <c r="M152" s="142"/>
      <c r="N152" s="142"/>
      <c r="O152" s="142"/>
      <c r="P152" s="142"/>
    </row>
    <row r="153" spans="13:16" ht="12.75">
      <c r="M153" s="142"/>
      <c r="N153" s="142"/>
      <c r="O153" s="142"/>
      <c r="P153" s="142"/>
    </row>
    <row r="154" spans="13:16" ht="12.75">
      <c r="M154" s="142"/>
      <c r="N154" s="142"/>
      <c r="O154" s="142"/>
      <c r="P154" s="142"/>
    </row>
    <row r="155" spans="13:16" ht="12.75">
      <c r="M155" s="142"/>
      <c r="N155" s="142"/>
      <c r="O155" s="142"/>
      <c r="P155" s="142"/>
    </row>
    <row r="156" spans="13:16" ht="12.75">
      <c r="M156" s="142"/>
      <c r="N156" s="142"/>
      <c r="O156" s="142"/>
      <c r="P156" s="142"/>
    </row>
  </sheetData>
  <sheetProtection algorithmName="SHA-512" hashValue="zPd1ZdVzF/llbQSXM++dTrTVvctmygJIx1qFMP3v72WlBIfoIQiQ59CYNRJMIA9iGqphuc/bJlZiUbehz/Eb0g==" saltValue="WunF+KlLgHQ51VUWoSGCFA==" spinCount="100000" sheet="1" objects="1" scenarios="1" selectLockedCells="1"/>
  <mergeCells count="86">
    <mergeCell ref="H50:J50"/>
    <mergeCell ref="K50:M50"/>
    <mergeCell ref="H47:J47"/>
    <mergeCell ref="K47:M47"/>
    <mergeCell ref="H48:J48"/>
    <mergeCell ref="K48:M48"/>
    <mergeCell ref="H49:J49"/>
    <mergeCell ref="K49:M49"/>
    <mergeCell ref="H28:J28"/>
    <mergeCell ref="K28:M28"/>
    <mergeCell ref="H29:J29"/>
    <mergeCell ref="K29:M29"/>
    <mergeCell ref="H46:J46"/>
    <mergeCell ref="J31:M31"/>
    <mergeCell ref="H32:I32"/>
    <mergeCell ref="J32:M32"/>
    <mergeCell ref="H33:I33"/>
    <mergeCell ref="J33:M33"/>
    <mergeCell ref="H25:J25"/>
    <mergeCell ref="H26:J26"/>
    <mergeCell ref="K26:M26"/>
    <mergeCell ref="H27:J27"/>
    <mergeCell ref="K27:M27"/>
    <mergeCell ref="A25:C25"/>
    <mergeCell ref="A26:C26"/>
    <mergeCell ref="D26:F26"/>
    <mergeCell ref="A27:C27"/>
    <mergeCell ref="D27:F27"/>
    <mergeCell ref="A50:C50"/>
    <mergeCell ref="A28:C28"/>
    <mergeCell ref="D28:F28"/>
    <mergeCell ref="A29:C29"/>
    <mergeCell ref="D29:F29"/>
    <mergeCell ref="D47:F47"/>
    <mergeCell ref="C31:F31"/>
    <mergeCell ref="A32:B32"/>
    <mergeCell ref="C32:F32"/>
    <mergeCell ref="A33:B33"/>
    <mergeCell ref="C33:F33"/>
    <mergeCell ref="C11:F11"/>
    <mergeCell ref="H11:I11"/>
    <mergeCell ref="J11:M11"/>
    <mergeCell ref="J10:M10"/>
    <mergeCell ref="A3:B3"/>
    <mergeCell ref="C3:G3"/>
    <mergeCell ref="A4:B4"/>
    <mergeCell ref="C4:G4"/>
    <mergeCell ref="A5:B5"/>
    <mergeCell ref="C5:G5"/>
    <mergeCell ref="A6:B6"/>
    <mergeCell ref="C6:G6"/>
    <mergeCell ref="A7:B7"/>
    <mergeCell ref="C10:F10"/>
    <mergeCell ref="C7:G7"/>
    <mergeCell ref="A52:M52"/>
    <mergeCell ref="A34:B34"/>
    <mergeCell ref="C34:F34"/>
    <mergeCell ref="H34:I34"/>
    <mergeCell ref="J34:M34"/>
    <mergeCell ref="A44:B44"/>
    <mergeCell ref="H44:I44"/>
    <mergeCell ref="A43:C43"/>
    <mergeCell ref="H43:J43"/>
    <mergeCell ref="D48:F48"/>
    <mergeCell ref="D49:F49"/>
    <mergeCell ref="D50:F50"/>
    <mergeCell ref="A46:C46"/>
    <mergeCell ref="A47:C47"/>
    <mergeCell ref="A48:C48"/>
    <mergeCell ref="A49:C49"/>
    <mergeCell ref="H1:I1"/>
    <mergeCell ref="J1:M1"/>
    <mergeCell ref="H7:I7"/>
    <mergeCell ref="A23:B23"/>
    <mergeCell ref="H23:I23"/>
    <mergeCell ref="C12:F12"/>
    <mergeCell ref="A12:B12"/>
    <mergeCell ref="H12:I12"/>
    <mergeCell ref="J12:M12"/>
    <mergeCell ref="A13:B13"/>
    <mergeCell ref="C13:F13"/>
    <mergeCell ref="H13:I13"/>
    <mergeCell ref="J13:M13"/>
    <mergeCell ref="A22:C22"/>
    <mergeCell ref="H22:J22"/>
    <mergeCell ref="A11:B11"/>
  </mergeCells>
  <conditionalFormatting sqref="A30:F30 D23">
    <cfRule type="beginsWith" priority="42" dxfId="537" operator="beginsWith" text="not">
      <formula>LEFT(A23,LEN("not"))="not"</formula>
    </cfRule>
    <cfRule type="beginsWith" priority="43" dxfId="536" operator="beginsWith" text="ok">
      <formula>LEFT(A23,LEN("ok"))="ok"</formula>
    </cfRule>
  </conditionalFormatting>
  <conditionalFormatting sqref="F23">
    <cfRule type="beginsWith" priority="40" dxfId="537" operator="beginsWith" text="not">
      <formula>LEFT(F23,LEN("not"))="not"</formula>
    </cfRule>
    <cfRule type="beginsWith" priority="41" dxfId="536" operator="beginsWith" text="ok">
      <formula>LEFT(F23,LEN("ok"))="ok"</formula>
    </cfRule>
  </conditionalFormatting>
  <conditionalFormatting sqref="D44">
    <cfRule type="beginsWith" priority="38" dxfId="537" operator="beginsWith" text="not">
      <formula>LEFT(D44,LEN("not"))="not"</formula>
    </cfRule>
    <cfRule type="beginsWith" priority="39" dxfId="536" operator="beginsWith" text="ok">
      <formula>LEFT(D44,LEN("ok"))="ok"</formula>
    </cfRule>
  </conditionalFormatting>
  <conditionalFormatting sqref="B16:D20">
    <cfRule type="expression" priority="35" dxfId="529" stopIfTrue="1">
      <formula>$A16=""</formula>
    </cfRule>
  </conditionalFormatting>
  <conditionalFormatting sqref="B37:D41">
    <cfRule type="expression" priority="34" dxfId="529" stopIfTrue="1">
      <formula>$A37=""</formula>
    </cfRule>
  </conditionalFormatting>
  <conditionalFormatting sqref="I37:K41">
    <cfRule type="expression" priority="24" dxfId="529" stopIfTrue="1">
      <formula>$H37=""</formula>
    </cfRule>
  </conditionalFormatting>
  <conditionalFormatting sqref="H30:M30 K23">
    <cfRule type="beginsWith" priority="32" dxfId="537" operator="beginsWith" text="not">
      <formula>LEFT(H23,LEN("not"))="not"</formula>
    </cfRule>
    <cfRule type="beginsWith" priority="33" dxfId="536" operator="beginsWith" text="ok">
      <formula>LEFT(H23,LEN("ok"))="ok"</formula>
    </cfRule>
  </conditionalFormatting>
  <conditionalFormatting sqref="K44">
    <cfRule type="beginsWith" priority="28" dxfId="537" operator="beginsWith" text="not">
      <formula>LEFT(K44,LEN("not"))="not"</formula>
    </cfRule>
    <cfRule type="beginsWith" priority="29" dxfId="536" operator="beginsWith" text="ok">
      <formula>LEFT(K44,LEN("ok"))="ok"</formula>
    </cfRule>
  </conditionalFormatting>
  <conditionalFormatting sqref="M23">
    <cfRule type="beginsWith" priority="22" dxfId="537" operator="beginsWith" text="not">
      <formula>LEFT(M23,LEN("not"))="not"</formula>
    </cfRule>
    <cfRule type="beginsWith" priority="23" dxfId="536" operator="beginsWith" text="ok">
      <formula>LEFT(M23,LEN("ok"))="ok"</formula>
    </cfRule>
  </conditionalFormatting>
  <conditionalFormatting sqref="I16:K20">
    <cfRule type="expression" priority="25" dxfId="529" stopIfTrue="1">
      <formula>$H16=""</formula>
    </cfRule>
  </conditionalFormatting>
  <conditionalFormatting sqref="F44">
    <cfRule type="beginsWith" priority="18" dxfId="537" operator="beginsWith" text="not">
      <formula>LEFT(F44,LEN("not"))="not"</formula>
    </cfRule>
    <cfRule type="beginsWith" priority="19" dxfId="536" operator="beginsWith" text="ok">
      <formula>LEFT(F44,LEN("ok"))="ok"</formula>
    </cfRule>
  </conditionalFormatting>
  <conditionalFormatting sqref="M44">
    <cfRule type="beginsWith" priority="20" dxfId="537" operator="beginsWith" text="not">
      <formula>LEFT(M44,LEN("not"))="not"</formula>
    </cfRule>
    <cfRule type="beginsWith" priority="21" dxfId="536" operator="beginsWith" text="ok">
      <formula>LEFT(M44,LEN("ok"))="ok"</formula>
    </cfRule>
  </conditionalFormatting>
  <conditionalFormatting sqref="D27:D29">
    <cfRule type="expression" priority="7" dxfId="529">
      <formula>$C$21="N"</formula>
    </cfRule>
  </conditionalFormatting>
  <conditionalFormatting sqref="A24:F24">
    <cfRule type="beginsWith" priority="14" dxfId="537" operator="beginsWith" text="not">
      <formula>LEFT(A24,LEN("not"))="not"</formula>
    </cfRule>
    <cfRule type="beginsWith" priority="15" dxfId="536" operator="beginsWith" text="ok">
      <formula>LEFT(A24,LEN("ok"))="ok"</formula>
    </cfRule>
  </conditionalFormatting>
  <conditionalFormatting sqref="H24:M24">
    <cfRule type="beginsWith" priority="12" dxfId="537" operator="beginsWith" text="not">
      <formula>LEFT(H24,LEN("not"))="not"</formula>
    </cfRule>
    <cfRule type="beginsWith" priority="13" dxfId="536" operator="beginsWith" text="ok">
      <formula>LEFT(H24,LEN("ok"))="ok"</formula>
    </cfRule>
  </conditionalFormatting>
  <conditionalFormatting sqref="D26">
    <cfRule type="expression" priority="8" dxfId="529">
      <formula>$C$21="N"</formula>
    </cfRule>
  </conditionalFormatting>
  <conditionalFormatting sqref="K27:K29">
    <cfRule type="expression" priority="5" dxfId="529">
      <formula>$C$21="N"</formula>
    </cfRule>
  </conditionalFormatting>
  <conditionalFormatting sqref="K26">
    <cfRule type="expression" priority="6" dxfId="529">
      <formula>$C$21="N"</formula>
    </cfRule>
  </conditionalFormatting>
  <conditionalFormatting sqref="D48:D50">
    <cfRule type="expression" priority="3" dxfId="529">
      <formula>$C$21="N"</formula>
    </cfRule>
  </conditionalFormatting>
  <conditionalFormatting sqref="D47">
    <cfRule type="expression" priority="4" dxfId="529">
      <formula>$C$21="N"</formula>
    </cfRule>
  </conditionalFormatting>
  <conditionalFormatting sqref="K48:K50">
    <cfRule type="expression" priority="1" dxfId="529">
      <formula>$C$21="N"</formula>
    </cfRule>
  </conditionalFormatting>
  <conditionalFormatting sqref="K47">
    <cfRule type="expression" priority="2" dxfId="529">
      <formula>$C$21="N"</formula>
    </cfRule>
  </conditionalFormatting>
  <dataValidations count="12" xWindow="1292" yWindow="779">
    <dataValidation type="whole" allowBlank="1" showInputMessage="1" showErrorMessage="1" sqref="K16:K20 D37:D41 D16:D20 K37:K41">
      <formula1>1</formula1>
      <formula2>2</formula2>
    </dataValidation>
    <dataValidation type="decimal" allowBlank="1" showInputMessage="1" showErrorMessage="1" sqref="B37:B41 I16:I20 B16:B20 I37:I41">
      <formula1>0</formula1>
      <formula2>10000000000000</formula2>
    </dataValidation>
    <dataValidation type="decimal" allowBlank="1" showInputMessage="1" showErrorMessage="1" sqref="C13:G13 J13:M13 C34:G34 J34:M34">
      <formula1>0.000001</formula1>
      <formula2>100000000000</formula2>
    </dataValidation>
    <dataValidation type="list" allowBlank="1" showInputMessage="1" showErrorMessage="1" sqref="I6">
      <formula1>Pulver</formula1>
    </dataValidation>
    <dataValidation allowBlank="1" showInputMessage="1" showErrorMessage="1" errorTitle="Please select" sqref="J1"/>
    <dataValidation type="decimal" allowBlank="1" showInputMessage="1" showErrorMessage="1" sqref="C16:C20 J16:J20 C37:C41 J37:J41">
      <formula1>0</formula1>
      <formula2>B16</formula2>
    </dataValidation>
    <dataValidation type="list" allowBlank="1" showInputMessage="1" showErrorMessage="1" sqref="C12:F12 J12:M12 C33:F33 J33:M33">
      <formula1>Ausnahmen</formula1>
    </dataValidation>
    <dataValidation type="list" allowBlank="1" showInputMessage="1" prompt="Choose or fill in" sqref="C51 D29:F29 K29:M29 D50:F50 K50:M50 G51">
      <formula1>Beschichtung</formula1>
    </dataValidation>
    <dataValidation type="list" allowBlank="1" showInputMessage="1" prompt="Choose or fill in" sqref="G50 G29 D49:F49 K28:M28 D28:F28 K49:M49">
      <formula1>Verschluss</formula1>
    </dataValidation>
    <dataValidation type="list" allowBlank="1" showInputMessage="1" prompt="Choose or fill in" sqref="G49 G28">
      <formula1>Manschette</formula1>
    </dataValidation>
    <dataValidation type="list" allowBlank="1" showInputMessage="1" prompt="Choose or fill in" sqref="D48:G48 K27:M27 D27:G27 K48:M48">
      <formula1>Etikett</formula1>
    </dataValidation>
    <dataValidation type="list" allowBlank="1" showInputMessage="1" prompt="Choose or fill in" sqref="G26 D47:G47 D26 K26:M26 K47:M47">
      <formula1>Flasche</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65" r:id="rId1"/>
  <ignoredErrors>
    <ignoredError sqref="A5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RAL gGmbH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Kalkulationsdatei für "Rinse og cosmetic products"</dc:title>
  <dc:subject>Ecolabel 2014/893/EU</dc:subject>
  <dc:creator>Dr.Peter Buttner</dc:creator>
  <cp:keywords/>
  <dc:description>Version 2 (3.2015). Änderung Formel für automatische Tensiderkennung im Blatt "Ingoing substances_DID"_x000d_
Version 3 (16.4.2015): Einführung AC zur automatischen Ermittlung der Konzentration. Korrektur für Palm/Palmkernöl wenn segrgiert/MB: Bezug auf Vorprodukt und nicht auf enthaltenes Tensid_x000d_
V4: Zusätzliche Berechnungen/Eingaben für Verpackungen, V5: Fehlerkorrektur in Mengenberechnung Tensid wenn MB/segregiert beseitigt. Ab 7.9.2015 englischen Text in B122 geändert. _x000d_
V5: ab 12 October 2015: Version October auf allen Blättern</dc:description>
  <cp:lastModifiedBy>Dr. Éri Vilma</cp:lastModifiedBy>
  <cp:lastPrinted>2019-10-28T13:56:53Z</cp:lastPrinted>
  <dcterms:created xsi:type="dcterms:W3CDTF">2006-01-20T09:27:52Z</dcterms:created>
  <dcterms:modified xsi:type="dcterms:W3CDTF">2021-01-11T18:23:50Z</dcterms:modified>
  <cp:category/>
  <cp:version/>
  <cp:contentType/>
  <cp:contentStatus/>
</cp:coreProperties>
</file>